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lsvrv\OneDrive\Área de Trabalho\RAQUEL\TRANSPARENCIA\2ORCAMENTO\"/>
    </mc:Choice>
  </mc:AlternateContent>
  <xr:revisionPtr revIDLastSave="0" documentId="8_{CFCA77EC-02F7-4CF7-96D3-4F509E800541}" xr6:coauthVersionLast="47" xr6:coauthVersionMax="47" xr10:uidLastSave="{00000000-0000-0000-0000-000000000000}"/>
  <bookViews>
    <workbookView xWindow="-120" yWindow="-120" windowWidth="20730" windowHeight="11160" tabRatio="500" xr2:uid="{00000000-000D-0000-FFFF-FFFF00000000}"/>
  </bookViews>
  <sheets>
    <sheet name="OS-EXECUÇÃO-2017 A 2021" sheetId="1" r:id="rId1"/>
    <sheet name="Planilha2" sheetId="2" r:id="rId2"/>
  </sheets>
  <definedNames>
    <definedName name="_xlnm._FilterDatabase" localSheetId="0" hidden="1">'OS-EXECUÇÃO-2017 A 2021'!$A$6:$BM$1211</definedName>
    <definedName name="_xlnm.Print_Area" localSheetId="0">'OS-EXECUÇÃO-2017 A 2021'!$A$2:$BM$1211</definedName>
    <definedName name="_xlnm.Print_Titles" localSheetId="0">'OS-EXECUÇÃO-2017 A 2021'!$2:$6</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M1210" i="1" l="1"/>
  <c r="BL1210" i="1"/>
  <c r="BI1210" i="1"/>
  <c r="BH1210" i="1"/>
  <c r="BA1210" i="1"/>
  <c r="AZ1210" i="1"/>
  <c r="AY1210" i="1"/>
  <c r="AX1210" i="1"/>
  <c r="AW1210" i="1"/>
  <c r="AV1210" i="1"/>
  <c r="AU1210" i="1"/>
  <c r="AS1210" i="1"/>
  <c r="AR1210" i="1"/>
  <c r="AQ1210" i="1"/>
  <c r="AP1210" i="1"/>
  <c r="AO1210" i="1"/>
  <c r="AN1210" i="1"/>
  <c r="AG1210" i="1"/>
  <c r="AF1210" i="1"/>
  <c r="AE1210" i="1"/>
  <c r="AD1210" i="1"/>
  <c r="AC1210" i="1"/>
  <c r="AB1210" i="1"/>
  <c r="AA1210" i="1"/>
  <c r="Z1210" i="1"/>
  <c r="Y1210" i="1"/>
  <c r="BA1209" i="1"/>
  <c r="AS1209" i="1"/>
  <c r="BH1209" i="1" s="1"/>
  <c r="AG1209" i="1"/>
  <c r="AE1209" i="1"/>
  <c r="AD1209" i="1"/>
  <c r="AA1209" i="1"/>
  <c r="Y1209" i="1"/>
  <c r="BL1208" i="1"/>
  <c r="BA1208" i="1"/>
  <c r="BH1208" i="1" s="1"/>
  <c r="AU1208" i="1"/>
  <c r="AS1208" i="1"/>
  <c r="AG1208" i="1"/>
  <c r="AE1208" i="1"/>
  <c r="Q1208" i="1"/>
  <c r="Y1208" i="1" s="1"/>
  <c r="BI1208" i="1" s="1"/>
  <c r="BL1207" i="1"/>
  <c r="BA1207" i="1"/>
  <c r="BH1207" i="1" s="1"/>
  <c r="AU1207" i="1"/>
  <c r="AS1207" i="1"/>
  <c r="AG1207" i="1"/>
  <c r="Y1207" i="1"/>
  <c r="BI1207" i="1" s="1"/>
  <c r="R1207" i="1"/>
  <c r="Q1207" i="1"/>
  <c r="BL1206" i="1"/>
  <c r="BA1206" i="1"/>
  <c r="AS1206" i="1"/>
  <c r="BH1206" i="1" s="1"/>
  <c r="AG1206" i="1"/>
  <c r="AD1206" i="1"/>
  <c r="Y1206" i="1"/>
  <c r="BI1206" i="1" s="1"/>
  <c r="R1206" i="1"/>
  <c r="Q1206" i="1"/>
  <c r="BL1205" i="1"/>
  <c r="BA1205" i="1"/>
  <c r="AS1205" i="1"/>
  <c r="BH1205" i="1" s="1"/>
  <c r="AG1205" i="1"/>
  <c r="Q1205" i="1"/>
  <c r="Y1205" i="1" s="1"/>
  <c r="BI1205" i="1" s="1"/>
  <c r="BL1204" i="1"/>
  <c r="BA1204" i="1"/>
  <c r="AS1204" i="1"/>
  <c r="AG1204" i="1"/>
  <c r="AE1204" i="1"/>
  <c r="Y1204" i="1"/>
  <c r="Q1204" i="1"/>
  <c r="BL1203" i="1"/>
  <c r="BH1203" i="1"/>
  <c r="BA1203" i="1"/>
  <c r="AS1203" i="1"/>
  <c r="AG1203" i="1"/>
  <c r="Y1203" i="1"/>
  <c r="Q1203" i="1"/>
  <c r="BL1202" i="1"/>
  <c r="BH1202" i="1"/>
  <c r="BA1202" i="1"/>
  <c r="AS1202" i="1"/>
  <c r="AD1202" i="1"/>
  <c r="AG1202" i="1" s="1"/>
  <c r="Y1202" i="1"/>
  <c r="BL1201" i="1"/>
  <c r="BH1201" i="1"/>
  <c r="AU1201" i="1"/>
  <c r="BA1201" i="1" s="1"/>
  <c r="AS1201" i="1"/>
  <c r="AG1201" i="1"/>
  <c r="AD1201" i="1"/>
  <c r="Y1201" i="1"/>
  <c r="BL1200" i="1"/>
  <c r="BA1200" i="1"/>
  <c r="BH1200" i="1" s="1"/>
  <c r="BI1200" i="1" s="1"/>
  <c r="AS1200" i="1"/>
  <c r="AG1200" i="1"/>
  <c r="Y1200" i="1"/>
  <c r="BL1199" i="1"/>
  <c r="BH1199" i="1"/>
  <c r="BA1199" i="1"/>
  <c r="AS1199" i="1"/>
  <c r="AG1199" i="1"/>
  <c r="Y1199" i="1"/>
  <c r="BL1198" i="1"/>
  <c r="BA1198" i="1"/>
  <c r="AS1198" i="1"/>
  <c r="BH1198" i="1" s="1"/>
  <c r="AG1198" i="1"/>
  <c r="AC1198" i="1"/>
  <c r="Y1198" i="1"/>
  <c r="BL1197" i="1"/>
  <c r="BA1197" i="1"/>
  <c r="AU1197" i="1"/>
  <c r="AS1197" i="1"/>
  <c r="BH1197" i="1" s="1"/>
  <c r="AG1197" i="1"/>
  <c r="Y1197" i="1"/>
  <c r="BL1196" i="1"/>
  <c r="BA1196" i="1"/>
  <c r="AS1196" i="1"/>
  <c r="AG1196" i="1"/>
  <c r="Y1196" i="1"/>
  <c r="BL1195" i="1"/>
  <c r="AU1195" i="1"/>
  <c r="BA1195" i="1" s="1"/>
  <c r="AS1195" i="1"/>
  <c r="AG1195" i="1"/>
  <c r="Y1195" i="1"/>
  <c r="BL1194" i="1"/>
  <c r="AU1194" i="1"/>
  <c r="BA1194" i="1" s="1"/>
  <c r="AS1194" i="1"/>
  <c r="BH1194" i="1" s="1"/>
  <c r="AG1194" i="1"/>
  <c r="Y1194" i="1"/>
  <c r="BI1194" i="1" s="1"/>
  <c r="BL1193" i="1"/>
  <c r="BA1193" i="1"/>
  <c r="AS1193" i="1"/>
  <c r="BH1193" i="1" s="1"/>
  <c r="AG1193" i="1"/>
  <c r="Y1193" i="1"/>
  <c r="BL1192" i="1"/>
  <c r="BA1192" i="1"/>
  <c r="AS1192" i="1"/>
  <c r="BH1192" i="1" s="1"/>
  <c r="AG1192" i="1"/>
  <c r="Y1192" i="1"/>
  <c r="BL1191" i="1"/>
  <c r="BH1191" i="1"/>
  <c r="BA1191" i="1"/>
  <c r="AS1191" i="1"/>
  <c r="AG1191" i="1"/>
  <c r="Y1191" i="1"/>
  <c r="BI1191" i="1" s="1"/>
  <c r="BL1190" i="1"/>
  <c r="BA1190" i="1"/>
  <c r="BH1190" i="1" s="1"/>
  <c r="BI1190" i="1" s="1"/>
  <c r="AS1190" i="1"/>
  <c r="AG1190" i="1"/>
  <c r="Y1190" i="1"/>
  <c r="BL1189" i="1"/>
  <c r="BH1189" i="1"/>
  <c r="BI1189" i="1" s="1"/>
  <c r="BA1189" i="1"/>
  <c r="AS1189" i="1"/>
  <c r="AG1189" i="1"/>
  <c r="Y1189" i="1"/>
  <c r="BL1188" i="1"/>
  <c r="BA1188" i="1"/>
  <c r="BH1188" i="1" s="1"/>
  <c r="BI1188" i="1" s="1"/>
  <c r="AS1188" i="1"/>
  <c r="AG1188" i="1"/>
  <c r="AC1188" i="1"/>
  <c r="Y1188" i="1"/>
  <c r="BL1187" i="1"/>
  <c r="BA1187" i="1"/>
  <c r="BH1187" i="1" s="1"/>
  <c r="BI1187" i="1" s="1"/>
  <c r="AS1187" i="1"/>
  <c r="AG1187" i="1"/>
  <c r="Y1187" i="1"/>
  <c r="BM1186" i="1"/>
  <c r="BL1186" i="1"/>
  <c r="BI1186" i="1"/>
  <c r="BH1186" i="1"/>
  <c r="BA1186" i="1"/>
  <c r="AZ1186" i="1"/>
  <c r="AY1186" i="1"/>
  <c r="AX1186" i="1"/>
  <c r="AW1186" i="1"/>
  <c r="AV1186" i="1"/>
  <c r="AU1186" i="1"/>
  <c r="AS1186" i="1"/>
  <c r="AR1186" i="1"/>
  <c r="AQ1186" i="1"/>
  <c r="AP1186" i="1"/>
  <c r="AO1186" i="1"/>
  <c r="AN1186" i="1"/>
  <c r="AG1186" i="1"/>
  <c r="AF1186" i="1"/>
  <c r="AE1186" i="1"/>
  <c r="AD1186" i="1"/>
  <c r="AC1186" i="1"/>
  <c r="AB1186" i="1"/>
  <c r="AA1186" i="1"/>
  <c r="Z1186" i="1"/>
  <c r="Y1186" i="1"/>
  <c r="BI1185" i="1"/>
  <c r="BA1185" i="1"/>
  <c r="BH1185" i="1" s="1"/>
  <c r="AS1185" i="1"/>
  <c r="AG1185" i="1"/>
  <c r="AE1185" i="1"/>
  <c r="AD1185" i="1"/>
  <c r="AA1185" i="1"/>
  <c r="Y1185" i="1"/>
  <c r="M1185" i="1"/>
  <c r="BA1184" i="1"/>
  <c r="BH1184" i="1" s="1"/>
  <c r="AS1184" i="1"/>
  <c r="AE1184" i="1"/>
  <c r="AG1184" i="1" s="1"/>
  <c r="Y1184" i="1"/>
  <c r="M1184" i="1"/>
  <c r="BL1183" i="1"/>
  <c r="BH1183" i="1"/>
  <c r="BA1183" i="1"/>
  <c r="AS1183" i="1"/>
  <c r="AE1183" i="1"/>
  <c r="AG1183" i="1" s="1"/>
  <c r="M1183" i="1"/>
  <c r="Y1183" i="1" s="1"/>
  <c r="BI1183" i="1" s="1"/>
  <c r="BL1182" i="1"/>
  <c r="BA1182" i="1"/>
  <c r="AS1182" i="1"/>
  <c r="BH1182" i="1" s="1"/>
  <c r="AG1182" i="1"/>
  <c r="M1182" i="1"/>
  <c r="Y1182" i="1" s="1"/>
  <c r="BI1182" i="1" s="1"/>
  <c r="BL1181" i="1"/>
  <c r="BA1181" i="1"/>
  <c r="AS1181" i="1"/>
  <c r="BH1181" i="1" s="1"/>
  <c r="AG1181" i="1"/>
  <c r="M1181" i="1"/>
  <c r="Y1181" i="1" s="1"/>
  <c r="BI1181" i="1" s="1"/>
  <c r="BL1180" i="1"/>
  <c r="BA1180" i="1"/>
  <c r="AS1180" i="1"/>
  <c r="BH1180" i="1" s="1"/>
  <c r="AG1180" i="1"/>
  <c r="M1180" i="1"/>
  <c r="Y1180" i="1" s="1"/>
  <c r="BL1179" i="1"/>
  <c r="BA1179" i="1"/>
  <c r="AS1179" i="1"/>
  <c r="BH1179" i="1" s="1"/>
  <c r="AG1179" i="1"/>
  <c r="M1179" i="1"/>
  <c r="Y1179" i="1" s="1"/>
  <c r="BL1178" i="1"/>
  <c r="BA1178" i="1"/>
  <c r="AS1178" i="1"/>
  <c r="BH1178" i="1" s="1"/>
  <c r="AG1178" i="1"/>
  <c r="AD1178" i="1"/>
  <c r="Y1178" i="1"/>
  <c r="BI1178" i="1" s="1"/>
  <c r="M1178" i="1"/>
  <c r="BL1177" i="1"/>
  <c r="BA1177" i="1"/>
  <c r="AS1177" i="1"/>
  <c r="BH1177" i="1" s="1"/>
  <c r="AG1177" i="1"/>
  <c r="Y1177" i="1"/>
  <c r="BI1177" i="1" s="1"/>
  <c r="M1177" i="1"/>
  <c r="BL1176" i="1"/>
  <c r="BA1176" i="1"/>
  <c r="AS1176" i="1"/>
  <c r="BH1176" i="1" s="1"/>
  <c r="AG1176" i="1"/>
  <c r="Y1176" i="1"/>
  <c r="BI1176" i="1" s="1"/>
  <c r="M1176" i="1"/>
  <c r="BL1175" i="1"/>
  <c r="BA1175" i="1"/>
  <c r="AS1175" i="1"/>
  <c r="BH1175" i="1" s="1"/>
  <c r="AG1175" i="1"/>
  <c r="Y1175" i="1"/>
  <c r="M1175" i="1"/>
  <c r="BL1174" i="1"/>
  <c r="BA1174" i="1"/>
  <c r="AS1174" i="1"/>
  <c r="BH1174" i="1" s="1"/>
  <c r="AD1174" i="1"/>
  <c r="AG1174" i="1" s="1"/>
  <c r="M1174" i="1"/>
  <c r="Y1174" i="1" s="1"/>
  <c r="BI1174" i="1" s="1"/>
  <c r="BL1173" i="1"/>
  <c r="BA1173" i="1"/>
  <c r="AS1173" i="1"/>
  <c r="BH1173" i="1" s="1"/>
  <c r="AG1173" i="1"/>
  <c r="M1173" i="1"/>
  <c r="Y1173" i="1" s="1"/>
  <c r="BL1172" i="1"/>
  <c r="BA1172" i="1"/>
  <c r="AS1172" i="1"/>
  <c r="BH1172" i="1" s="1"/>
  <c r="AG1172" i="1"/>
  <c r="M1172" i="1"/>
  <c r="Y1172" i="1" s="1"/>
  <c r="BL1171" i="1"/>
  <c r="BA1171" i="1"/>
  <c r="AS1171" i="1"/>
  <c r="AG1171" i="1"/>
  <c r="M1171" i="1"/>
  <c r="Y1171" i="1" s="1"/>
  <c r="BL1170" i="1"/>
  <c r="BA1170" i="1"/>
  <c r="AS1170" i="1"/>
  <c r="BH1170" i="1" s="1"/>
  <c r="AG1170" i="1"/>
  <c r="M1170" i="1"/>
  <c r="Y1170" i="1" s="1"/>
  <c r="BI1170" i="1" s="1"/>
  <c r="BL1169" i="1"/>
  <c r="BA1169" i="1"/>
  <c r="AS1169" i="1"/>
  <c r="AG1169" i="1"/>
  <c r="M1169" i="1"/>
  <c r="Y1169" i="1" s="1"/>
  <c r="BL1168" i="1"/>
  <c r="BA1168" i="1"/>
  <c r="AS1168" i="1"/>
  <c r="AG1168" i="1"/>
  <c r="AA1168" i="1"/>
  <c r="Y1168" i="1"/>
  <c r="M1168" i="1"/>
  <c r="F1168" i="1"/>
  <c r="BL1167" i="1"/>
  <c r="BI1167" i="1"/>
  <c r="BA1167" i="1"/>
  <c r="BH1167" i="1" s="1"/>
  <c r="AS1167" i="1"/>
  <c r="AG1167" i="1"/>
  <c r="Y1167" i="1"/>
  <c r="M1167" i="1"/>
  <c r="BL1166" i="1"/>
  <c r="BA1166" i="1"/>
  <c r="BH1166" i="1" s="1"/>
  <c r="BI1166" i="1" s="1"/>
  <c r="AS1166" i="1"/>
  <c r="AG1166" i="1"/>
  <c r="Y1166" i="1"/>
  <c r="M1166" i="1"/>
  <c r="BL1165" i="1"/>
  <c r="BA1165" i="1"/>
  <c r="BH1165" i="1" s="1"/>
  <c r="BI1165" i="1" s="1"/>
  <c r="AS1165" i="1"/>
  <c r="AG1165" i="1"/>
  <c r="Y1165" i="1"/>
  <c r="M1165" i="1"/>
  <c r="BL1164" i="1"/>
  <c r="BI1164" i="1"/>
  <c r="BA1164" i="1"/>
  <c r="BH1164" i="1" s="1"/>
  <c r="AS1164" i="1"/>
  <c r="AG1164" i="1"/>
  <c r="Y1164" i="1"/>
  <c r="M1164" i="1"/>
  <c r="BL1163" i="1"/>
  <c r="BA1163" i="1"/>
  <c r="BH1163" i="1" s="1"/>
  <c r="BI1163" i="1" s="1"/>
  <c r="AS1163" i="1"/>
  <c r="AG1163" i="1"/>
  <c r="Y1163" i="1"/>
  <c r="M1163" i="1"/>
  <c r="BM1162" i="1"/>
  <c r="BL1162" i="1"/>
  <c r="BI1162" i="1"/>
  <c r="BH1162" i="1"/>
  <c r="BA1162" i="1"/>
  <c r="AZ1162" i="1"/>
  <c r="AY1162" i="1"/>
  <c r="AX1162" i="1"/>
  <c r="AW1162" i="1"/>
  <c r="AV1162" i="1"/>
  <c r="AU1162" i="1"/>
  <c r="AS1162" i="1"/>
  <c r="AR1162" i="1"/>
  <c r="AQ1162" i="1"/>
  <c r="AP1162" i="1"/>
  <c r="AO1162" i="1"/>
  <c r="AN1162" i="1"/>
  <c r="AG1162" i="1"/>
  <c r="AF1162" i="1"/>
  <c r="AE1162" i="1"/>
  <c r="AD1162" i="1"/>
  <c r="AC1162" i="1"/>
  <c r="AB1162" i="1"/>
  <c r="AA1162" i="1"/>
  <c r="Z1162" i="1"/>
  <c r="Y1162" i="1"/>
  <c r="BA1161" i="1"/>
  <c r="BH1161" i="1" s="1"/>
  <c r="BI1161" i="1" s="1"/>
  <c r="BJ1161" i="1" s="1"/>
  <c r="AS1161" i="1"/>
  <c r="AG1161" i="1"/>
  <c r="Y1161" i="1"/>
  <c r="BL1160" i="1"/>
  <c r="BA1160" i="1"/>
  <c r="BH1160" i="1" s="1"/>
  <c r="BI1160" i="1" s="1"/>
  <c r="BJ1160" i="1" s="1"/>
  <c r="AS1160" i="1"/>
  <c r="AG1160" i="1"/>
  <c r="Y1160" i="1"/>
  <c r="BL1159" i="1"/>
  <c r="BJ1159" i="1"/>
  <c r="BA1159" i="1"/>
  <c r="BH1159" i="1" s="1"/>
  <c r="BI1159" i="1" s="1"/>
  <c r="AS1159" i="1"/>
  <c r="AG1159" i="1"/>
  <c r="Y1159" i="1"/>
  <c r="BL1158" i="1"/>
  <c r="BA1158" i="1"/>
  <c r="BH1158" i="1" s="1"/>
  <c r="AW1158" i="1"/>
  <c r="AS1158" i="1"/>
  <c r="AD1158" i="1"/>
  <c r="AG1158" i="1" s="1"/>
  <c r="Y1158" i="1"/>
  <c r="BJ1158" i="1" s="1"/>
  <c r="BL1157" i="1"/>
  <c r="AW1157" i="1"/>
  <c r="BA1157" i="1" s="1"/>
  <c r="AS1157" i="1"/>
  <c r="BH1157" i="1" s="1"/>
  <c r="AG1157" i="1"/>
  <c r="Y1157" i="1"/>
  <c r="BJ1157" i="1" s="1"/>
  <c r="BH1156" i="1"/>
  <c r="BA1156" i="1"/>
  <c r="AW1156" i="1"/>
  <c r="AS1156" i="1"/>
  <c r="AG1156" i="1"/>
  <c r="Y1156" i="1"/>
  <c r="BI1156" i="1" s="1"/>
  <c r="BA1155" i="1"/>
  <c r="BH1155" i="1" s="1"/>
  <c r="BI1155" i="1" s="1"/>
  <c r="AS1155" i="1"/>
  <c r="AG1155" i="1"/>
  <c r="Y1155" i="1"/>
  <c r="BM1154" i="1"/>
  <c r="BL1154" i="1"/>
  <c r="BI1154" i="1"/>
  <c r="BH1154" i="1"/>
  <c r="BA1154" i="1"/>
  <c r="AZ1154" i="1"/>
  <c r="AY1154" i="1"/>
  <c r="AX1154" i="1"/>
  <c r="AW1154" i="1"/>
  <c r="AV1154" i="1"/>
  <c r="AU1154" i="1"/>
  <c r="AS1154" i="1"/>
  <c r="AR1154" i="1"/>
  <c r="AQ1154" i="1"/>
  <c r="AP1154" i="1"/>
  <c r="AO1154" i="1"/>
  <c r="AN1154" i="1"/>
  <c r="AG1154" i="1"/>
  <c r="AF1154" i="1"/>
  <c r="AE1154" i="1"/>
  <c r="AD1154" i="1"/>
  <c r="AC1154" i="1"/>
  <c r="AB1154" i="1"/>
  <c r="AA1154" i="1"/>
  <c r="Z1154" i="1"/>
  <c r="Y1154" i="1"/>
  <c r="BL1153" i="1"/>
  <c r="BA1153" i="1"/>
  <c r="AS1153" i="1"/>
  <c r="BH1153" i="1" s="1"/>
  <c r="AG1153" i="1"/>
  <c r="Y1153" i="1"/>
  <c r="BL1152" i="1"/>
  <c r="BA1152" i="1"/>
  <c r="AS1152" i="1"/>
  <c r="BH1152" i="1" s="1"/>
  <c r="AG1152" i="1"/>
  <c r="Y1152" i="1"/>
  <c r="BJ1152" i="1" s="1"/>
  <c r="BL1151" i="1"/>
  <c r="BA1151" i="1"/>
  <c r="AS1151" i="1"/>
  <c r="BH1151" i="1" s="1"/>
  <c r="AG1151" i="1"/>
  <c r="Y1151" i="1"/>
  <c r="BJ1151" i="1" s="1"/>
  <c r="BL1150" i="1"/>
  <c r="AW1150" i="1"/>
  <c r="BA1150" i="1" s="1"/>
  <c r="AS1150" i="1"/>
  <c r="BH1150" i="1" s="1"/>
  <c r="AG1150" i="1"/>
  <c r="Y1150" i="1"/>
  <c r="BJ1150" i="1" s="1"/>
  <c r="BL1149" i="1"/>
  <c r="AW1149" i="1"/>
  <c r="BA1149" i="1" s="1"/>
  <c r="AS1149" i="1"/>
  <c r="BH1149" i="1" s="1"/>
  <c r="AG1149" i="1"/>
  <c r="BJ1149" i="1" s="1"/>
  <c r="Y1149" i="1"/>
  <c r="BA1148" i="1"/>
  <c r="AS1148" i="1"/>
  <c r="BH1148" i="1" s="1"/>
  <c r="AG1148" i="1"/>
  <c r="Y1148" i="1"/>
  <c r="BH1147" i="1"/>
  <c r="BA1147" i="1"/>
  <c r="AS1147" i="1"/>
  <c r="AG1147" i="1"/>
  <c r="Y1147" i="1"/>
  <c r="BI1147" i="1" s="1"/>
  <c r="BJ1147" i="1" s="1"/>
  <c r="BA1146" i="1"/>
  <c r="BH1146" i="1" s="1"/>
  <c r="BI1146" i="1" s="1"/>
  <c r="BJ1146" i="1" s="1"/>
  <c r="AS1146" i="1"/>
  <c r="AG1146" i="1"/>
  <c r="Y1146" i="1"/>
  <c r="BJ1145" i="1"/>
  <c r="BI1145" i="1"/>
  <c r="BH1145" i="1"/>
  <c r="BA1145" i="1"/>
  <c r="AS1145" i="1"/>
  <c r="AG1145" i="1"/>
  <c r="Y1145" i="1"/>
  <c r="BI1144" i="1"/>
  <c r="BJ1144" i="1" s="1"/>
  <c r="BH1144" i="1"/>
  <c r="BA1144" i="1"/>
  <c r="AS1144" i="1"/>
  <c r="AG1144" i="1"/>
  <c r="Y1144" i="1"/>
  <c r="BM1143" i="1"/>
  <c r="BL1143" i="1"/>
  <c r="BI1143" i="1"/>
  <c r="BH1143" i="1"/>
  <c r="BA1143" i="1"/>
  <c r="AZ1143" i="1"/>
  <c r="AY1143" i="1"/>
  <c r="AX1143" i="1"/>
  <c r="AW1143" i="1"/>
  <c r="AV1143" i="1"/>
  <c r="AU1143" i="1"/>
  <c r="AS1143" i="1"/>
  <c r="AR1143" i="1"/>
  <c r="AQ1143" i="1"/>
  <c r="AP1143" i="1"/>
  <c r="AO1143" i="1"/>
  <c r="AN1143" i="1"/>
  <c r="AG1143" i="1"/>
  <c r="AF1143" i="1"/>
  <c r="AE1143" i="1"/>
  <c r="AD1143" i="1"/>
  <c r="AC1143" i="1"/>
  <c r="AB1143" i="1"/>
  <c r="AA1143" i="1"/>
  <c r="Z1143" i="1"/>
  <c r="Y1143" i="1"/>
  <c r="BJ1142" i="1"/>
  <c r="BI1142" i="1"/>
  <c r="BH1142" i="1"/>
  <c r="BA1142" i="1"/>
  <c r="AS1142" i="1"/>
  <c r="AG1142" i="1"/>
  <c r="Y1142" i="1"/>
  <c r="BL1141" i="1"/>
  <c r="BJ1141" i="1"/>
  <c r="BI1141" i="1"/>
  <c r="BH1141" i="1"/>
  <c r="BA1141" i="1"/>
  <c r="AS1141" i="1"/>
  <c r="AG1141" i="1"/>
  <c r="Y1141" i="1"/>
  <c r="BL1140" i="1"/>
  <c r="BJ1140" i="1"/>
  <c r="BI1140" i="1"/>
  <c r="BH1140" i="1"/>
  <c r="BA1140" i="1"/>
  <c r="AS1140" i="1"/>
  <c r="AG1140" i="1"/>
  <c r="Y1140" i="1"/>
  <c r="BL1139" i="1"/>
  <c r="BJ1139" i="1"/>
  <c r="BI1139" i="1"/>
  <c r="BH1139" i="1"/>
  <c r="BA1139" i="1"/>
  <c r="AS1139" i="1"/>
  <c r="AG1139" i="1"/>
  <c r="Y1139" i="1"/>
  <c r="BL1138" i="1"/>
  <c r="BJ1138" i="1"/>
  <c r="BI1138" i="1"/>
  <c r="BH1138" i="1"/>
  <c r="BA1138" i="1"/>
  <c r="AS1138" i="1"/>
  <c r="AG1138" i="1"/>
  <c r="Y1138" i="1"/>
  <c r="BH1137" i="1"/>
  <c r="BA1137" i="1"/>
  <c r="AS1137" i="1"/>
  <c r="AG1137" i="1"/>
  <c r="Y1137" i="1"/>
  <c r="BI1137" i="1" s="1"/>
  <c r="BA1136" i="1"/>
  <c r="AS1136" i="1"/>
  <c r="BH1136" i="1" s="1"/>
  <c r="AG1136" i="1"/>
  <c r="Y1136" i="1"/>
  <c r="BH1135" i="1"/>
  <c r="BA1135" i="1"/>
  <c r="AS1135" i="1"/>
  <c r="AG1135" i="1"/>
  <c r="Y1135" i="1"/>
  <c r="BI1135" i="1" s="1"/>
  <c r="BI1134" i="1"/>
  <c r="BH1134" i="1"/>
  <c r="BA1134" i="1"/>
  <c r="AS1134" i="1"/>
  <c r="AG1134" i="1"/>
  <c r="Y1134" i="1"/>
  <c r="BH1133" i="1"/>
  <c r="BA1133" i="1"/>
  <c r="AS1133" i="1"/>
  <c r="AG1133" i="1"/>
  <c r="Y1133" i="1"/>
  <c r="BM1132" i="1"/>
  <c r="BL1132" i="1"/>
  <c r="BI1132" i="1"/>
  <c r="BH1132" i="1"/>
  <c r="BA1132" i="1"/>
  <c r="AZ1132" i="1"/>
  <c r="AY1132" i="1"/>
  <c r="AX1132" i="1"/>
  <c r="AW1132" i="1"/>
  <c r="AV1132" i="1"/>
  <c r="AU1132" i="1"/>
  <c r="AS1132" i="1"/>
  <c r="AR1132" i="1"/>
  <c r="AQ1132" i="1"/>
  <c r="AP1132" i="1"/>
  <c r="AO1132" i="1"/>
  <c r="AN1132" i="1"/>
  <c r="AG1132" i="1"/>
  <c r="AF1132" i="1"/>
  <c r="AE1132" i="1"/>
  <c r="AD1132" i="1"/>
  <c r="AC1132" i="1"/>
  <c r="AB1132" i="1"/>
  <c r="AA1132" i="1"/>
  <c r="Z1132" i="1"/>
  <c r="Y1132" i="1"/>
  <c r="BI1131" i="1"/>
  <c r="BJ1131" i="1" s="1"/>
  <c r="BH1131" i="1"/>
  <c r="BA1131" i="1"/>
  <c r="AS1131" i="1"/>
  <c r="AG1131" i="1"/>
  <c r="Y1131" i="1"/>
  <c r="BL1130" i="1"/>
  <c r="BI1130" i="1"/>
  <c r="BJ1130" i="1" s="1"/>
  <c r="BH1130" i="1"/>
  <c r="BA1130" i="1"/>
  <c r="AW1130" i="1"/>
  <c r="AS1130" i="1"/>
  <c r="AG1130" i="1"/>
  <c r="Y1130" i="1"/>
  <c r="BL1129" i="1"/>
  <c r="BJ1129" i="1"/>
  <c r="BI1129" i="1"/>
  <c r="BH1129" i="1"/>
  <c r="BA1129" i="1"/>
  <c r="AS1129" i="1"/>
  <c r="AG1129" i="1"/>
  <c r="Y1129" i="1"/>
  <c r="BL1128" i="1"/>
  <c r="BJ1128" i="1"/>
  <c r="BI1128" i="1"/>
  <c r="BH1128" i="1"/>
  <c r="BA1128" i="1"/>
  <c r="AS1128" i="1"/>
  <c r="AG1128" i="1"/>
  <c r="Y1128" i="1"/>
  <c r="BL1127" i="1"/>
  <c r="BJ1127" i="1"/>
  <c r="AW1127" i="1"/>
  <c r="BA1127" i="1" s="1"/>
  <c r="BH1127" i="1" s="1"/>
  <c r="BI1127" i="1" s="1"/>
  <c r="AS1127" i="1"/>
  <c r="AG1127" i="1"/>
  <c r="Y1127" i="1"/>
  <c r="BI1126" i="1"/>
  <c r="BH1126" i="1"/>
  <c r="BA1126" i="1"/>
  <c r="AS1126" i="1"/>
  <c r="AG1126" i="1"/>
  <c r="Y1126" i="1"/>
  <c r="BA1125" i="1"/>
  <c r="AS1125" i="1"/>
  <c r="BH1125" i="1" s="1"/>
  <c r="AG1125" i="1"/>
  <c r="Y1125" i="1"/>
  <c r="BA1124" i="1"/>
  <c r="AS1124" i="1"/>
  <c r="BH1124" i="1" s="1"/>
  <c r="AG1124" i="1"/>
  <c r="Y1124" i="1"/>
  <c r="BA1123" i="1"/>
  <c r="BH1123" i="1" s="1"/>
  <c r="BI1123" i="1" s="1"/>
  <c r="AS1123" i="1"/>
  <c r="AG1123" i="1"/>
  <c r="Y1123" i="1"/>
  <c r="BI1122" i="1"/>
  <c r="BH1122" i="1"/>
  <c r="BA1122" i="1"/>
  <c r="AS1122" i="1"/>
  <c r="AG1122" i="1"/>
  <c r="Y1122" i="1"/>
  <c r="BM1117" i="1"/>
  <c r="BL1117" i="1"/>
  <c r="BI1117" i="1"/>
  <c r="BH1117" i="1"/>
  <c r="BA1117" i="1"/>
  <c r="AZ1117" i="1"/>
  <c r="AY1117" i="1"/>
  <c r="AX1117" i="1"/>
  <c r="AW1117" i="1"/>
  <c r="AV1117" i="1"/>
  <c r="AU1117" i="1"/>
  <c r="AS1117" i="1"/>
  <c r="AR1117" i="1"/>
  <c r="AQ1117" i="1"/>
  <c r="AP1117" i="1"/>
  <c r="AO1117" i="1"/>
  <c r="AN1117" i="1"/>
  <c r="AG1117" i="1"/>
  <c r="AF1117" i="1"/>
  <c r="AE1117" i="1"/>
  <c r="AD1117" i="1"/>
  <c r="AC1117" i="1"/>
  <c r="AB1117" i="1"/>
  <c r="AA1117" i="1"/>
  <c r="Z1117" i="1"/>
  <c r="Y1117" i="1"/>
  <c r="BM1116" i="1"/>
  <c r="BJ1116" i="1"/>
  <c r="BI1116" i="1"/>
  <c r="AG1116" i="1"/>
  <c r="Y1116" i="1"/>
  <c r="BL1115" i="1"/>
  <c r="BH1115" i="1"/>
  <c r="AG1115" i="1"/>
  <c r="Y1115" i="1"/>
  <c r="BJ1115" i="1" s="1"/>
  <c r="BL1114" i="1"/>
  <c r="BH1114" i="1"/>
  <c r="AD1114" i="1"/>
  <c r="AG1114" i="1" s="1"/>
  <c r="Y1114" i="1"/>
  <c r="BJ1114" i="1" s="1"/>
  <c r="BL1113" i="1"/>
  <c r="BA1113" i="1"/>
  <c r="AS1113" i="1"/>
  <c r="BH1113" i="1" s="1"/>
  <c r="AG1113" i="1"/>
  <c r="AD1113" i="1"/>
  <c r="Y1113" i="1"/>
  <c r="E1113" i="1"/>
  <c r="BL1112" i="1"/>
  <c r="BA1112" i="1"/>
  <c r="AS1112" i="1"/>
  <c r="BH1112" i="1" s="1"/>
  <c r="AG1112" i="1"/>
  <c r="Y1112" i="1"/>
  <c r="BJ1112" i="1" s="1"/>
  <c r="BL1111" i="1"/>
  <c r="BA1111" i="1"/>
  <c r="AS1111" i="1"/>
  <c r="BH1111" i="1" s="1"/>
  <c r="AG1111" i="1"/>
  <c r="AD1111" i="1"/>
  <c r="Y1111" i="1"/>
  <c r="BI1111" i="1" s="1"/>
  <c r="BA1110" i="1"/>
  <c r="AS1110" i="1"/>
  <c r="BH1110" i="1" s="1"/>
  <c r="AG1110" i="1"/>
  <c r="Y1110" i="1"/>
  <c r="BA1109" i="1"/>
  <c r="BH1109" i="1" s="1"/>
  <c r="BI1109" i="1" s="1"/>
  <c r="AS1109" i="1"/>
  <c r="AG1109" i="1"/>
  <c r="Y1109" i="1"/>
  <c r="BI1108" i="1"/>
  <c r="BH1108" i="1"/>
  <c r="BA1108" i="1"/>
  <c r="AS1108" i="1"/>
  <c r="AG1108" i="1"/>
  <c r="Y1108" i="1"/>
  <c r="BA1107" i="1"/>
  <c r="AS1107" i="1"/>
  <c r="BH1107" i="1" s="1"/>
  <c r="AG1107" i="1"/>
  <c r="AD1107" i="1"/>
  <c r="Y1107" i="1"/>
  <c r="BM1103" i="1"/>
  <c r="BL1103" i="1"/>
  <c r="BI1103" i="1"/>
  <c r="BH1103" i="1"/>
  <c r="BA1103" i="1"/>
  <c r="AZ1103" i="1"/>
  <c r="AY1103" i="1"/>
  <c r="AX1103" i="1"/>
  <c r="AW1103" i="1"/>
  <c r="AV1103" i="1"/>
  <c r="AU1103" i="1"/>
  <c r="AS1103" i="1"/>
  <c r="AR1103" i="1"/>
  <c r="AQ1103" i="1"/>
  <c r="AP1103" i="1"/>
  <c r="AO1103" i="1"/>
  <c r="AN1103" i="1"/>
  <c r="AG1103" i="1"/>
  <c r="AF1103" i="1"/>
  <c r="AE1103" i="1"/>
  <c r="AD1103" i="1"/>
  <c r="AC1103" i="1"/>
  <c r="AB1103" i="1"/>
  <c r="AA1103" i="1"/>
  <c r="Z1103" i="1"/>
  <c r="Y1103" i="1"/>
  <c r="BM1100" i="1"/>
  <c r="BL1100" i="1"/>
  <c r="BI1100" i="1"/>
  <c r="BH1100" i="1"/>
  <c r="BA1100" i="1"/>
  <c r="AZ1100" i="1"/>
  <c r="AY1100" i="1"/>
  <c r="AX1100" i="1"/>
  <c r="AW1100" i="1"/>
  <c r="AV1100" i="1"/>
  <c r="AU1100" i="1"/>
  <c r="AS1100" i="1"/>
  <c r="AR1100" i="1"/>
  <c r="AQ1100" i="1"/>
  <c r="AP1100" i="1"/>
  <c r="AO1100" i="1"/>
  <c r="AN1100" i="1"/>
  <c r="AG1100" i="1"/>
  <c r="AF1100" i="1"/>
  <c r="AE1100" i="1"/>
  <c r="AD1100" i="1"/>
  <c r="AC1100" i="1"/>
  <c r="AB1100" i="1"/>
  <c r="AA1100" i="1"/>
  <c r="Z1100" i="1"/>
  <c r="Y1100" i="1"/>
  <c r="BM1096" i="1"/>
  <c r="BL1096" i="1"/>
  <c r="BI1096" i="1"/>
  <c r="BH1096" i="1"/>
  <c r="BA1096" i="1"/>
  <c r="AZ1096" i="1"/>
  <c r="AY1096" i="1"/>
  <c r="AX1096" i="1"/>
  <c r="AW1096" i="1"/>
  <c r="AV1096" i="1"/>
  <c r="AU1096" i="1"/>
  <c r="AS1096" i="1"/>
  <c r="AR1096" i="1"/>
  <c r="AQ1096" i="1"/>
  <c r="AP1096" i="1"/>
  <c r="AO1096" i="1"/>
  <c r="AN1096" i="1"/>
  <c r="AG1096" i="1"/>
  <c r="AF1096" i="1"/>
  <c r="AE1096" i="1"/>
  <c r="AD1096" i="1"/>
  <c r="AC1096" i="1"/>
  <c r="AB1096" i="1"/>
  <c r="AA1096" i="1"/>
  <c r="Z1096" i="1"/>
  <c r="Y1096" i="1"/>
  <c r="BM1091" i="1"/>
  <c r="BL1091" i="1"/>
  <c r="BI1091" i="1"/>
  <c r="BH1091" i="1"/>
  <c r="BA1091" i="1"/>
  <c r="AZ1091" i="1"/>
  <c r="AY1091" i="1"/>
  <c r="AX1091" i="1"/>
  <c r="AW1091" i="1"/>
  <c r="AV1091" i="1"/>
  <c r="AU1091" i="1"/>
  <c r="AS1091" i="1"/>
  <c r="AR1091" i="1"/>
  <c r="AQ1091" i="1"/>
  <c r="AP1091" i="1"/>
  <c r="AO1091" i="1"/>
  <c r="AN1091" i="1"/>
  <c r="AG1091" i="1"/>
  <c r="AF1091" i="1"/>
  <c r="AE1091" i="1"/>
  <c r="AD1091" i="1"/>
  <c r="AC1091" i="1"/>
  <c r="AB1091" i="1"/>
  <c r="AA1091" i="1"/>
  <c r="Z1091" i="1"/>
  <c r="Y1091" i="1"/>
  <c r="BH1090" i="1"/>
  <c r="BA1090" i="1"/>
  <c r="AG1090" i="1"/>
  <c r="Y1090" i="1"/>
  <c r="BJ1090" i="1" s="1"/>
  <c r="BA1089" i="1"/>
  <c r="BH1089" i="1" s="1"/>
  <c r="AG1089" i="1"/>
  <c r="Y1089" i="1"/>
  <c r="BJ1089" i="1" s="1"/>
  <c r="BJ1088" i="1"/>
  <c r="BH1088" i="1"/>
  <c r="BI1088" i="1" s="1"/>
  <c r="BA1088" i="1"/>
  <c r="AG1088" i="1"/>
  <c r="Y1088" i="1"/>
  <c r="BL1087" i="1"/>
  <c r="BA1087" i="1"/>
  <c r="BH1087" i="1" s="1"/>
  <c r="AS1087" i="1"/>
  <c r="AG1087" i="1"/>
  <c r="E1087" i="1"/>
  <c r="Y1087" i="1" s="1"/>
  <c r="BL1086" i="1"/>
  <c r="BH1086" i="1"/>
  <c r="BA1086" i="1"/>
  <c r="AS1086" i="1"/>
  <c r="AG1086" i="1"/>
  <c r="Y1086" i="1"/>
  <c r="BL1085" i="1"/>
  <c r="BA1085" i="1"/>
  <c r="BH1085" i="1" s="1"/>
  <c r="AX1085" i="1"/>
  <c r="AS1085" i="1"/>
  <c r="AG1085" i="1"/>
  <c r="Y1085" i="1"/>
  <c r="BI1085" i="1" s="1"/>
  <c r="BI1084" i="1"/>
  <c r="BH1084" i="1"/>
  <c r="BA1084" i="1"/>
  <c r="AS1084" i="1"/>
  <c r="AG1084" i="1"/>
  <c r="Y1084" i="1"/>
  <c r="BL1083" i="1"/>
  <c r="BI1083" i="1"/>
  <c r="BH1083" i="1"/>
  <c r="BA1083" i="1"/>
  <c r="AX1083" i="1"/>
  <c r="AS1083" i="1"/>
  <c r="AG1083" i="1"/>
  <c r="Y1083" i="1"/>
  <c r="BI1082" i="1"/>
  <c r="BJ1082" i="1" s="1"/>
  <c r="BH1082" i="1"/>
  <c r="BA1082" i="1"/>
  <c r="AS1082" i="1"/>
  <c r="AG1082" i="1"/>
  <c r="Y1082" i="1"/>
  <c r="BH1081" i="1"/>
  <c r="BA1081" i="1"/>
  <c r="AS1081" i="1"/>
  <c r="AG1081" i="1"/>
  <c r="Y1081" i="1"/>
  <c r="BM1072" i="1"/>
  <c r="BL1072" i="1"/>
  <c r="BI1072" i="1"/>
  <c r="BH1072" i="1"/>
  <c r="BA1072" i="1"/>
  <c r="AZ1072" i="1"/>
  <c r="AY1072" i="1"/>
  <c r="AX1072" i="1"/>
  <c r="AW1072" i="1"/>
  <c r="AV1072" i="1"/>
  <c r="AU1072" i="1"/>
  <c r="AS1072" i="1"/>
  <c r="AR1072" i="1"/>
  <c r="AQ1072" i="1"/>
  <c r="AP1072" i="1"/>
  <c r="AO1072" i="1"/>
  <c r="AN1072" i="1"/>
  <c r="AG1072" i="1"/>
  <c r="AF1072" i="1"/>
  <c r="AE1072" i="1"/>
  <c r="AD1072" i="1"/>
  <c r="AC1072" i="1"/>
  <c r="AB1072" i="1"/>
  <c r="AA1072" i="1"/>
  <c r="Z1072" i="1"/>
  <c r="Y1072" i="1"/>
  <c r="BI1071" i="1"/>
  <c r="BM1071" i="1" s="1"/>
  <c r="BH1071" i="1"/>
  <c r="BA1071" i="1"/>
  <c r="AG1071" i="1"/>
  <c r="Y1071" i="1"/>
  <c r="BA1070" i="1"/>
  <c r="BH1070" i="1" s="1"/>
  <c r="AG1070" i="1"/>
  <c r="Y1070" i="1"/>
  <c r="BJ1070" i="1" s="1"/>
  <c r="BL1069" i="1"/>
  <c r="BA1069" i="1"/>
  <c r="BH1069" i="1" s="1"/>
  <c r="AG1069" i="1"/>
  <c r="AD1069" i="1"/>
  <c r="Y1069" i="1"/>
  <c r="BJ1069" i="1" s="1"/>
  <c r="BL1068" i="1"/>
  <c r="BA1068" i="1"/>
  <c r="AS1068" i="1"/>
  <c r="BH1068" i="1" s="1"/>
  <c r="AG1068" i="1"/>
  <c r="Y1068" i="1"/>
  <c r="BJ1068" i="1" s="1"/>
  <c r="E1068" i="1"/>
  <c r="BL1067" i="1"/>
  <c r="BA1067" i="1"/>
  <c r="AS1067" i="1"/>
  <c r="AG1067" i="1"/>
  <c r="Y1067" i="1"/>
  <c r="BJ1067" i="1" s="1"/>
  <c r="BL1066" i="1"/>
  <c r="BA1066" i="1"/>
  <c r="AS1066" i="1"/>
  <c r="BH1066" i="1" s="1"/>
  <c r="AG1066" i="1"/>
  <c r="Y1066" i="1"/>
  <c r="BJ1066" i="1" s="1"/>
  <c r="BA1065" i="1"/>
  <c r="AS1065" i="1"/>
  <c r="BH1065" i="1" s="1"/>
  <c r="AG1065" i="1"/>
  <c r="Y1065" i="1"/>
  <c r="BA1064" i="1"/>
  <c r="BH1064" i="1" s="1"/>
  <c r="BI1064" i="1" s="1"/>
  <c r="AS1064" i="1"/>
  <c r="AG1064" i="1"/>
  <c r="Y1064" i="1"/>
  <c r="BI1063" i="1"/>
  <c r="BH1063" i="1"/>
  <c r="BA1063" i="1"/>
  <c r="AS1063" i="1"/>
  <c r="AG1063" i="1"/>
  <c r="Y1063" i="1"/>
  <c r="BA1062" i="1"/>
  <c r="AS1062" i="1"/>
  <c r="BH1062" i="1" s="1"/>
  <c r="AG1062" i="1"/>
  <c r="Y1062" i="1"/>
  <c r="BM1053" i="1"/>
  <c r="BL1053" i="1"/>
  <c r="BI1053" i="1"/>
  <c r="BH1053" i="1"/>
  <c r="BA1053" i="1"/>
  <c r="AZ1053" i="1"/>
  <c r="AY1053" i="1"/>
  <c r="AX1053" i="1"/>
  <c r="AW1053" i="1"/>
  <c r="AV1053" i="1"/>
  <c r="AU1053" i="1"/>
  <c r="AS1053" i="1"/>
  <c r="AR1053" i="1"/>
  <c r="AQ1053" i="1"/>
  <c r="AP1053" i="1"/>
  <c r="AO1053" i="1"/>
  <c r="AN1053" i="1"/>
  <c r="AG1053" i="1"/>
  <c r="AF1053" i="1"/>
  <c r="AE1053" i="1"/>
  <c r="AD1053" i="1"/>
  <c r="AC1053" i="1"/>
  <c r="AB1053" i="1"/>
  <c r="AA1053" i="1"/>
  <c r="Z1053" i="1"/>
  <c r="Y1053" i="1"/>
  <c r="BH1052" i="1"/>
  <c r="BA1052" i="1"/>
  <c r="AG1052" i="1"/>
  <c r="Y1052" i="1"/>
  <c r="BI1052" i="1" s="1"/>
  <c r="BM1052" i="1" s="1"/>
  <c r="BA1051" i="1"/>
  <c r="BH1051" i="1" s="1"/>
  <c r="AG1051" i="1"/>
  <c r="Y1051" i="1"/>
  <c r="BJ1051" i="1" s="1"/>
  <c r="BL1050" i="1"/>
  <c r="BA1050" i="1"/>
  <c r="BH1050" i="1" s="1"/>
  <c r="AD1050" i="1"/>
  <c r="AG1050" i="1" s="1"/>
  <c r="Y1050" i="1"/>
  <c r="BJ1050" i="1" s="1"/>
  <c r="BL1049" i="1"/>
  <c r="BA1049" i="1"/>
  <c r="AS1049" i="1"/>
  <c r="BH1049" i="1" s="1"/>
  <c r="AG1049" i="1"/>
  <c r="AD1049" i="1"/>
  <c r="Y1049" i="1"/>
  <c r="E1049" i="1"/>
  <c r="BL1048" i="1"/>
  <c r="BA1048" i="1"/>
  <c r="AS1048" i="1"/>
  <c r="AG1048" i="1"/>
  <c r="Y1048" i="1"/>
  <c r="BJ1048" i="1" s="1"/>
  <c r="BL1047" i="1"/>
  <c r="AX1047" i="1"/>
  <c r="BA1047" i="1" s="1"/>
  <c r="AS1047" i="1"/>
  <c r="BH1047" i="1" s="1"/>
  <c r="AG1047" i="1"/>
  <c r="Y1047" i="1"/>
  <c r="BI1047" i="1" s="1"/>
  <c r="BL1046" i="1"/>
  <c r="AX1046" i="1"/>
  <c r="BA1046" i="1" s="1"/>
  <c r="AS1046" i="1"/>
  <c r="BH1046" i="1" s="1"/>
  <c r="AG1046" i="1"/>
  <c r="Y1046" i="1"/>
  <c r="BL1045" i="1"/>
  <c r="AX1045" i="1"/>
  <c r="BA1045" i="1" s="1"/>
  <c r="AS1045" i="1"/>
  <c r="BH1045" i="1" s="1"/>
  <c r="AG1045" i="1"/>
  <c r="Y1045" i="1"/>
  <c r="BA1044" i="1"/>
  <c r="AS1044" i="1"/>
  <c r="BH1044" i="1" s="1"/>
  <c r="AG1044" i="1"/>
  <c r="Y1044" i="1"/>
  <c r="BI1044" i="1" s="1"/>
  <c r="BA1043" i="1"/>
  <c r="BH1043" i="1" s="1"/>
  <c r="BI1043" i="1" s="1"/>
  <c r="AS1043" i="1"/>
  <c r="AG1043" i="1"/>
  <c r="Y1043" i="1"/>
  <c r="BM1034" i="1"/>
  <c r="BL1034" i="1"/>
  <c r="BI1034" i="1"/>
  <c r="BH1034" i="1"/>
  <c r="BA1034" i="1"/>
  <c r="AZ1034" i="1"/>
  <c r="AY1034" i="1"/>
  <c r="AX1034" i="1"/>
  <c r="AW1034" i="1"/>
  <c r="AV1034" i="1"/>
  <c r="AU1034" i="1"/>
  <c r="AS1034" i="1"/>
  <c r="AR1034" i="1"/>
  <c r="AQ1034" i="1"/>
  <c r="AP1034" i="1"/>
  <c r="AO1034" i="1"/>
  <c r="AN1034" i="1"/>
  <c r="AG1034" i="1"/>
  <c r="AF1034" i="1"/>
  <c r="AE1034" i="1"/>
  <c r="AD1034" i="1"/>
  <c r="AC1034" i="1"/>
  <c r="AB1034" i="1"/>
  <c r="AA1034" i="1"/>
  <c r="Z1034" i="1"/>
  <c r="Y1034" i="1"/>
  <c r="BA1033" i="1"/>
  <c r="BH1033" i="1" s="1"/>
  <c r="AG1033" i="1"/>
  <c r="Y1033" i="1"/>
  <c r="BJ1032" i="1"/>
  <c r="BA1032" i="1"/>
  <c r="BH1032" i="1" s="1"/>
  <c r="BI1032" i="1" s="1"/>
  <c r="AG1032" i="1"/>
  <c r="Y1032" i="1"/>
  <c r="BI1031" i="1"/>
  <c r="BH1031" i="1"/>
  <c r="BA1031" i="1"/>
  <c r="AG1031" i="1"/>
  <c r="Y1031" i="1"/>
  <c r="BJ1031" i="1" s="1"/>
  <c r="BL1030" i="1"/>
  <c r="BH1030" i="1"/>
  <c r="BA1030" i="1"/>
  <c r="AS1030" i="1"/>
  <c r="AG1030" i="1"/>
  <c r="Y1030" i="1"/>
  <c r="BJ1030" i="1" s="1"/>
  <c r="E1030" i="1"/>
  <c r="BL1029" i="1"/>
  <c r="BI1029" i="1"/>
  <c r="BH1029" i="1"/>
  <c r="BA1029" i="1"/>
  <c r="AS1029" i="1"/>
  <c r="AG1029" i="1"/>
  <c r="BJ1029" i="1" s="1"/>
  <c r="Y1029" i="1"/>
  <c r="BL1028" i="1"/>
  <c r="BH1028" i="1"/>
  <c r="BA1028" i="1"/>
  <c r="AS1028" i="1"/>
  <c r="AG1028" i="1"/>
  <c r="Y1028" i="1"/>
  <c r="BL1027" i="1"/>
  <c r="BA1027" i="1"/>
  <c r="AS1027" i="1"/>
  <c r="BH1027" i="1" s="1"/>
  <c r="AG1027" i="1"/>
  <c r="Y1027" i="1"/>
  <c r="BL1026" i="1"/>
  <c r="AX1026" i="1"/>
  <c r="BA1026" i="1" s="1"/>
  <c r="AS1026" i="1"/>
  <c r="AG1026" i="1"/>
  <c r="Y1026" i="1"/>
  <c r="BL1025" i="1"/>
  <c r="BA1025" i="1"/>
  <c r="AX1025" i="1"/>
  <c r="AS1025" i="1"/>
  <c r="AG1025" i="1"/>
  <c r="Y1025" i="1"/>
  <c r="BA1024" i="1"/>
  <c r="AS1024" i="1"/>
  <c r="BH1024" i="1" s="1"/>
  <c r="AG1024" i="1"/>
  <c r="Y1024" i="1"/>
  <c r="BI1024" i="1" s="1"/>
  <c r="BJ1024" i="1" s="1"/>
  <c r="BM1013" i="1"/>
  <c r="BL1013" i="1"/>
  <c r="BI1013" i="1"/>
  <c r="BH1013" i="1"/>
  <c r="BA1013" i="1"/>
  <c r="AZ1013" i="1"/>
  <c r="AY1013" i="1"/>
  <c r="AX1013" i="1"/>
  <c r="AW1013" i="1"/>
  <c r="AV1013" i="1"/>
  <c r="AU1013" i="1"/>
  <c r="AS1013" i="1"/>
  <c r="AR1013" i="1"/>
  <c r="AQ1013" i="1"/>
  <c r="AP1013" i="1"/>
  <c r="AO1013" i="1"/>
  <c r="AN1013" i="1"/>
  <c r="AG1013" i="1"/>
  <c r="AF1013" i="1"/>
  <c r="AE1013" i="1"/>
  <c r="AD1013" i="1"/>
  <c r="AC1013" i="1"/>
  <c r="AB1013" i="1"/>
  <c r="AA1013" i="1"/>
  <c r="Z1013" i="1"/>
  <c r="Y1013" i="1"/>
  <c r="BM1005" i="1"/>
  <c r="BM1211" i="1" s="1"/>
  <c r="AZ1005" i="1"/>
  <c r="AZ1211" i="1" s="1"/>
  <c r="AY1005" i="1"/>
  <c r="AY1211" i="1" s="1"/>
  <c r="AX1005" i="1"/>
  <c r="AX1211" i="1" s="1"/>
  <c r="AW1005" i="1"/>
  <c r="AW1211" i="1" s="1"/>
  <c r="AV1005" i="1"/>
  <c r="AV1211" i="1" s="1"/>
  <c r="AU1005" i="1"/>
  <c r="AU1211" i="1" s="1"/>
  <c r="AR1005" i="1"/>
  <c r="AR1211" i="1" s="1"/>
  <c r="AQ1005" i="1"/>
  <c r="AQ1211" i="1" s="1"/>
  <c r="AP1005" i="1"/>
  <c r="AP1211" i="1" s="1"/>
  <c r="AO1005" i="1"/>
  <c r="AO1211" i="1" s="1"/>
  <c r="AN1005" i="1"/>
  <c r="AN1211" i="1" s="1"/>
  <c r="AF1005" i="1"/>
  <c r="AF1211" i="1" s="1"/>
  <c r="AE1005" i="1"/>
  <c r="AE1211" i="1" s="1"/>
  <c r="AD1005" i="1"/>
  <c r="AD1211" i="1" s="1"/>
  <c r="AC1005" i="1"/>
  <c r="AC1211" i="1" s="1"/>
  <c r="AB1005" i="1"/>
  <c r="AB1211" i="1" s="1"/>
  <c r="AA1005" i="1"/>
  <c r="AA1211" i="1" s="1"/>
  <c r="Z1005" i="1"/>
  <c r="Z1211" i="1" s="1"/>
  <c r="BL1004" i="1"/>
  <c r="BJ1004" i="1"/>
  <c r="BA1004" i="1"/>
  <c r="BH1004" i="1" s="1"/>
  <c r="BI1004" i="1" s="1"/>
  <c r="AS1004" i="1"/>
  <c r="AG1004" i="1"/>
  <c r="Y1004" i="1"/>
  <c r="BL1003" i="1"/>
  <c r="BA1003" i="1"/>
  <c r="BH1003" i="1" s="1"/>
  <c r="BI1003" i="1" s="1"/>
  <c r="BJ1003" i="1" s="1"/>
  <c r="AS1003" i="1"/>
  <c r="AG1003" i="1"/>
  <c r="Y1003" i="1"/>
  <c r="BL1002" i="1"/>
  <c r="BJ1002" i="1"/>
  <c r="BA1002" i="1"/>
  <c r="BH1002" i="1" s="1"/>
  <c r="BI1002" i="1" s="1"/>
  <c r="AS1002" i="1"/>
  <c r="AG1002" i="1"/>
  <c r="Y1002" i="1"/>
  <c r="BL1001" i="1"/>
  <c r="BJ1001" i="1"/>
  <c r="BA1001" i="1"/>
  <c r="BH1001" i="1" s="1"/>
  <c r="BI1001" i="1" s="1"/>
  <c r="AS1001" i="1"/>
  <c r="AG1001" i="1"/>
  <c r="Y1001" i="1"/>
  <c r="BL1000" i="1"/>
  <c r="BJ1000" i="1"/>
  <c r="BA1000" i="1"/>
  <c r="BH1000" i="1" s="1"/>
  <c r="BI1000" i="1" s="1"/>
  <c r="AS1000" i="1"/>
  <c r="AG1000" i="1"/>
  <c r="Y1000" i="1"/>
  <c r="BH999" i="1"/>
  <c r="BI999" i="1" s="1"/>
  <c r="BA999" i="1"/>
  <c r="AS999" i="1"/>
  <c r="AG999" i="1"/>
  <c r="Y999" i="1"/>
  <c r="BA998" i="1"/>
  <c r="AS998" i="1"/>
  <c r="BH998" i="1" s="1"/>
  <c r="AG998" i="1"/>
  <c r="Y998" i="1"/>
  <c r="BI998" i="1" s="1"/>
  <c r="BA997" i="1"/>
  <c r="AS997" i="1"/>
  <c r="BH997" i="1" s="1"/>
  <c r="AG997" i="1"/>
  <c r="Y997" i="1"/>
  <c r="BA996" i="1"/>
  <c r="BH996" i="1" s="1"/>
  <c r="BI996" i="1" s="1"/>
  <c r="AS996" i="1"/>
  <c r="AG996" i="1"/>
  <c r="Y996" i="1"/>
  <c r="BI995" i="1"/>
  <c r="BH995" i="1"/>
  <c r="BA995" i="1"/>
  <c r="AS995" i="1"/>
  <c r="AG995" i="1"/>
  <c r="Y995" i="1"/>
  <c r="BL978" i="1"/>
  <c r="BH978" i="1"/>
  <c r="BA978" i="1"/>
  <c r="BA1005" i="1" s="1"/>
  <c r="BM977" i="1"/>
  <c r="BL977" i="1"/>
  <c r="BI977" i="1"/>
  <c r="BH977" i="1"/>
  <c r="BA977" i="1"/>
  <c r="AZ977" i="1"/>
  <c r="AY977" i="1"/>
  <c r="AX977" i="1"/>
  <c r="AW977" i="1"/>
  <c r="AV977" i="1"/>
  <c r="AU977" i="1"/>
  <c r="AS977" i="1"/>
  <c r="AR977" i="1"/>
  <c r="AQ977" i="1"/>
  <c r="AP977" i="1"/>
  <c r="AO977" i="1"/>
  <c r="AN977" i="1"/>
  <c r="AG977" i="1"/>
  <c r="AF977" i="1"/>
  <c r="AE977" i="1"/>
  <c r="AD977" i="1"/>
  <c r="AC977" i="1"/>
  <c r="AB977" i="1"/>
  <c r="AA977" i="1"/>
  <c r="Z977" i="1"/>
  <c r="Y977" i="1"/>
  <c r="BA976" i="1"/>
  <c r="AS976" i="1"/>
  <c r="BH976" i="1" s="1"/>
  <c r="AG976" i="1"/>
  <c r="Y976" i="1"/>
  <c r="BI976" i="1" s="1"/>
  <c r="BJ976" i="1" s="1"/>
  <c r="BA975" i="1"/>
  <c r="AS975" i="1"/>
  <c r="BH975" i="1" s="1"/>
  <c r="AG975" i="1"/>
  <c r="Y975" i="1"/>
  <c r="BI975" i="1" s="1"/>
  <c r="BJ975" i="1" s="1"/>
  <c r="BL974" i="1"/>
  <c r="BA974" i="1"/>
  <c r="AS974" i="1"/>
  <c r="BH974" i="1" s="1"/>
  <c r="AD974" i="1"/>
  <c r="AG974" i="1" s="1"/>
  <c r="BJ974" i="1" s="1"/>
  <c r="Y974" i="1"/>
  <c r="BL973" i="1"/>
  <c r="BA973" i="1"/>
  <c r="AS973" i="1"/>
  <c r="BH973" i="1" s="1"/>
  <c r="AG973" i="1"/>
  <c r="AD973" i="1"/>
  <c r="Y973" i="1"/>
  <c r="BJ973" i="1" s="1"/>
  <c r="BL972" i="1"/>
  <c r="BA972" i="1"/>
  <c r="AS972" i="1"/>
  <c r="BH972" i="1" s="1"/>
  <c r="AG972" i="1"/>
  <c r="Y972" i="1"/>
  <c r="BJ972" i="1" s="1"/>
  <c r="BA971" i="1"/>
  <c r="AS971" i="1"/>
  <c r="BH971" i="1" s="1"/>
  <c r="AG971" i="1"/>
  <c r="Y971" i="1"/>
  <c r="BH970" i="1"/>
  <c r="BA970" i="1"/>
  <c r="AS970" i="1"/>
  <c r="AG970" i="1"/>
  <c r="Y970" i="1"/>
  <c r="BI970" i="1" s="1"/>
  <c r="BH969" i="1"/>
  <c r="BI969" i="1" s="1"/>
  <c r="BA969" i="1"/>
  <c r="AS969" i="1"/>
  <c r="AG969" i="1"/>
  <c r="Y969" i="1"/>
  <c r="BA968" i="1"/>
  <c r="AS968" i="1"/>
  <c r="BH968" i="1" s="1"/>
  <c r="AG968" i="1"/>
  <c r="Y968" i="1"/>
  <c r="BA967" i="1"/>
  <c r="AS967" i="1"/>
  <c r="BH967" i="1" s="1"/>
  <c r="AG967" i="1"/>
  <c r="Y967" i="1"/>
  <c r="BI967" i="1" s="1"/>
  <c r="BM940" i="1"/>
  <c r="BL940" i="1"/>
  <c r="BI940" i="1"/>
  <c r="BH940" i="1"/>
  <c r="BA940" i="1"/>
  <c r="AZ940" i="1"/>
  <c r="AY940" i="1"/>
  <c r="AX940" i="1"/>
  <c r="AW940" i="1"/>
  <c r="AV940" i="1"/>
  <c r="AU940" i="1"/>
  <c r="AS940" i="1"/>
  <c r="AR940" i="1"/>
  <c r="AQ940" i="1"/>
  <c r="AP940" i="1"/>
  <c r="AO940" i="1"/>
  <c r="AN940" i="1"/>
  <c r="AG940" i="1"/>
  <c r="AF940" i="1"/>
  <c r="AE940" i="1"/>
  <c r="AD940" i="1"/>
  <c r="AC940" i="1"/>
  <c r="AB940" i="1"/>
  <c r="AA940" i="1"/>
  <c r="Z940" i="1"/>
  <c r="Y940" i="1"/>
  <c r="BA939" i="1"/>
  <c r="AS939" i="1"/>
  <c r="AG939" i="1"/>
  <c r="Y939" i="1"/>
  <c r="BA938" i="1"/>
  <c r="AS938" i="1"/>
  <c r="BH938" i="1" s="1"/>
  <c r="AG938" i="1"/>
  <c r="Y938" i="1"/>
  <c r="BI938" i="1" s="1"/>
  <c r="BJ938" i="1" s="1"/>
  <c r="BL937" i="1"/>
  <c r="BA937" i="1"/>
  <c r="AS937" i="1"/>
  <c r="BH937" i="1" s="1"/>
  <c r="AD937" i="1"/>
  <c r="AG937" i="1" s="1"/>
  <c r="BJ937" i="1" s="1"/>
  <c r="AA937" i="1"/>
  <c r="Z937" i="1"/>
  <c r="Y937" i="1"/>
  <c r="BL936" i="1"/>
  <c r="BA936" i="1"/>
  <c r="BH936" i="1" s="1"/>
  <c r="AS936" i="1"/>
  <c r="AG936" i="1"/>
  <c r="AD936" i="1"/>
  <c r="AA936" i="1"/>
  <c r="Z936" i="1"/>
  <c r="Y936" i="1"/>
  <c r="BJ936" i="1" s="1"/>
  <c r="BL935" i="1"/>
  <c r="BH935" i="1"/>
  <c r="BA935" i="1"/>
  <c r="AS935" i="1"/>
  <c r="AG935" i="1"/>
  <c r="Y935" i="1"/>
  <c r="BI935" i="1" s="1"/>
  <c r="BI934" i="1"/>
  <c r="BH934" i="1"/>
  <c r="BA934" i="1"/>
  <c r="AS934" i="1"/>
  <c r="AG934" i="1"/>
  <c r="Y934" i="1"/>
  <c r="BA933" i="1"/>
  <c r="BH933" i="1" s="1"/>
  <c r="AS933" i="1"/>
  <c r="AG933" i="1"/>
  <c r="Y933" i="1"/>
  <c r="BA932" i="1"/>
  <c r="AS932" i="1"/>
  <c r="BH932" i="1" s="1"/>
  <c r="AG932" i="1"/>
  <c r="Y932" i="1"/>
  <c r="BI932" i="1" s="1"/>
  <c r="BH931" i="1"/>
  <c r="BA931" i="1"/>
  <c r="AS931" i="1"/>
  <c r="AG931" i="1"/>
  <c r="Y931" i="1"/>
  <c r="BI931" i="1" s="1"/>
  <c r="BH930" i="1"/>
  <c r="BI930" i="1" s="1"/>
  <c r="BA930" i="1"/>
  <c r="AS930" i="1"/>
  <c r="AG930" i="1"/>
  <c r="Y930" i="1"/>
  <c r="BM902" i="1"/>
  <c r="BL902" i="1"/>
  <c r="BI902" i="1"/>
  <c r="BH902" i="1"/>
  <c r="BA902" i="1"/>
  <c r="AZ902" i="1"/>
  <c r="AY902" i="1"/>
  <c r="AX902" i="1"/>
  <c r="AW902" i="1"/>
  <c r="AV902" i="1"/>
  <c r="AU902" i="1"/>
  <c r="AS902" i="1"/>
  <c r="AR902" i="1"/>
  <c r="AQ902" i="1"/>
  <c r="AP902" i="1"/>
  <c r="AO902" i="1"/>
  <c r="AN902" i="1"/>
  <c r="AG902" i="1"/>
  <c r="AF902" i="1"/>
  <c r="AE902" i="1"/>
  <c r="AD902" i="1"/>
  <c r="AC902" i="1"/>
  <c r="AB902" i="1"/>
  <c r="AA902" i="1"/>
  <c r="Z902" i="1"/>
  <c r="Y902" i="1"/>
  <c r="BA901" i="1"/>
  <c r="BH901" i="1" s="1"/>
  <c r="BI901" i="1" s="1"/>
  <c r="BJ901" i="1" s="1"/>
  <c r="AS901" i="1"/>
  <c r="AG901" i="1"/>
  <c r="Y901" i="1"/>
  <c r="BL900" i="1"/>
  <c r="BJ900" i="1"/>
  <c r="BH900" i="1"/>
  <c r="BA900" i="1"/>
  <c r="AW900" i="1"/>
  <c r="AS900" i="1"/>
  <c r="AG900" i="1"/>
  <c r="Y900" i="1"/>
  <c r="BI900" i="1" s="1"/>
  <c r="BM900" i="1" s="1"/>
  <c r="BL899" i="1"/>
  <c r="BA899" i="1"/>
  <c r="AS899" i="1"/>
  <c r="BH899" i="1" s="1"/>
  <c r="AG899" i="1"/>
  <c r="Y899" i="1"/>
  <c r="BL898" i="1"/>
  <c r="BA898" i="1"/>
  <c r="AS898" i="1"/>
  <c r="BH898" i="1" s="1"/>
  <c r="AG898" i="1"/>
  <c r="Y898" i="1"/>
  <c r="BA897" i="1"/>
  <c r="BH897" i="1" s="1"/>
  <c r="BI897" i="1" s="1"/>
  <c r="AS897" i="1"/>
  <c r="AG897" i="1"/>
  <c r="Y897" i="1"/>
  <c r="BA896" i="1"/>
  <c r="BH896" i="1" s="1"/>
  <c r="BI896" i="1" s="1"/>
  <c r="AS896" i="1"/>
  <c r="AG896" i="1"/>
  <c r="Y896" i="1"/>
  <c r="BL895" i="1"/>
  <c r="AX895" i="1"/>
  <c r="BA895" i="1" s="1"/>
  <c r="BH895" i="1" s="1"/>
  <c r="AS895" i="1"/>
  <c r="AG895" i="1"/>
  <c r="Y895" i="1"/>
  <c r="BH894" i="1"/>
  <c r="BA894" i="1"/>
  <c r="AS894" i="1"/>
  <c r="AG894" i="1"/>
  <c r="Y894" i="1"/>
  <c r="BA893" i="1"/>
  <c r="AS893" i="1"/>
  <c r="BH893" i="1" s="1"/>
  <c r="AG893" i="1"/>
  <c r="Y893" i="1"/>
  <c r="BI893" i="1" s="1"/>
  <c r="BJ893" i="1" s="1"/>
  <c r="BM892" i="1"/>
  <c r="BL892" i="1"/>
  <c r="BI892" i="1"/>
  <c r="BH892" i="1"/>
  <c r="BA892" i="1"/>
  <c r="AZ892" i="1"/>
  <c r="AY892" i="1"/>
  <c r="AX892" i="1"/>
  <c r="AW892" i="1"/>
  <c r="AV892" i="1"/>
  <c r="AU892" i="1"/>
  <c r="AS892" i="1"/>
  <c r="AR892" i="1"/>
  <c r="AQ892" i="1"/>
  <c r="AP892" i="1"/>
  <c r="AO892" i="1"/>
  <c r="AN892" i="1"/>
  <c r="AG892" i="1"/>
  <c r="AF892" i="1"/>
  <c r="AE892" i="1"/>
  <c r="AD892" i="1"/>
  <c r="AC892" i="1"/>
  <c r="AB892" i="1"/>
  <c r="AA892" i="1"/>
  <c r="Z892" i="1"/>
  <c r="Y892" i="1"/>
  <c r="BL891" i="1"/>
  <c r="BA891" i="1"/>
  <c r="AV891" i="1"/>
  <c r="AS891" i="1"/>
  <c r="BH891" i="1" s="1"/>
  <c r="BI891" i="1" s="1"/>
  <c r="BM891" i="1" s="1"/>
  <c r="AG891" i="1"/>
  <c r="Y891" i="1"/>
  <c r="BM852" i="1"/>
  <c r="BL852" i="1"/>
  <c r="BI852" i="1"/>
  <c r="BH852" i="1"/>
  <c r="BA852" i="1"/>
  <c r="AZ852" i="1"/>
  <c r="AY852" i="1"/>
  <c r="AX852" i="1"/>
  <c r="AW852" i="1"/>
  <c r="AV852" i="1"/>
  <c r="AU852" i="1"/>
  <c r="AS852" i="1"/>
  <c r="AR852" i="1"/>
  <c r="AQ852" i="1"/>
  <c r="AP852" i="1"/>
  <c r="AO852" i="1"/>
  <c r="AN852" i="1"/>
  <c r="AG852" i="1"/>
  <c r="AF852" i="1"/>
  <c r="AE852" i="1"/>
  <c r="AD852" i="1"/>
  <c r="AC852" i="1"/>
  <c r="AB852" i="1"/>
  <c r="AA852" i="1"/>
  <c r="Z852" i="1"/>
  <c r="Y852" i="1"/>
  <c r="BA851" i="1"/>
  <c r="BH851" i="1" s="1"/>
  <c r="BI851" i="1" s="1"/>
  <c r="BJ851" i="1" s="1"/>
  <c r="AS851" i="1"/>
  <c r="AG851" i="1"/>
  <c r="Y851" i="1"/>
  <c r="BL850" i="1"/>
  <c r="BJ850" i="1"/>
  <c r="BA850" i="1"/>
  <c r="BH850" i="1" s="1"/>
  <c r="BI850" i="1" s="1"/>
  <c r="AS850" i="1"/>
  <c r="AG850" i="1"/>
  <c r="Y850" i="1"/>
  <c r="BL849" i="1"/>
  <c r="BJ849" i="1"/>
  <c r="BA849" i="1"/>
  <c r="BH849" i="1" s="1"/>
  <c r="BI849" i="1" s="1"/>
  <c r="AS849" i="1"/>
  <c r="AG849" i="1"/>
  <c r="Y849" i="1"/>
  <c r="BL848" i="1"/>
  <c r="BJ848" i="1"/>
  <c r="BA848" i="1"/>
  <c r="BH848" i="1" s="1"/>
  <c r="BI848" i="1" s="1"/>
  <c r="AS848" i="1"/>
  <c r="AG848" i="1"/>
  <c r="Y848" i="1"/>
  <c r="BL847" i="1"/>
  <c r="BA847" i="1"/>
  <c r="AS847" i="1"/>
  <c r="BH847" i="1" s="1"/>
  <c r="BI847" i="1" s="1"/>
  <c r="AG847" i="1"/>
  <c r="Y847" i="1"/>
  <c r="BL846" i="1"/>
  <c r="BI846" i="1"/>
  <c r="BH846" i="1"/>
  <c r="BA846" i="1"/>
  <c r="AS846" i="1"/>
  <c r="AG846" i="1"/>
  <c r="Y846" i="1"/>
  <c r="BL845" i="1"/>
  <c r="BA845" i="1"/>
  <c r="BH845" i="1" s="1"/>
  <c r="AX845" i="1"/>
  <c r="AS845" i="1"/>
  <c r="AG845" i="1"/>
  <c r="Y845" i="1"/>
  <c r="BA844" i="1"/>
  <c r="AS844" i="1"/>
  <c r="BH844" i="1" s="1"/>
  <c r="AG844" i="1"/>
  <c r="Y844" i="1"/>
  <c r="BI844" i="1" s="1"/>
  <c r="BA843" i="1"/>
  <c r="AS843" i="1"/>
  <c r="BH843" i="1" s="1"/>
  <c r="AG843" i="1"/>
  <c r="Y843" i="1"/>
  <c r="BI843" i="1" s="1"/>
  <c r="BM842" i="1"/>
  <c r="BL842" i="1"/>
  <c r="BI842" i="1"/>
  <c r="BH842" i="1"/>
  <c r="BA842" i="1"/>
  <c r="AZ842" i="1"/>
  <c r="AY842" i="1"/>
  <c r="AX842" i="1"/>
  <c r="AW842" i="1"/>
  <c r="AV842" i="1"/>
  <c r="AU842" i="1"/>
  <c r="AS842" i="1"/>
  <c r="AR842" i="1"/>
  <c r="AQ842" i="1"/>
  <c r="AP842" i="1"/>
  <c r="AO842" i="1"/>
  <c r="AN842" i="1"/>
  <c r="AG842" i="1"/>
  <c r="AF842" i="1"/>
  <c r="AE842" i="1"/>
  <c r="AD842" i="1"/>
  <c r="AC842" i="1"/>
  <c r="AB842" i="1"/>
  <c r="AA842" i="1"/>
  <c r="Z842" i="1"/>
  <c r="Y842" i="1"/>
  <c r="BM841" i="1"/>
  <c r="BL841" i="1"/>
  <c r="BA841" i="1"/>
  <c r="AS841" i="1"/>
  <c r="BH841" i="1" s="1"/>
  <c r="AG841" i="1"/>
  <c r="Y841" i="1"/>
  <c r="BI841" i="1" s="1"/>
  <c r="BM803" i="1"/>
  <c r="BL803" i="1"/>
  <c r="BI803" i="1"/>
  <c r="BH803" i="1"/>
  <c r="BA803" i="1"/>
  <c r="AZ803" i="1"/>
  <c r="AY803" i="1"/>
  <c r="AX803" i="1"/>
  <c r="AW803" i="1"/>
  <c r="AV803" i="1"/>
  <c r="AU803" i="1"/>
  <c r="AS803" i="1"/>
  <c r="AR803" i="1"/>
  <c r="AQ803" i="1"/>
  <c r="AP803" i="1"/>
  <c r="AO803" i="1"/>
  <c r="AN803" i="1"/>
  <c r="AG803" i="1"/>
  <c r="AF803" i="1"/>
  <c r="AE803" i="1"/>
  <c r="AD803" i="1"/>
  <c r="AC803" i="1"/>
  <c r="AB803" i="1"/>
  <c r="AA803" i="1"/>
  <c r="Z803" i="1"/>
  <c r="Y803" i="1"/>
  <c r="AG802" i="1"/>
  <c r="Y802" i="1"/>
  <c r="BJ801" i="1"/>
  <c r="BH801" i="1"/>
  <c r="BI801" i="1" s="1"/>
  <c r="BA801" i="1"/>
  <c r="BL800" i="1"/>
  <c r="BH800" i="1"/>
  <c r="BI800" i="1" s="1"/>
  <c r="BA800" i="1"/>
  <c r="AX800" i="1"/>
  <c r="BJ800" i="1" s="1"/>
  <c r="BL799" i="1"/>
  <c r="AW799" i="1"/>
  <c r="BA799" i="1" s="1"/>
  <c r="AS799" i="1"/>
  <c r="AG799" i="1"/>
  <c r="Y799" i="1"/>
  <c r="BL798" i="1"/>
  <c r="BA798" i="1"/>
  <c r="AS798" i="1"/>
  <c r="BH798" i="1" s="1"/>
  <c r="AG798" i="1"/>
  <c r="Y798" i="1"/>
  <c r="BA797" i="1"/>
  <c r="AS797" i="1"/>
  <c r="BH797" i="1" s="1"/>
  <c r="AG797" i="1"/>
  <c r="Y797" i="1"/>
  <c r="BH796" i="1"/>
  <c r="BA796" i="1"/>
  <c r="AS796" i="1"/>
  <c r="AG796" i="1"/>
  <c r="Y796" i="1"/>
  <c r="BI796" i="1" s="1"/>
  <c r="BA795" i="1"/>
  <c r="AS795" i="1"/>
  <c r="BH795" i="1" s="1"/>
  <c r="BI795" i="1" s="1"/>
  <c r="AG795" i="1"/>
  <c r="Y795" i="1"/>
  <c r="BH794" i="1"/>
  <c r="BI794" i="1" s="1"/>
  <c r="BJ794" i="1" s="1"/>
  <c r="BA794" i="1"/>
  <c r="AS794" i="1"/>
  <c r="AG794" i="1"/>
  <c r="Y794" i="1"/>
  <c r="BL793" i="1"/>
  <c r="BA793" i="1"/>
  <c r="AS793" i="1"/>
  <c r="BH793" i="1" s="1"/>
  <c r="AG793" i="1"/>
  <c r="Y793" i="1"/>
  <c r="BM744" i="1"/>
  <c r="BL744" i="1"/>
  <c r="BI744" i="1"/>
  <c r="BH744" i="1"/>
  <c r="BA744" i="1"/>
  <c r="AZ744" i="1"/>
  <c r="AY744" i="1"/>
  <c r="AX744" i="1"/>
  <c r="AW744" i="1"/>
  <c r="AV744" i="1"/>
  <c r="AU744" i="1"/>
  <c r="AS744" i="1"/>
  <c r="AR744" i="1"/>
  <c r="AQ744" i="1"/>
  <c r="AP744" i="1"/>
  <c r="AO744" i="1"/>
  <c r="AN744" i="1"/>
  <c r="AG744" i="1"/>
  <c r="AF744" i="1"/>
  <c r="AE744" i="1"/>
  <c r="AD744" i="1"/>
  <c r="AC744" i="1"/>
  <c r="AB744" i="1"/>
  <c r="AA744" i="1"/>
  <c r="Z744" i="1"/>
  <c r="Y744" i="1"/>
  <c r="BA743" i="1"/>
  <c r="AS743" i="1"/>
  <c r="BH743" i="1" s="1"/>
  <c r="BI743" i="1" s="1"/>
  <c r="BJ743" i="1" s="1"/>
  <c r="AG743" i="1"/>
  <c r="Y743" i="1"/>
  <c r="BL742" i="1"/>
  <c r="BA742" i="1"/>
  <c r="AS742" i="1"/>
  <c r="BH742" i="1" s="1"/>
  <c r="AG742" i="1"/>
  <c r="BJ742" i="1" s="1"/>
  <c r="Y742" i="1"/>
  <c r="BL741" i="1"/>
  <c r="BA741" i="1"/>
  <c r="AS741" i="1"/>
  <c r="BH741" i="1" s="1"/>
  <c r="AG741" i="1"/>
  <c r="BJ741" i="1" s="1"/>
  <c r="Y741" i="1"/>
  <c r="BL740" i="1"/>
  <c r="BA740" i="1"/>
  <c r="AS740" i="1"/>
  <c r="BH740" i="1" s="1"/>
  <c r="AG740" i="1"/>
  <c r="BJ740" i="1" s="1"/>
  <c r="Y740" i="1"/>
  <c r="BA739" i="1"/>
  <c r="AS739" i="1"/>
  <c r="BH739" i="1" s="1"/>
  <c r="AG739" i="1"/>
  <c r="Y739" i="1"/>
  <c r="BA738" i="1"/>
  <c r="AS738" i="1"/>
  <c r="BH738" i="1" s="1"/>
  <c r="BI738" i="1" s="1"/>
  <c r="AG738" i="1"/>
  <c r="Y738" i="1"/>
  <c r="BL737" i="1"/>
  <c r="BA737" i="1"/>
  <c r="AX737" i="1"/>
  <c r="AS737" i="1"/>
  <c r="BH737" i="1" s="1"/>
  <c r="BI737" i="1" s="1"/>
  <c r="AG737" i="1"/>
  <c r="Y737" i="1"/>
  <c r="BL736" i="1"/>
  <c r="AX736" i="1"/>
  <c r="BA736" i="1" s="1"/>
  <c r="AS736" i="1"/>
  <c r="BH736" i="1" s="1"/>
  <c r="AG736" i="1"/>
  <c r="BI736" i="1" s="1"/>
  <c r="BJ736" i="1" s="1"/>
  <c r="Y736" i="1"/>
  <c r="BL735" i="1"/>
  <c r="AX735" i="1"/>
  <c r="BA735" i="1" s="1"/>
  <c r="AS735" i="1"/>
  <c r="AG735" i="1"/>
  <c r="Y735" i="1"/>
  <c r="BM734" i="1"/>
  <c r="BL734" i="1"/>
  <c r="BI734" i="1"/>
  <c r="BH734" i="1"/>
  <c r="BA734" i="1"/>
  <c r="AZ734" i="1"/>
  <c r="AY734" i="1"/>
  <c r="AX734" i="1"/>
  <c r="AW734" i="1"/>
  <c r="AV734" i="1"/>
  <c r="AU734" i="1"/>
  <c r="AS734" i="1"/>
  <c r="AR734" i="1"/>
  <c r="AQ734" i="1"/>
  <c r="AP734" i="1"/>
  <c r="AO734" i="1"/>
  <c r="AN734" i="1"/>
  <c r="AG734" i="1"/>
  <c r="AF734" i="1"/>
  <c r="AE734" i="1"/>
  <c r="AD734" i="1"/>
  <c r="AC734" i="1"/>
  <c r="AB734" i="1"/>
  <c r="AA734" i="1"/>
  <c r="Z734" i="1"/>
  <c r="Y734" i="1"/>
  <c r="BA733" i="1"/>
  <c r="AS733" i="1"/>
  <c r="BH733" i="1" s="1"/>
  <c r="AG733" i="1"/>
  <c r="Y733" i="1"/>
  <c r="BM684" i="1"/>
  <c r="BL684" i="1"/>
  <c r="BI684" i="1"/>
  <c r="BH684" i="1"/>
  <c r="BA684" i="1"/>
  <c r="AZ684" i="1"/>
  <c r="AY684" i="1"/>
  <c r="AX684" i="1"/>
  <c r="AW684" i="1"/>
  <c r="AV684" i="1"/>
  <c r="AU684" i="1"/>
  <c r="AS684" i="1"/>
  <c r="AR684" i="1"/>
  <c r="AQ684" i="1"/>
  <c r="AP684" i="1"/>
  <c r="AO684" i="1"/>
  <c r="AN684" i="1"/>
  <c r="AG684" i="1"/>
  <c r="AF684" i="1"/>
  <c r="AE684" i="1"/>
  <c r="AD684" i="1"/>
  <c r="AC684" i="1"/>
  <c r="AB684" i="1"/>
  <c r="AA684" i="1"/>
  <c r="Z684" i="1"/>
  <c r="Y684" i="1"/>
  <c r="BL683" i="1"/>
  <c r="BA683" i="1"/>
  <c r="BH683" i="1" s="1"/>
  <c r="BI683" i="1" s="1"/>
  <c r="BJ683" i="1" s="1"/>
  <c r="AS683" i="1"/>
  <c r="AG683" i="1"/>
  <c r="Y683" i="1"/>
  <c r="BL682" i="1"/>
  <c r="BA682" i="1"/>
  <c r="BH682" i="1" s="1"/>
  <c r="BI682" i="1" s="1"/>
  <c r="BJ682" i="1" s="1"/>
  <c r="AS682" i="1"/>
  <c r="AG682" i="1"/>
  <c r="Y682" i="1"/>
  <c r="BL681" i="1"/>
  <c r="BJ681" i="1"/>
  <c r="BA681" i="1"/>
  <c r="BH681" i="1" s="1"/>
  <c r="BI681" i="1" s="1"/>
  <c r="AS681" i="1"/>
  <c r="AG681" i="1"/>
  <c r="Y681" i="1"/>
  <c r="BL680" i="1"/>
  <c r="BJ680" i="1"/>
  <c r="BA680" i="1"/>
  <c r="BH680" i="1" s="1"/>
  <c r="BI680" i="1" s="1"/>
  <c r="AS680" i="1"/>
  <c r="AG680" i="1"/>
  <c r="Y680" i="1"/>
  <c r="BL679" i="1"/>
  <c r="BJ679" i="1"/>
  <c r="BA679" i="1"/>
  <c r="BH679" i="1" s="1"/>
  <c r="BI679" i="1" s="1"/>
  <c r="AS679" i="1"/>
  <c r="AG679" i="1"/>
  <c r="Y679" i="1"/>
  <c r="BA678" i="1"/>
  <c r="AS678" i="1"/>
  <c r="BH678" i="1" s="1"/>
  <c r="AG678" i="1"/>
  <c r="Y678" i="1"/>
  <c r="BL677" i="1"/>
  <c r="BA677" i="1"/>
  <c r="AS677" i="1"/>
  <c r="BH677" i="1" s="1"/>
  <c r="AG677" i="1"/>
  <c r="Y677" i="1"/>
  <c r="BL676" i="1"/>
  <c r="BA676" i="1"/>
  <c r="AS676" i="1"/>
  <c r="BH676" i="1" s="1"/>
  <c r="AG676" i="1"/>
  <c r="Y676" i="1"/>
  <c r="BI676" i="1" s="1"/>
  <c r="BL675" i="1"/>
  <c r="BA675" i="1"/>
  <c r="AS675" i="1"/>
  <c r="BH675" i="1" s="1"/>
  <c r="AG675" i="1"/>
  <c r="Y675" i="1"/>
  <c r="BI675" i="1" s="1"/>
  <c r="BH674" i="1"/>
  <c r="BI674" i="1" s="1"/>
  <c r="BA674" i="1"/>
  <c r="AS674" i="1"/>
  <c r="AG674" i="1"/>
  <c r="Y674" i="1"/>
  <c r="BL661" i="1"/>
  <c r="BH661" i="1"/>
  <c r="BI661" i="1" s="1"/>
  <c r="BJ661" i="1" s="1"/>
  <c r="BA661" i="1"/>
  <c r="BM659" i="1"/>
  <c r="BL659" i="1"/>
  <c r="BI659" i="1"/>
  <c r="BH659" i="1"/>
  <c r="BA659" i="1"/>
  <c r="AZ659" i="1"/>
  <c r="AY659" i="1"/>
  <c r="AX659" i="1"/>
  <c r="AW659" i="1"/>
  <c r="AV659" i="1"/>
  <c r="AU659" i="1"/>
  <c r="AS659" i="1"/>
  <c r="AR659" i="1"/>
  <c r="AQ659" i="1"/>
  <c r="AP659" i="1"/>
  <c r="AO659" i="1"/>
  <c r="AN659" i="1"/>
  <c r="AG659" i="1"/>
  <c r="AF659" i="1"/>
  <c r="AE659" i="1"/>
  <c r="AD659" i="1"/>
  <c r="AC659" i="1"/>
  <c r="AB659" i="1"/>
  <c r="AA659" i="1"/>
  <c r="Z659" i="1"/>
  <c r="Y659" i="1"/>
  <c r="AA652" i="1"/>
  <c r="BM623" i="1"/>
  <c r="BL623" i="1"/>
  <c r="BI623" i="1"/>
  <c r="BH623" i="1"/>
  <c r="BA623" i="1"/>
  <c r="AZ623" i="1"/>
  <c r="AY623" i="1"/>
  <c r="AX623" i="1"/>
  <c r="AW623" i="1"/>
  <c r="AV623" i="1"/>
  <c r="AU623" i="1"/>
  <c r="AS623" i="1"/>
  <c r="AR623" i="1"/>
  <c r="AQ623" i="1"/>
  <c r="AP623" i="1"/>
  <c r="AO623" i="1"/>
  <c r="AN623" i="1"/>
  <c r="AG623" i="1"/>
  <c r="AF623" i="1"/>
  <c r="AE623" i="1"/>
  <c r="AD623" i="1"/>
  <c r="AC623" i="1"/>
  <c r="AB623" i="1"/>
  <c r="AA623" i="1"/>
  <c r="Z623" i="1"/>
  <c r="Y623" i="1"/>
  <c r="BJ622" i="1"/>
  <c r="BI622" i="1"/>
  <c r="BH622" i="1"/>
  <c r="BA622" i="1"/>
  <c r="BL621" i="1"/>
  <c r="AX621" i="1"/>
  <c r="BA621" i="1" s="1"/>
  <c r="BH621" i="1" s="1"/>
  <c r="BI621" i="1" s="1"/>
  <c r="BJ620" i="1"/>
  <c r="BA620" i="1"/>
  <c r="BH620" i="1" s="1"/>
  <c r="BI620" i="1" s="1"/>
  <c r="BL619" i="1"/>
  <c r="BJ619" i="1"/>
  <c r="BH619" i="1"/>
  <c r="BI619" i="1" s="1"/>
  <c r="BA619" i="1"/>
  <c r="AS619" i="1"/>
  <c r="AG619" i="1"/>
  <c r="Y619" i="1"/>
  <c r="BL618" i="1"/>
  <c r="BA618" i="1"/>
  <c r="BH618" i="1" s="1"/>
  <c r="BI618" i="1" s="1"/>
  <c r="AS618" i="1"/>
  <c r="AG618" i="1"/>
  <c r="Y618" i="1"/>
  <c r="BA617" i="1"/>
  <c r="AS617" i="1"/>
  <c r="BH617" i="1" s="1"/>
  <c r="AG617" i="1"/>
  <c r="BI617" i="1" s="1"/>
  <c r="Y617" i="1"/>
  <c r="BA616" i="1"/>
  <c r="AS616" i="1"/>
  <c r="BH616" i="1" s="1"/>
  <c r="AG616" i="1"/>
  <c r="Y616" i="1"/>
  <c r="BA615" i="1"/>
  <c r="AS615" i="1"/>
  <c r="BH615" i="1" s="1"/>
  <c r="BI615" i="1" s="1"/>
  <c r="AG615" i="1"/>
  <c r="Y615" i="1"/>
  <c r="BA614" i="1"/>
  <c r="BH614" i="1" s="1"/>
  <c r="BI614" i="1" s="1"/>
  <c r="AS614" i="1"/>
  <c r="AG614" i="1"/>
  <c r="Y614" i="1"/>
  <c r="BM565" i="1"/>
  <c r="BL565" i="1"/>
  <c r="BI565" i="1"/>
  <c r="BH565" i="1"/>
  <c r="BA565" i="1"/>
  <c r="AZ565" i="1"/>
  <c r="AY565" i="1"/>
  <c r="AX565" i="1"/>
  <c r="AW565" i="1"/>
  <c r="AV565" i="1"/>
  <c r="AU565" i="1"/>
  <c r="AS565" i="1"/>
  <c r="AR565" i="1"/>
  <c r="AQ565" i="1"/>
  <c r="AP565" i="1"/>
  <c r="AO565" i="1"/>
  <c r="AN565" i="1"/>
  <c r="AG565" i="1"/>
  <c r="AF565" i="1"/>
  <c r="AE565" i="1"/>
  <c r="AD565" i="1"/>
  <c r="AC565" i="1"/>
  <c r="AB565" i="1"/>
  <c r="AA565" i="1"/>
  <c r="Z565" i="1"/>
  <c r="Y565" i="1"/>
  <c r="BJ563" i="1"/>
  <c r="BH563" i="1"/>
  <c r="BI563" i="1" s="1"/>
  <c r="BA563" i="1"/>
  <c r="BL562" i="1"/>
  <c r="AX562" i="1"/>
  <c r="BJ562" i="1" s="1"/>
  <c r="AS562" i="1"/>
  <c r="AG562" i="1"/>
  <c r="Y562" i="1"/>
  <c r="BL561" i="1"/>
  <c r="AX561" i="1"/>
  <c r="BA561" i="1" s="1"/>
  <c r="BH561" i="1" s="1"/>
  <c r="BI561" i="1" s="1"/>
  <c r="AS561" i="1"/>
  <c r="AG561" i="1"/>
  <c r="Y561" i="1"/>
  <c r="BL560" i="1"/>
  <c r="BJ560" i="1"/>
  <c r="BA560" i="1"/>
  <c r="BH560" i="1" s="1"/>
  <c r="BI560" i="1" s="1"/>
  <c r="AS560" i="1"/>
  <c r="AG560" i="1"/>
  <c r="Y560" i="1"/>
  <c r="BA559" i="1"/>
  <c r="AS559" i="1"/>
  <c r="BH559" i="1" s="1"/>
  <c r="AG559" i="1"/>
  <c r="Y559" i="1"/>
  <c r="BA558" i="1"/>
  <c r="AS558" i="1"/>
  <c r="BH558" i="1" s="1"/>
  <c r="AG558" i="1"/>
  <c r="Y558" i="1"/>
  <c r="BA557" i="1"/>
  <c r="AS557" i="1"/>
  <c r="BH557" i="1" s="1"/>
  <c r="BI557" i="1" s="1"/>
  <c r="AG557" i="1"/>
  <c r="Y557" i="1"/>
  <c r="BA556" i="1"/>
  <c r="BH556" i="1" s="1"/>
  <c r="BI556" i="1" s="1"/>
  <c r="AS556" i="1"/>
  <c r="AG556" i="1"/>
  <c r="Y556" i="1"/>
  <c r="BA555" i="1"/>
  <c r="AS555" i="1"/>
  <c r="BH555" i="1" s="1"/>
  <c r="AG555" i="1"/>
  <c r="Y555" i="1"/>
  <c r="BM506" i="1"/>
  <c r="BL506" i="1"/>
  <c r="BI506" i="1"/>
  <c r="BH506" i="1"/>
  <c r="BA506" i="1"/>
  <c r="AZ506" i="1"/>
  <c r="AY506" i="1"/>
  <c r="AX506" i="1"/>
  <c r="AW506" i="1"/>
  <c r="AV506" i="1"/>
  <c r="AU506" i="1"/>
  <c r="AS506" i="1"/>
  <c r="AR506" i="1"/>
  <c r="AQ506" i="1"/>
  <c r="AP506" i="1"/>
  <c r="AO506" i="1"/>
  <c r="AN506" i="1"/>
  <c r="AG506" i="1"/>
  <c r="AF506" i="1"/>
  <c r="AE506" i="1"/>
  <c r="AD506" i="1"/>
  <c r="AC506" i="1"/>
  <c r="AB506" i="1"/>
  <c r="AA506" i="1"/>
  <c r="Z506" i="1"/>
  <c r="Y506" i="1"/>
  <c r="BA504" i="1"/>
  <c r="BH504" i="1" s="1"/>
  <c r="BI504" i="1" s="1"/>
  <c r="BH503" i="1"/>
  <c r="BI503" i="1" s="1"/>
  <c r="BA503" i="1"/>
  <c r="AG503" i="1"/>
  <c r="Y503" i="1"/>
  <c r="BL502" i="1"/>
  <c r="BJ502" i="1"/>
  <c r="BA502" i="1"/>
  <c r="BH502" i="1" s="1"/>
  <c r="BI502" i="1" s="1"/>
  <c r="AX502" i="1"/>
  <c r="AG502" i="1"/>
  <c r="Y502" i="1"/>
  <c r="BL501" i="1"/>
  <c r="BJ501" i="1"/>
  <c r="BA501" i="1"/>
  <c r="BH501" i="1" s="1"/>
  <c r="BI501" i="1" s="1"/>
  <c r="AX501" i="1"/>
  <c r="AG501" i="1"/>
  <c r="Y501" i="1"/>
  <c r="BL500" i="1"/>
  <c r="BA500" i="1"/>
  <c r="AS500" i="1"/>
  <c r="BH500" i="1" s="1"/>
  <c r="BI500" i="1" s="1"/>
  <c r="AG500" i="1"/>
  <c r="Y500" i="1"/>
  <c r="BA499" i="1"/>
  <c r="AS499" i="1"/>
  <c r="BH499" i="1" s="1"/>
  <c r="AG499" i="1"/>
  <c r="Y499" i="1"/>
  <c r="BA498" i="1"/>
  <c r="AS498" i="1"/>
  <c r="BH498" i="1" s="1"/>
  <c r="AG498" i="1"/>
  <c r="Y498" i="1"/>
  <c r="BH497" i="1"/>
  <c r="BI497" i="1" s="1"/>
  <c r="BA497" i="1"/>
  <c r="AS497" i="1"/>
  <c r="AG497" i="1"/>
  <c r="Y497" i="1"/>
  <c r="BA496" i="1"/>
  <c r="AS496" i="1"/>
  <c r="BH496" i="1" s="1"/>
  <c r="BI496" i="1" s="1"/>
  <c r="AG496" i="1"/>
  <c r="Y496" i="1"/>
  <c r="BL464" i="1"/>
  <c r="BL462" i="1"/>
  <c r="BL450" i="1"/>
  <c r="BL449" i="1"/>
  <c r="BL448" i="1"/>
  <c r="BM447" i="1"/>
  <c r="BL447" i="1"/>
  <c r="BI447" i="1"/>
  <c r="BH447" i="1"/>
  <c r="BA447" i="1"/>
  <c r="AZ447" i="1"/>
  <c r="AY447" i="1"/>
  <c r="AX447" i="1"/>
  <c r="AW447" i="1"/>
  <c r="AV447" i="1"/>
  <c r="AU447" i="1"/>
  <c r="AS447" i="1"/>
  <c r="AR447" i="1"/>
  <c r="AQ447" i="1"/>
  <c r="AP447" i="1"/>
  <c r="AO447" i="1"/>
  <c r="AN447" i="1"/>
  <c r="AG447" i="1"/>
  <c r="AF447" i="1"/>
  <c r="AE447" i="1"/>
  <c r="AD447" i="1"/>
  <c r="AC447" i="1"/>
  <c r="AB447" i="1"/>
  <c r="AA447" i="1"/>
  <c r="Z447" i="1"/>
  <c r="Y447" i="1"/>
  <c r="BL446" i="1"/>
  <c r="BA446" i="1"/>
  <c r="AS446" i="1"/>
  <c r="BH446" i="1" s="1"/>
  <c r="AG446" i="1"/>
  <c r="Y446" i="1"/>
  <c r="BL445" i="1"/>
  <c r="BA445" i="1"/>
  <c r="AS445" i="1"/>
  <c r="BH445" i="1" s="1"/>
  <c r="AG445" i="1"/>
  <c r="BI445" i="1" s="1"/>
  <c r="BJ445" i="1" s="1"/>
  <c r="Y445" i="1"/>
  <c r="BL444" i="1"/>
  <c r="BA444" i="1"/>
  <c r="AS444" i="1"/>
  <c r="BH444" i="1" s="1"/>
  <c r="AG444" i="1"/>
  <c r="BJ444" i="1" s="1"/>
  <c r="Y444" i="1"/>
  <c r="BL443" i="1"/>
  <c r="BA443" i="1"/>
  <c r="AS443" i="1"/>
  <c r="BH443" i="1" s="1"/>
  <c r="AG443" i="1"/>
  <c r="BJ443" i="1" s="1"/>
  <c r="Y443" i="1"/>
  <c r="BL442" i="1"/>
  <c r="BJ442" i="1"/>
  <c r="AW442" i="1"/>
  <c r="BA442" i="1" s="1"/>
  <c r="AS442" i="1"/>
  <c r="BH442" i="1" s="1"/>
  <c r="BI442" i="1" s="1"/>
  <c r="AG442" i="1"/>
  <c r="Y442" i="1"/>
  <c r="BL441" i="1"/>
  <c r="BA441" i="1"/>
  <c r="AS441" i="1"/>
  <c r="BH441" i="1" s="1"/>
  <c r="AG441" i="1"/>
  <c r="Y441" i="1"/>
  <c r="BL440" i="1"/>
  <c r="BA440" i="1"/>
  <c r="AS440" i="1"/>
  <c r="BH440" i="1" s="1"/>
  <c r="AG440" i="1"/>
  <c r="Y440" i="1"/>
  <c r="BL439" i="1"/>
  <c r="BA439" i="1"/>
  <c r="AS439" i="1"/>
  <c r="BH439" i="1" s="1"/>
  <c r="AG439" i="1"/>
  <c r="Y439" i="1"/>
  <c r="BI439" i="1" s="1"/>
  <c r="BA438" i="1"/>
  <c r="AS438" i="1"/>
  <c r="BH438" i="1" s="1"/>
  <c r="BI438" i="1" s="1"/>
  <c r="AG438" i="1"/>
  <c r="Y438" i="1"/>
  <c r="BA437" i="1"/>
  <c r="BH437" i="1" s="1"/>
  <c r="BI437" i="1" s="1"/>
  <c r="AS437" i="1"/>
  <c r="AG437" i="1"/>
  <c r="Y437" i="1"/>
  <c r="AG436" i="1"/>
  <c r="AG435" i="1"/>
  <c r="AG434" i="1"/>
  <c r="AG433" i="1"/>
  <c r="AG432" i="1"/>
  <c r="AG431" i="1"/>
  <c r="AG430" i="1"/>
  <c r="AG429" i="1"/>
  <c r="AG428" i="1"/>
  <c r="AG427" i="1"/>
  <c r="AG426" i="1"/>
  <c r="AG425" i="1"/>
  <c r="BM423" i="1"/>
  <c r="BL423" i="1"/>
  <c r="BI423" i="1"/>
  <c r="BH423" i="1"/>
  <c r="BA423" i="1"/>
  <c r="AZ423" i="1"/>
  <c r="AY423" i="1"/>
  <c r="AX423" i="1"/>
  <c r="AW423" i="1"/>
  <c r="AV423" i="1"/>
  <c r="AU423" i="1"/>
  <c r="AS423" i="1"/>
  <c r="AR423" i="1"/>
  <c r="AQ423" i="1"/>
  <c r="AP423" i="1"/>
  <c r="AO423" i="1"/>
  <c r="AN423" i="1"/>
  <c r="AG423" i="1"/>
  <c r="AF423" i="1"/>
  <c r="AE423" i="1"/>
  <c r="AD423" i="1"/>
  <c r="AC423" i="1"/>
  <c r="AB423" i="1"/>
  <c r="AA423" i="1"/>
  <c r="Z423" i="1"/>
  <c r="Y423" i="1"/>
  <c r="AA419" i="1"/>
  <c r="BL410" i="1"/>
  <c r="BA410" i="1"/>
  <c r="BH410" i="1" s="1"/>
  <c r="BI410" i="1" s="1"/>
  <c r="BJ410" i="1" s="1"/>
  <c r="BM409" i="1"/>
  <c r="BL409" i="1"/>
  <c r="BI409" i="1"/>
  <c r="BH409" i="1"/>
  <c r="BA409" i="1"/>
  <c r="AZ409" i="1"/>
  <c r="AY409" i="1"/>
  <c r="AX409" i="1"/>
  <c r="AW409" i="1"/>
  <c r="AV409" i="1"/>
  <c r="AU409" i="1"/>
  <c r="AS409" i="1"/>
  <c r="AR409" i="1"/>
  <c r="AQ409" i="1"/>
  <c r="AP409" i="1"/>
  <c r="AO409" i="1"/>
  <c r="AN409" i="1"/>
  <c r="AG409" i="1"/>
  <c r="AF409" i="1"/>
  <c r="AE409" i="1"/>
  <c r="AD409" i="1"/>
  <c r="AC409" i="1"/>
  <c r="AB409" i="1"/>
  <c r="AA409" i="1"/>
  <c r="Z409" i="1"/>
  <c r="Y409" i="1"/>
  <c r="BA408" i="1"/>
  <c r="BH408" i="1" s="1"/>
  <c r="AG408" i="1"/>
  <c r="BJ408" i="1" s="1"/>
  <c r="BJ407" i="1"/>
  <c r="BI407" i="1"/>
  <c r="BH407" i="1"/>
  <c r="BA407" i="1"/>
  <c r="BL406" i="1"/>
  <c r="AX406" i="1"/>
  <c r="BA406" i="1" s="1"/>
  <c r="BH406" i="1" s="1"/>
  <c r="BI406" i="1" s="1"/>
  <c r="BL405" i="1"/>
  <c r="BA405" i="1"/>
  <c r="AS405" i="1"/>
  <c r="BH405" i="1" s="1"/>
  <c r="AG405" i="1"/>
  <c r="Y405" i="1"/>
  <c r="BJ405" i="1" s="1"/>
  <c r="BL404" i="1"/>
  <c r="AW404" i="1"/>
  <c r="BA404" i="1" s="1"/>
  <c r="AS404" i="1"/>
  <c r="AG404" i="1"/>
  <c r="Y404" i="1"/>
  <c r="BJ404" i="1" s="1"/>
  <c r="BA403" i="1"/>
  <c r="AS403" i="1"/>
  <c r="BH403" i="1" s="1"/>
  <c r="AG403" i="1"/>
  <c r="Y403" i="1"/>
  <c r="BI403" i="1" s="1"/>
  <c r="BI402" i="1"/>
  <c r="BH402" i="1"/>
  <c r="BA402" i="1"/>
  <c r="AS402" i="1"/>
  <c r="AG402" i="1"/>
  <c r="Y402" i="1"/>
  <c r="BA401" i="1"/>
  <c r="BH401" i="1" s="1"/>
  <c r="BI401" i="1" s="1"/>
  <c r="AS401" i="1"/>
  <c r="AG401" i="1"/>
  <c r="Y401" i="1"/>
  <c r="BA400" i="1"/>
  <c r="AS400" i="1"/>
  <c r="BH400" i="1" s="1"/>
  <c r="AG400" i="1"/>
  <c r="Y400" i="1"/>
  <c r="BA399" i="1"/>
  <c r="AS399" i="1"/>
  <c r="BH399" i="1" s="1"/>
  <c r="AG399" i="1"/>
  <c r="Y399" i="1"/>
  <c r="BM350" i="1"/>
  <c r="BL350" i="1"/>
  <c r="BI350" i="1"/>
  <c r="BH350" i="1"/>
  <c r="BA350" i="1"/>
  <c r="AZ350" i="1"/>
  <c r="AY350" i="1"/>
  <c r="AX350" i="1"/>
  <c r="AW350" i="1"/>
  <c r="AV350" i="1"/>
  <c r="AU350" i="1"/>
  <c r="AS350" i="1"/>
  <c r="AR350" i="1"/>
  <c r="AQ350" i="1"/>
  <c r="AP350" i="1"/>
  <c r="AO350" i="1"/>
  <c r="AN350" i="1"/>
  <c r="AG350" i="1"/>
  <c r="AF350" i="1"/>
  <c r="AE350" i="1"/>
  <c r="AD350" i="1"/>
  <c r="AC350" i="1"/>
  <c r="AB350" i="1"/>
  <c r="AA350" i="1"/>
  <c r="Z350" i="1"/>
  <c r="Y350" i="1"/>
  <c r="BL349" i="1"/>
  <c r="AY349" i="1"/>
  <c r="AV349" i="1"/>
  <c r="BA349" i="1" s="1"/>
  <c r="BH349" i="1" s="1"/>
  <c r="AU349" i="1"/>
  <c r="BL340" i="1"/>
  <c r="AV340" i="1"/>
  <c r="BA340" i="1" s="1"/>
  <c r="BH340" i="1" s="1"/>
  <c r="BI340" i="1" s="1"/>
  <c r="BJ340" i="1" s="1"/>
  <c r="BM339" i="1"/>
  <c r="BL339" i="1"/>
  <c r="BI339" i="1"/>
  <c r="BH339" i="1"/>
  <c r="BA339" i="1"/>
  <c r="AZ339" i="1"/>
  <c r="AY339" i="1"/>
  <c r="AX339" i="1"/>
  <c r="AW339" i="1"/>
  <c r="AV339" i="1"/>
  <c r="AU339" i="1"/>
  <c r="AS339" i="1"/>
  <c r="AR339" i="1"/>
  <c r="AQ339" i="1"/>
  <c r="AP339" i="1"/>
  <c r="AO339" i="1"/>
  <c r="AN339" i="1"/>
  <c r="AG339" i="1"/>
  <c r="AF339" i="1"/>
  <c r="AE339" i="1"/>
  <c r="AD339" i="1"/>
  <c r="AC339" i="1"/>
  <c r="AB339" i="1"/>
  <c r="AA339" i="1"/>
  <c r="Z339" i="1"/>
  <c r="Y339" i="1"/>
  <c r="BA338" i="1"/>
  <c r="BH338" i="1" s="1"/>
  <c r="AG338" i="1"/>
  <c r="BJ338" i="1" s="1"/>
  <c r="BJ337" i="1"/>
  <c r="BI337" i="1"/>
  <c r="BH337" i="1"/>
  <c r="BA337" i="1"/>
  <c r="BJ336" i="1"/>
  <c r="BA336" i="1"/>
  <c r="BH336" i="1" s="1"/>
  <c r="BI336" i="1" s="1"/>
  <c r="BL335" i="1"/>
  <c r="BJ335" i="1"/>
  <c r="AX335" i="1"/>
  <c r="BA335" i="1" s="1"/>
  <c r="BH335" i="1" s="1"/>
  <c r="BI335" i="1" s="1"/>
  <c r="BL334" i="1"/>
  <c r="BJ334" i="1"/>
  <c r="BH334" i="1"/>
  <c r="BI334" i="1" s="1"/>
  <c r="BA334" i="1"/>
  <c r="AS334" i="1"/>
  <c r="AG334" i="1"/>
  <c r="Y334" i="1"/>
  <c r="BA333" i="1"/>
  <c r="AS333" i="1"/>
  <c r="BH333" i="1" s="1"/>
  <c r="BI333" i="1" s="1"/>
  <c r="AG333" i="1"/>
  <c r="Y333" i="1"/>
  <c r="BA332" i="1"/>
  <c r="AS332" i="1"/>
  <c r="BH332" i="1" s="1"/>
  <c r="AG332" i="1"/>
  <c r="Y332" i="1"/>
  <c r="BA331" i="1"/>
  <c r="AS331" i="1"/>
  <c r="BH331" i="1" s="1"/>
  <c r="AG331" i="1"/>
  <c r="Y331" i="1"/>
  <c r="BH330" i="1"/>
  <c r="BI330" i="1" s="1"/>
  <c r="BA330" i="1"/>
  <c r="AS330" i="1"/>
  <c r="AG330" i="1"/>
  <c r="Y330" i="1"/>
  <c r="BA329" i="1"/>
  <c r="AS329" i="1"/>
  <c r="BH329" i="1" s="1"/>
  <c r="BI329" i="1" s="1"/>
  <c r="AG329" i="1"/>
  <c r="Y329" i="1"/>
  <c r="BM280" i="1"/>
  <c r="BL280" i="1"/>
  <c r="BI280" i="1"/>
  <c r="BH280" i="1"/>
  <c r="BA280" i="1"/>
  <c r="AZ280" i="1"/>
  <c r="AY280" i="1"/>
  <c r="AX280" i="1"/>
  <c r="AW280" i="1"/>
  <c r="AV280" i="1"/>
  <c r="AU280" i="1"/>
  <c r="AS280" i="1"/>
  <c r="AR280" i="1"/>
  <c r="AQ280" i="1"/>
  <c r="AP280" i="1"/>
  <c r="AO280" i="1"/>
  <c r="AN280" i="1"/>
  <c r="AG280" i="1"/>
  <c r="AF280" i="1"/>
  <c r="AE280" i="1"/>
  <c r="AD280" i="1"/>
  <c r="AC280" i="1"/>
  <c r="AB280" i="1"/>
  <c r="AA280" i="1"/>
  <c r="Z280" i="1"/>
  <c r="Y280" i="1"/>
  <c r="BJ278" i="1"/>
  <c r="BA278" i="1"/>
  <c r="BH278" i="1" s="1"/>
  <c r="BI278" i="1" s="1"/>
  <c r="BL277" i="1"/>
  <c r="BJ277" i="1"/>
  <c r="AW277" i="1"/>
  <c r="BA277" i="1" s="1"/>
  <c r="BH277" i="1" s="1"/>
  <c r="BI277" i="1" s="1"/>
  <c r="BL276" i="1"/>
  <c r="BJ276" i="1"/>
  <c r="AX276" i="1"/>
  <c r="BA276" i="1" s="1"/>
  <c r="BH276" i="1" s="1"/>
  <c r="BI276" i="1" s="1"/>
  <c r="BL275" i="1"/>
  <c r="BJ275" i="1"/>
  <c r="BH275" i="1"/>
  <c r="BI275" i="1" s="1"/>
  <c r="BA275" i="1"/>
  <c r="AS275" i="1"/>
  <c r="AG275" i="1"/>
  <c r="Y275" i="1"/>
  <c r="BA274" i="1"/>
  <c r="AS274" i="1"/>
  <c r="BH274" i="1" s="1"/>
  <c r="BI274" i="1" s="1"/>
  <c r="AG274" i="1"/>
  <c r="Y274" i="1"/>
  <c r="BA273" i="1"/>
  <c r="AS273" i="1"/>
  <c r="BH273" i="1" s="1"/>
  <c r="AG273" i="1"/>
  <c r="Y273" i="1"/>
  <c r="BA272" i="1"/>
  <c r="AS272" i="1"/>
  <c r="BH272" i="1" s="1"/>
  <c r="AG272" i="1"/>
  <c r="Y272" i="1"/>
  <c r="BI272" i="1" s="1"/>
  <c r="BH271" i="1"/>
  <c r="BI271" i="1" s="1"/>
  <c r="BA271" i="1"/>
  <c r="AS271" i="1"/>
  <c r="AG271" i="1"/>
  <c r="Y271" i="1"/>
  <c r="BA270" i="1"/>
  <c r="AS270" i="1"/>
  <c r="BH270" i="1" s="1"/>
  <c r="BI270" i="1" s="1"/>
  <c r="AG270" i="1"/>
  <c r="Y270" i="1"/>
  <c r="BM221" i="1"/>
  <c r="BL221" i="1"/>
  <c r="BI221" i="1"/>
  <c r="BH221" i="1"/>
  <c r="BA221" i="1"/>
  <c r="AZ221" i="1"/>
  <c r="AY221" i="1"/>
  <c r="AX221" i="1"/>
  <c r="AW221" i="1"/>
  <c r="AV221" i="1"/>
  <c r="AU221" i="1"/>
  <c r="AS221" i="1"/>
  <c r="AR221" i="1"/>
  <c r="AQ221" i="1"/>
  <c r="AP221" i="1"/>
  <c r="AO221" i="1"/>
  <c r="AN221" i="1"/>
  <c r="AG221" i="1"/>
  <c r="AF221" i="1"/>
  <c r="AE221" i="1"/>
  <c r="AD221" i="1"/>
  <c r="AC221" i="1"/>
  <c r="AB221" i="1"/>
  <c r="AA221" i="1"/>
  <c r="Z221" i="1"/>
  <c r="Y221" i="1"/>
  <c r="BJ219" i="1"/>
  <c r="BA219" i="1"/>
  <c r="BH219" i="1" s="1"/>
  <c r="BI219" i="1" s="1"/>
  <c r="BA218" i="1"/>
  <c r="BH218" i="1" s="1"/>
  <c r="AG218" i="1"/>
  <c r="Y218" i="1"/>
  <c r="BJ218" i="1" s="1"/>
  <c r="BL217" i="1"/>
  <c r="BJ217" i="1"/>
  <c r="AX217" i="1"/>
  <c r="BA217" i="1" s="1"/>
  <c r="BH217" i="1" s="1"/>
  <c r="AG217" i="1"/>
  <c r="Y217" i="1"/>
  <c r="BL216" i="1"/>
  <c r="BJ216" i="1"/>
  <c r="AX216" i="1"/>
  <c r="BA216" i="1" s="1"/>
  <c r="BH216" i="1" s="1"/>
  <c r="AG216" i="1"/>
  <c r="Y216" i="1"/>
  <c r="BL215" i="1"/>
  <c r="AX215" i="1"/>
  <c r="BA215" i="1" s="1"/>
  <c r="AS215" i="1"/>
  <c r="AG215" i="1"/>
  <c r="Y215" i="1"/>
  <c r="BL214" i="1"/>
  <c r="AX214" i="1"/>
  <c r="BA214" i="1" s="1"/>
  <c r="AS214" i="1"/>
  <c r="AG214" i="1"/>
  <c r="Y214" i="1"/>
  <c r="BL213" i="1"/>
  <c r="AX213" i="1"/>
  <c r="AW213" i="1"/>
  <c r="BA213" i="1" s="1"/>
  <c r="AS213" i="1"/>
  <c r="BH213" i="1" s="1"/>
  <c r="BI213" i="1" s="1"/>
  <c r="AG213" i="1"/>
  <c r="Y213" i="1"/>
  <c r="BI212" i="1"/>
  <c r="BH212" i="1"/>
  <c r="BA212" i="1"/>
  <c r="AS212" i="1"/>
  <c r="AG212" i="1"/>
  <c r="Y212" i="1"/>
  <c r="BH211" i="1"/>
  <c r="BI211" i="1" s="1"/>
  <c r="BJ211" i="1" s="1"/>
  <c r="BA211" i="1"/>
  <c r="AS211" i="1"/>
  <c r="AG211" i="1"/>
  <c r="Y211" i="1"/>
  <c r="BL210" i="1"/>
  <c r="BH210" i="1"/>
  <c r="BI210" i="1" s="1"/>
  <c r="BJ210" i="1" s="1"/>
  <c r="BA210" i="1"/>
  <c r="AU210" i="1"/>
  <c r="BL209" i="1"/>
  <c r="BA209" i="1"/>
  <c r="BH209" i="1" s="1"/>
  <c r="BI209" i="1" s="1"/>
  <c r="BJ209" i="1" s="1"/>
  <c r="BL208" i="1"/>
  <c r="AU208" i="1"/>
  <c r="BA208" i="1" s="1"/>
  <c r="BH208" i="1" s="1"/>
  <c r="BI208" i="1" s="1"/>
  <c r="BJ208" i="1" s="1"/>
  <c r="BL207" i="1"/>
  <c r="AU207" i="1"/>
  <c r="BA207" i="1" s="1"/>
  <c r="BH207" i="1" s="1"/>
  <c r="BI207" i="1" s="1"/>
  <c r="BJ207" i="1" s="1"/>
  <c r="BL206" i="1"/>
  <c r="BA206" i="1"/>
  <c r="BH206" i="1" s="1"/>
  <c r="BI206" i="1" s="1"/>
  <c r="BJ206" i="1" s="1"/>
  <c r="AU206" i="1"/>
  <c r="BL205" i="1"/>
  <c r="AU205" i="1"/>
  <c r="BA205" i="1" s="1"/>
  <c r="BH205" i="1" s="1"/>
  <c r="BI205" i="1" s="1"/>
  <c r="BJ205" i="1" s="1"/>
  <c r="BL204" i="1"/>
  <c r="AU204" i="1"/>
  <c r="BA204" i="1" s="1"/>
  <c r="BH204" i="1" s="1"/>
  <c r="BI204" i="1" s="1"/>
  <c r="BJ204" i="1" s="1"/>
  <c r="BL203" i="1"/>
  <c r="AU203" i="1"/>
  <c r="BA203" i="1" s="1"/>
  <c r="BH203" i="1" s="1"/>
  <c r="BI203" i="1" s="1"/>
  <c r="BJ203" i="1" s="1"/>
  <c r="BL202" i="1"/>
  <c r="BA202" i="1"/>
  <c r="BH202" i="1" s="1"/>
  <c r="BI202" i="1" s="1"/>
  <c r="BJ202" i="1" s="1"/>
  <c r="BL201" i="1"/>
  <c r="BA201" i="1"/>
  <c r="BH201" i="1" s="1"/>
  <c r="BI201" i="1" s="1"/>
  <c r="BJ201" i="1" s="1"/>
  <c r="BL200" i="1"/>
  <c r="AU200" i="1"/>
  <c r="BA200" i="1" s="1"/>
  <c r="BH200" i="1" s="1"/>
  <c r="BI200" i="1" s="1"/>
  <c r="BJ200" i="1" s="1"/>
  <c r="BA199" i="1"/>
  <c r="BH199" i="1" s="1"/>
  <c r="BI199" i="1" s="1"/>
  <c r="BJ199" i="1" s="1"/>
  <c r="BM162" i="1"/>
  <c r="BL162" i="1"/>
  <c r="BI162" i="1"/>
  <c r="BH162" i="1"/>
  <c r="BA162" i="1"/>
  <c r="AZ162" i="1"/>
  <c r="AY162" i="1"/>
  <c r="AX162" i="1"/>
  <c r="AW162" i="1"/>
  <c r="AV162" i="1"/>
  <c r="AU162" i="1"/>
  <c r="AS162" i="1"/>
  <c r="AR162" i="1"/>
  <c r="AQ162" i="1"/>
  <c r="AP162" i="1"/>
  <c r="AO162" i="1"/>
  <c r="AN162" i="1"/>
  <c r="AG162" i="1"/>
  <c r="AF162" i="1"/>
  <c r="AE162" i="1"/>
  <c r="AD162" i="1"/>
  <c r="AC162" i="1"/>
  <c r="AB162" i="1"/>
  <c r="AA162" i="1"/>
  <c r="Z162" i="1"/>
  <c r="Y162" i="1"/>
  <c r="BM124" i="1"/>
  <c r="BL124" i="1"/>
  <c r="BI124" i="1"/>
  <c r="BH124" i="1"/>
  <c r="BA124" i="1"/>
  <c r="AZ124" i="1"/>
  <c r="AY124" i="1"/>
  <c r="AX124" i="1"/>
  <c r="AW124" i="1"/>
  <c r="AV124" i="1"/>
  <c r="AU124" i="1"/>
  <c r="AS124" i="1"/>
  <c r="AR124" i="1"/>
  <c r="AQ124" i="1"/>
  <c r="AP124" i="1"/>
  <c r="AO124" i="1"/>
  <c r="AN124" i="1"/>
  <c r="AG124" i="1"/>
  <c r="AF124" i="1"/>
  <c r="AE124" i="1"/>
  <c r="AD124" i="1"/>
  <c r="AC124" i="1"/>
  <c r="AB124" i="1"/>
  <c r="AA124" i="1"/>
  <c r="Z124" i="1"/>
  <c r="Y124" i="1"/>
  <c r="AG123" i="1"/>
  <c r="BA122" i="1"/>
  <c r="BH122" i="1" s="1"/>
  <c r="BI122" i="1" s="1"/>
  <c r="BJ122" i="1" s="1"/>
  <c r="BA121" i="1"/>
  <c r="BH121" i="1" s="1"/>
  <c r="BI121" i="1" s="1"/>
  <c r="BJ121" i="1" s="1"/>
  <c r="BA120" i="1"/>
  <c r="BH120" i="1" s="1"/>
  <c r="BI120" i="1" s="1"/>
  <c r="BJ120" i="1" s="1"/>
  <c r="BA119" i="1"/>
  <c r="BH119" i="1" s="1"/>
  <c r="BI119" i="1" s="1"/>
  <c r="BJ119" i="1" s="1"/>
  <c r="BA118" i="1"/>
  <c r="BH118" i="1" s="1"/>
  <c r="BI118" i="1" s="1"/>
  <c r="BJ118" i="1" s="1"/>
  <c r="BL117" i="1"/>
  <c r="BA117" i="1"/>
  <c r="BH117" i="1" s="1"/>
  <c r="BI117" i="1" s="1"/>
  <c r="BJ117" i="1" s="1"/>
  <c r="BL116" i="1"/>
  <c r="BI116" i="1"/>
  <c r="BJ116" i="1" s="1"/>
  <c r="BH116" i="1"/>
  <c r="BA116" i="1"/>
  <c r="AS116" i="1"/>
  <c r="AG116" i="1"/>
  <c r="Y116" i="1"/>
  <c r="BH115" i="1"/>
  <c r="BI115" i="1" s="1"/>
  <c r="BJ115" i="1" s="1"/>
  <c r="BA115" i="1"/>
  <c r="AS115" i="1"/>
  <c r="AG115" i="1"/>
  <c r="Y115" i="1"/>
  <c r="BA114" i="1"/>
  <c r="BH114" i="1" s="1"/>
  <c r="BI114" i="1" s="1"/>
  <c r="BJ114" i="1" s="1"/>
  <c r="AS114" i="1"/>
  <c r="AG114" i="1"/>
  <c r="Y114" i="1"/>
  <c r="BM65" i="1"/>
  <c r="BL65" i="1"/>
  <c r="BI65" i="1"/>
  <c r="BH65" i="1"/>
  <c r="BA65" i="1"/>
  <c r="AZ65" i="1"/>
  <c r="AY65" i="1"/>
  <c r="AX65" i="1"/>
  <c r="AW65" i="1"/>
  <c r="AV65" i="1"/>
  <c r="AU65" i="1"/>
  <c r="AS65" i="1"/>
  <c r="AR65" i="1"/>
  <c r="AQ65" i="1"/>
  <c r="AP65" i="1"/>
  <c r="AO65" i="1"/>
  <c r="AN65" i="1"/>
  <c r="AG65" i="1"/>
  <c r="AF65" i="1"/>
  <c r="AE65" i="1"/>
  <c r="AD65" i="1"/>
  <c r="AC65" i="1"/>
  <c r="AB65" i="1"/>
  <c r="AA65" i="1"/>
  <c r="Z65" i="1"/>
  <c r="Y65" i="1"/>
  <c r="BH64" i="1"/>
  <c r="BI64" i="1" s="1"/>
  <c r="BJ64" i="1" s="1"/>
  <c r="BA64" i="1"/>
  <c r="AG64" i="1"/>
  <c r="BA63" i="1"/>
  <c r="BH63" i="1" s="1"/>
  <c r="BI63" i="1" s="1"/>
  <c r="BJ63" i="1" s="1"/>
  <c r="BI62" i="1"/>
  <c r="BJ62" i="1" s="1"/>
  <c r="BH62" i="1"/>
  <c r="BA62" i="1"/>
  <c r="BA61" i="1"/>
  <c r="BH61" i="1" s="1"/>
  <c r="BI61" i="1" s="1"/>
  <c r="BJ61" i="1" s="1"/>
  <c r="BI60" i="1"/>
  <c r="BJ60" i="1" s="1"/>
  <c r="BH60" i="1"/>
  <c r="BA60" i="1"/>
  <c r="BA59" i="1"/>
  <c r="BH59" i="1" s="1"/>
  <c r="BI59" i="1" s="1"/>
  <c r="BJ59" i="1" s="1"/>
  <c r="BI58" i="1"/>
  <c r="BJ58" i="1" s="1"/>
  <c r="BH58" i="1"/>
  <c r="BA58" i="1"/>
  <c r="BL57" i="1"/>
  <c r="BA57" i="1"/>
  <c r="AS57" i="1"/>
  <c r="BH57" i="1" s="1"/>
  <c r="BI57" i="1" s="1"/>
  <c r="BJ57" i="1" s="1"/>
  <c r="AG57" i="1"/>
  <c r="Y57" i="1"/>
  <c r="BA56" i="1"/>
  <c r="AS56" i="1"/>
  <c r="BH56" i="1" s="1"/>
  <c r="AG56" i="1"/>
  <c r="Y56" i="1"/>
  <c r="BA55" i="1"/>
  <c r="AS55" i="1"/>
  <c r="BH55" i="1" s="1"/>
  <c r="AG55" i="1"/>
  <c r="Y55" i="1"/>
  <c r="BJ349" i="1" l="1"/>
  <c r="BI349" i="1"/>
  <c r="BI332" i="1"/>
  <c r="BI498" i="1"/>
  <c r="BH215" i="1"/>
  <c r="BI215" i="1" s="1"/>
  <c r="BI217" i="1"/>
  <c r="BI400" i="1"/>
  <c r="BI555" i="1"/>
  <c r="BI559" i="1"/>
  <c r="BI616" i="1"/>
  <c r="BI56" i="1"/>
  <c r="BJ56" i="1" s="1"/>
  <c r="BI273" i="1"/>
  <c r="BI441" i="1"/>
  <c r="BI678" i="1"/>
  <c r="BH214" i="1"/>
  <c r="BI214" i="1" s="1"/>
  <c r="BI216" i="1"/>
  <c r="BI331" i="1"/>
  <c r="BI399" i="1"/>
  <c r="BH404" i="1"/>
  <c r="BI440" i="1"/>
  <c r="BI446" i="1"/>
  <c r="BJ446" i="1" s="1"/>
  <c r="BI499" i="1"/>
  <c r="BI558" i="1"/>
  <c r="BI677" i="1"/>
  <c r="BI733" i="1"/>
  <c r="BM733" i="1" s="1"/>
  <c r="BI55" i="1"/>
  <c r="BJ55" i="1" s="1"/>
  <c r="BJ799" i="1"/>
  <c r="BJ899" i="1"/>
  <c r="BI899" i="1"/>
  <c r="BH1211" i="1"/>
  <c r="BH1005" i="1"/>
  <c r="BI937" i="1"/>
  <c r="BI978" i="1"/>
  <c r="BJ1033" i="1"/>
  <c r="BI1033" i="1"/>
  <c r="BM1033" i="1" s="1"/>
  <c r="BH1169" i="1"/>
  <c r="BI1169" i="1" s="1"/>
  <c r="BI1171" i="1"/>
  <c r="BI1184" i="1"/>
  <c r="BA562" i="1"/>
  <c r="BH562" i="1" s="1"/>
  <c r="BI562" i="1" s="1"/>
  <c r="BH735" i="1"/>
  <c r="BI735" i="1" s="1"/>
  <c r="BJ735" i="1" s="1"/>
  <c r="BJ798" i="1"/>
  <c r="BI798" i="1"/>
  <c r="BH799" i="1"/>
  <c r="BI799" i="1" s="1"/>
  <c r="BI895" i="1"/>
  <c r="BL1211" i="1"/>
  <c r="BI1196" i="1"/>
  <c r="BI739" i="1"/>
  <c r="BJ898" i="1"/>
  <c r="BI898" i="1"/>
  <c r="BI1046" i="1"/>
  <c r="BJ1049" i="1"/>
  <c r="BI1124" i="1"/>
  <c r="BI1149" i="1"/>
  <c r="BH1171" i="1"/>
  <c r="BI1173" i="1"/>
  <c r="BI1180" i="1"/>
  <c r="BI1193" i="1"/>
  <c r="BI1199" i="1"/>
  <c r="BJ406" i="1"/>
  <c r="BI443" i="1"/>
  <c r="BI444" i="1"/>
  <c r="BJ561" i="1"/>
  <c r="BJ621" i="1"/>
  <c r="BI742" i="1"/>
  <c r="BI894" i="1"/>
  <c r="BJ894" i="1" s="1"/>
  <c r="AG1211" i="1"/>
  <c r="BI1025" i="1"/>
  <c r="BJ1025" i="1" s="1"/>
  <c r="BH1026" i="1"/>
  <c r="BI1026" i="1" s="1"/>
  <c r="BI1028" i="1"/>
  <c r="BI1065" i="1"/>
  <c r="BI1087" i="1"/>
  <c r="BJ1087" i="1"/>
  <c r="BI1110" i="1"/>
  <c r="BJ1113" i="1"/>
  <c r="BH1168" i="1"/>
  <c r="BI1168" i="1" s="1"/>
  <c r="BH1196" i="1"/>
  <c r="BI1204" i="1"/>
  <c r="BI338" i="1"/>
  <c r="BI404" i="1"/>
  <c r="BI405" i="1"/>
  <c r="BI408" i="1"/>
  <c r="BI740" i="1"/>
  <c r="BI741" i="1"/>
  <c r="BI845" i="1"/>
  <c r="BI933" i="1"/>
  <c r="BJ935" i="1"/>
  <c r="BI997" i="1"/>
  <c r="AS1005" i="1"/>
  <c r="AS1211" i="1" s="1"/>
  <c r="BI1107" i="1"/>
  <c r="BI1198" i="1"/>
  <c r="BI1203" i="1"/>
  <c r="BI218" i="1"/>
  <c r="BI793" i="1"/>
  <c r="BI797" i="1"/>
  <c r="BH1025" i="1"/>
  <c r="BI1045" i="1"/>
  <c r="BI1062" i="1"/>
  <c r="BJ1086" i="1"/>
  <c r="BI1086" i="1"/>
  <c r="BI1158" i="1"/>
  <c r="BI1172" i="1"/>
  <c r="BI1175" i="1"/>
  <c r="BI1179" i="1"/>
  <c r="BI1192" i="1"/>
  <c r="BI1202" i="1"/>
  <c r="BI802" i="1"/>
  <c r="BJ802" i="1" s="1"/>
  <c r="BI936" i="1"/>
  <c r="BH939" i="1"/>
  <c r="BI939" i="1" s="1"/>
  <c r="BJ939" i="1" s="1"/>
  <c r="BI968" i="1"/>
  <c r="BI971" i="1"/>
  <c r="BI974" i="1"/>
  <c r="BI1027" i="1"/>
  <c r="BH1048" i="1"/>
  <c r="BH1067" i="1"/>
  <c r="BI1067" i="1" s="1"/>
  <c r="BI1081" i="1"/>
  <c r="BJ1081" i="1" s="1"/>
  <c r="BI1125" i="1"/>
  <c r="BI1133" i="1"/>
  <c r="BI1136" i="1"/>
  <c r="BI1148" i="1"/>
  <c r="BJ1153" i="1"/>
  <c r="BH1195" i="1"/>
  <c r="BI1195" i="1" s="1"/>
  <c r="BI1197" i="1"/>
  <c r="BI1201" i="1"/>
  <c r="BH1204" i="1"/>
  <c r="BI1209" i="1"/>
  <c r="BI972" i="1"/>
  <c r="Y1005" i="1"/>
  <c r="Y1211" i="1" s="1"/>
  <c r="AG1005" i="1"/>
  <c r="BL1005" i="1"/>
  <c r="BI1030" i="1"/>
  <c r="BI1090" i="1"/>
  <c r="BM1090" i="1" s="1"/>
  <c r="BI1115" i="1"/>
  <c r="BI973" i="1"/>
  <c r="BI1048" i="1"/>
  <c r="BI1066" i="1"/>
  <c r="BI1070" i="1"/>
  <c r="BI1112" i="1"/>
  <c r="BA1211" i="1"/>
  <c r="BI1051" i="1"/>
  <c r="BI1068" i="1"/>
  <c r="BI1069" i="1"/>
  <c r="BI1089" i="1"/>
  <c r="BI1114" i="1"/>
  <c r="BI1049" i="1"/>
  <c r="BI1050" i="1"/>
  <c r="BI1113" i="1"/>
  <c r="BI1150" i="1"/>
  <c r="BI1151" i="1"/>
  <c r="BI1152" i="1"/>
  <c r="BI1153" i="1"/>
  <c r="BI1157" i="1"/>
  <c r="BI1211" i="1" l="1"/>
  <c r="BJ978" i="1"/>
  <c r="BI10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6" authorId="0" shapeId="0" xr:uid="{00000000-0006-0000-0000-00002E020000}">
      <text>
        <r>
          <rPr>
            <b/>
            <sz val="9"/>
            <color rgb="FF000000"/>
            <rFont val="Tahoma"/>
            <family val="2"/>
            <charset val="1"/>
          </rPr>
          <t>VALOR =  SOMA CONTRATO E ADITIVOS</t>
        </r>
      </text>
    </comment>
    <comment ref="AA6" authorId="0" shapeId="0" xr:uid="{00000000-0006-0000-0000-0000F902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AG6" authorId="0" shapeId="0" xr:uid="{00000000-0006-0000-0000-00003F090000}">
      <text>
        <r>
          <rPr>
            <b/>
            <sz val="9"/>
            <color rgb="FF000000"/>
            <rFont val="Tahoma"/>
            <family val="2"/>
            <charset val="1"/>
          </rPr>
          <t xml:space="preserve">TOTAL DAS GLOSAS
</t>
        </r>
      </text>
    </comment>
    <comment ref="AH6" authorId="0" shapeId="0" xr:uid="{00000000-0006-0000-0000-00004009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BH6" authorId="0" shapeId="0" xr:uid="{00000000-0006-0000-0000-0000EA0A0000}">
      <text>
        <r>
          <rPr>
            <b/>
            <sz val="9"/>
            <color rgb="FF000000"/>
            <rFont val="Tahoma"/>
            <family val="2"/>
            <charset val="1"/>
          </rPr>
          <t xml:space="preserve">TOTAL SOMA RESSARCIMENTO + CREDITOS ADICIONAIS
</t>
        </r>
      </text>
    </comment>
    <comment ref="BI6" authorId="0" shapeId="0" xr:uid="{00000000-0006-0000-0000-0000EC0A0000}">
      <text>
        <r>
          <rPr>
            <b/>
            <sz val="9"/>
            <color rgb="FF000000"/>
            <rFont val="Tahoma"/>
            <family val="2"/>
            <charset val="1"/>
          </rPr>
          <t>VALOR = TOTAL CONTRATO - GLOSAS + RESSARCIMENTOS/CRÉDITOS ADICIONAIS</t>
        </r>
      </text>
    </comment>
    <comment ref="BM6" authorId="0" shapeId="0" xr:uid="{00000000-0006-0000-0000-0000F10A0000}">
      <text>
        <r>
          <rPr>
            <b/>
            <sz val="9"/>
            <color rgb="FF000000"/>
            <rFont val="Tahoma"/>
            <family val="2"/>
            <charset val="1"/>
          </rPr>
          <t xml:space="preserve">VALOR= TOTAL GERAL DEVIDO - O SALDO PAGO
</t>
        </r>
      </text>
    </comment>
    <comment ref="AD17" authorId="0" shapeId="0" xr:uid="{00000000-0006-0000-0000-000084050000}">
      <text>
        <r>
          <rPr>
            <b/>
            <sz val="9"/>
            <color rgb="FF000000"/>
            <rFont val="Tahoma"/>
            <family val="2"/>
            <charset val="1"/>
          </rPr>
          <t xml:space="preserve">GLOSA REF.AO FORNECIMENTO EM SET/17.
</t>
        </r>
      </text>
    </comment>
    <comment ref="AD18" authorId="0" shapeId="0" xr:uid="{00000000-0006-0000-0000-000085050000}">
      <text>
        <r>
          <rPr>
            <b/>
            <sz val="9"/>
            <color rgb="FF000000"/>
            <rFont val="Tahoma"/>
            <family val="2"/>
            <charset val="1"/>
          </rPr>
          <t xml:space="preserve">GLOSA REF.AO FORNECIMENTO EM OUT/17 R$ 10.941,95 E NOV/17 R$ 4.234,87.
</t>
        </r>
      </text>
    </comment>
    <comment ref="AC19" authorId="0" shapeId="0" xr:uid="{00000000-0006-0000-0000-0000BF040000}">
      <text>
        <r>
          <rPr>
            <b/>
            <sz val="9"/>
            <color rgb="FF000000"/>
            <rFont val="Tahoma"/>
            <family val="2"/>
            <charset val="1"/>
          </rPr>
          <t>TELEFONE</t>
        </r>
      </text>
    </comment>
    <comment ref="AD20" authorId="0" shapeId="0" xr:uid="{00000000-0006-0000-0000-000086050000}">
      <text>
        <r>
          <rPr>
            <b/>
            <sz val="9"/>
            <color rgb="FF000000"/>
            <rFont val="Tahoma"/>
            <family val="2"/>
            <charset val="1"/>
          </rPr>
          <t xml:space="preserve">CELG - JANEIRO/18
</t>
        </r>
      </text>
    </comment>
    <comment ref="AE20" authorId="0" shapeId="0" xr:uid="{00000000-0006-0000-0000-00002C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AF20" authorId="0" shapeId="0" xr:uid="{00000000-0006-0000-0000-0000D8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N21" authorId="0" shapeId="0" xr:uid="{00000000-0006-0000-0000-0000F5000000}">
      <text>
        <r>
          <rPr>
            <b/>
            <sz val="9"/>
            <color rgb="FF000000"/>
            <rFont val="Tahoma"/>
            <family val="2"/>
            <charset val="1"/>
          </rPr>
          <t xml:space="preserve">PERIODO DE 28 A 30/03/18 PRORROGAÇÃO R$ 134.530,21 E APORTE DE FOLHA 91.498,83
</t>
        </r>
      </text>
    </comment>
    <comment ref="AE21" authorId="0" shapeId="0" xr:uid="{00000000-0006-0000-0000-00002D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AF21" authorId="0" shapeId="0" xr:uid="{00000000-0006-0000-0000-0000D9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N22" authorId="0" shapeId="0" xr:uid="{00000000-0006-0000-0000-0000F6000000}">
      <text>
        <r>
          <rPr>
            <b/>
            <sz val="9"/>
            <color rgb="FF000000"/>
            <rFont val="Tahoma"/>
            <family val="2"/>
            <charset val="1"/>
          </rPr>
          <t xml:space="preserve">PRORROGAÇÃO 1.345.302,11 + 914.988,25
</t>
        </r>
      </text>
    </comment>
    <comment ref="AE22" authorId="0" shapeId="0" xr:uid="{00000000-0006-0000-0000-00002E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AF22" authorId="0" shapeId="0" xr:uid="{00000000-0006-0000-0000-0000DA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N23" authorId="0" shapeId="0" xr:uid="{00000000-0006-0000-0000-0000F7000000}">
      <text>
        <r>
          <rPr>
            <b/>
            <sz val="9"/>
            <color rgb="FF000000"/>
            <rFont val="Tahoma"/>
            <family val="2"/>
            <charset val="1"/>
          </rPr>
          <t xml:space="preserve">PRORROGAÇÃO 1.345.302,11 + 914.988,25
</t>
        </r>
      </text>
    </comment>
    <comment ref="AD23" authorId="0" shapeId="0" xr:uid="{00000000-0006-0000-0000-000087050000}">
      <text>
        <r>
          <rPr>
            <b/>
            <sz val="9"/>
            <color rgb="FF000000"/>
            <rFont val="Tahoma"/>
            <family val="2"/>
            <charset val="1"/>
          </rPr>
          <t xml:space="preserve">CELG - ABRIL/2018
</t>
        </r>
      </text>
    </comment>
    <comment ref="AE23" authorId="0" shapeId="0" xr:uid="{00000000-0006-0000-0000-00002F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AF23" authorId="0" shapeId="0" xr:uid="{00000000-0006-0000-0000-0000DB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N24" authorId="0" shapeId="0" xr:uid="{00000000-0006-0000-0000-0000F8000000}">
      <text>
        <r>
          <rPr>
            <b/>
            <sz val="9"/>
            <color rgb="FF000000"/>
            <rFont val="Tahoma"/>
            <family val="2"/>
            <charset val="1"/>
          </rPr>
          <t xml:space="preserve">PRORROGAÇÃO 1.345.302,11 + 914.988,25
</t>
        </r>
      </text>
    </comment>
    <comment ref="AD24" authorId="0" shapeId="0" xr:uid="{00000000-0006-0000-0000-000088050000}">
      <text>
        <r>
          <rPr>
            <b/>
            <sz val="9"/>
            <color rgb="FF000000"/>
            <rFont val="Tahoma"/>
            <family val="2"/>
            <charset val="1"/>
          </rPr>
          <t xml:space="preserve">CELG - MAI/18
</t>
        </r>
      </text>
    </comment>
    <comment ref="AE24" authorId="0" shapeId="0" xr:uid="{00000000-0006-0000-0000-000030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AF24" authorId="0" shapeId="0" xr:uid="{00000000-0006-0000-0000-0000DC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N25" authorId="0" shapeId="0" xr:uid="{00000000-0006-0000-0000-0000F9000000}">
      <text>
        <r>
          <rPr>
            <b/>
            <sz val="9"/>
            <color rgb="FF000000"/>
            <rFont val="Tahoma"/>
            <family val="2"/>
            <charset val="1"/>
          </rPr>
          <t xml:space="preserve">PRORROGAÇÃO 1.345.302,11 + 914.988,25
</t>
        </r>
      </text>
    </comment>
    <comment ref="AD25" authorId="0" shapeId="0" xr:uid="{00000000-0006-0000-0000-000089050000}">
      <text>
        <r>
          <rPr>
            <b/>
            <sz val="9"/>
            <color rgb="FF000000"/>
            <rFont val="Tahoma"/>
            <family val="2"/>
            <charset val="1"/>
          </rPr>
          <t xml:space="preserve">CELG - JUN/2018
</t>
        </r>
      </text>
    </comment>
    <comment ref="AE25" authorId="0" shapeId="0" xr:uid="{00000000-0006-0000-0000-000031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AF25" authorId="0" shapeId="0" xr:uid="{00000000-0006-0000-0000-0000DD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N26" authorId="0" shapeId="0" xr:uid="{00000000-0006-0000-0000-0000FA000000}">
      <text>
        <r>
          <rPr>
            <b/>
            <sz val="9"/>
            <color rgb="FF000000"/>
            <rFont val="Tahoma"/>
            <family val="2"/>
            <charset val="1"/>
          </rPr>
          <t xml:space="preserve">PRORROGAÇÃO 1.345.302,11 + 914.988,25
</t>
        </r>
      </text>
    </comment>
    <comment ref="AD26" authorId="0" shapeId="0" xr:uid="{00000000-0006-0000-0000-00008A050000}">
      <text>
        <r>
          <rPr>
            <b/>
            <sz val="9"/>
            <color rgb="FF000000"/>
            <rFont val="Tahoma"/>
            <family val="2"/>
            <charset val="1"/>
          </rPr>
          <t xml:space="preserve">CELG - JUL/2018
</t>
        </r>
      </text>
    </comment>
    <comment ref="AE26" authorId="0" shapeId="0" xr:uid="{00000000-0006-0000-0000-000032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AF26" authorId="0" shapeId="0" xr:uid="{00000000-0006-0000-0000-0000DE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N27" authorId="0" shapeId="0" xr:uid="{00000000-0006-0000-0000-0000FB000000}">
      <text>
        <r>
          <rPr>
            <b/>
            <sz val="9"/>
            <color rgb="FF000000"/>
            <rFont val="Tahoma"/>
            <family val="2"/>
            <charset val="1"/>
          </rPr>
          <t xml:space="preserve">PRORROGAÇÃO 1.345.302,11 + 914.988,25
</t>
        </r>
      </text>
    </comment>
    <comment ref="AD27" authorId="0" shapeId="0" xr:uid="{00000000-0006-0000-0000-00008B050000}">
      <text>
        <r>
          <rPr>
            <b/>
            <sz val="9"/>
            <color rgb="FF000000"/>
            <rFont val="Tahoma"/>
            <family val="2"/>
            <charset val="1"/>
          </rPr>
          <t xml:space="preserve">CELG - AGO/18
</t>
        </r>
      </text>
    </comment>
    <comment ref="AE27" authorId="0" shapeId="0" xr:uid="{00000000-0006-0000-0000-000033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AF27" authorId="0" shapeId="0" xr:uid="{00000000-0006-0000-0000-0000DF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N28" authorId="0" shapeId="0" xr:uid="{00000000-0006-0000-0000-0000FC000000}">
      <text>
        <r>
          <rPr>
            <b/>
            <sz val="9"/>
            <color rgb="FF000000"/>
            <rFont val="Tahoma"/>
            <family val="2"/>
            <charset val="1"/>
          </rPr>
          <t xml:space="preserve">PRORROGAÇÃO 1.345.302,11 + 914.988,25
</t>
        </r>
      </text>
    </comment>
    <comment ref="AD28" authorId="0" shapeId="0" xr:uid="{00000000-0006-0000-0000-00008C050000}">
      <text>
        <r>
          <rPr>
            <b/>
            <sz val="9"/>
            <color rgb="FF000000"/>
            <rFont val="Tahoma"/>
            <family val="2"/>
            <charset val="1"/>
          </rPr>
          <t xml:space="preserve">CELG - SET/18
</t>
        </r>
      </text>
    </comment>
    <comment ref="N29" authorId="0" shapeId="0" xr:uid="{00000000-0006-0000-0000-0000FD000000}">
      <text>
        <r>
          <rPr>
            <b/>
            <sz val="9"/>
            <color rgb="FF000000"/>
            <rFont val="Tahoma"/>
            <family val="2"/>
            <charset val="1"/>
          </rPr>
          <t xml:space="preserve">PRORROGAÇÃO 1.345.302,11 + 914.988,25
</t>
        </r>
      </text>
    </comment>
    <comment ref="AD29" authorId="0" shapeId="0" xr:uid="{00000000-0006-0000-0000-00008D050000}">
      <text>
        <r>
          <rPr>
            <b/>
            <sz val="9"/>
            <color rgb="FF000000"/>
            <rFont val="Tahoma"/>
            <family val="2"/>
            <charset val="1"/>
          </rPr>
          <t xml:space="preserve">CELG NOV/18
</t>
        </r>
      </text>
    </comment>
    <comment ref="N30" authorId="0" shapeId="0" xr:uid="{00000000-0006-0000-0000-0000FE000000}">
      <text>
        <r>
          <rPr>
            <b/>
            <sz val="9"/>
            <color rgb="FF000000"/>
            <rFont val="Tahoma"/>
            <family val="2"/>
            <charset val="1"/>
          </rPr>
          <t xml:space="preserve">PRORROGAÇÃO 1.345.302,11 + 914.988,25
</t>
        </r>
      </text>
    </comment>
    <comment ref="AD30" authorId="0" shapeId="0" xr:uid="{00000000-0006-0000-0000-00008E050000}">
      <text>
        <r>
          <rPr>
            <b/>
            <sz val="9"/>
            <color rgb="FF000000"/>
            <rFont val="Tahoma"/>
            <family val="2"/>
            <charset val="1"/>
          </rPr>
          <t xml:space="preserve">CELG NOV/18:
</t>
        </r>
      </text>
    </comment>
    <comment ref="AN30" authorId="0" shapeId="0" xr:uid="{00000000-0006-0000-0000-000041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r>
      </text>
    </comment>
    <comment ref="N31" authorId="0" shapeId="0" xr:uid="{00000000-0006-0000-0000-0000FF000000}">
      <text>
        <r>
          <rPr>
            <b/>
            <sz val="9"/>
            <color rgb="FF000000"/>
            <rFont val="Tahoma"/>
            <family val="2"/>
            <charset val="1"/>
          </rPr>
          <t xml:space="preserve">PRORROGAÇÃO 1.345.302,11 + FOLHA PESSOAL 914.988,25
</t>
        </r>
      </text>
    </comment>
    <comment ref="AC31" authorId="0" shapeId="0" xr:uid="{00000000-0006-0000-0000-0000C0040000}">
      <text>
        <r>
          <rPr>
            <sz val="9"/>
            <color rgb="FF000000"/>
            <rFont val="Tahoma"/>
            <family val="2"/>
            <charset val="1"/>
          </rPr>
          <t>TELEFONIA FIXA -
REFERÊNCIA JAN19 - LANÇADO PLANILHA GEFIC EM JAN/19.........3.683,81
REFERÊNCIA MAR/19 - LANÇADO PLANILHA GEFIC EM MAR/19
(27 DIAS)..........3.748,95</t>
        </r>
      </text>
    </comment>
    <comment ref="AD31" authorId="0" shapeId="0" xr:uid="{00000000-0006-0000-0000-00008F050000}">
      <text>
        <r>
          <rPr>
            <b/>
            <sz val="9"/>
            <color rgb="FF000000"/>
            <rFont val="Tahoma"/>
            <family val="2"/>
            <charset val="1"/>
          </rPr>
          <t xml:space="preserve">ENEL
* R$ 524,85 Diferença (nov/18) apurada referente a glosa efetuada a menor no mês de DEZ/18;
* R$ 14.053,01 DEZ/18.
.
LANÇADA PLANILHA DE MAR/19:
CELG -  REFERÊNCIA FEV/19...........14.513,15
</t>
        </r>
      </text>
    </comment>
    <comment ref="AN31" authorId="0" shapeId="0" xr:uid="{00000000-0006-0000-0000-000042090000}">
      <text>
        <r>
          <rPr>
            <sz val="9"/>
            <color rgb="FF000000"/>
            <rFont val="Tahoma"/>
            <family val="2"/>
            <charset val="1"/>
          </rPr>
          <t xml:space="preserve">Diferença apurada referente a glosa de telefonia efetuada a maiorr - mês de DEZ/18 - PLANILHA DE PAGAMENTO GEFIC.
</t>
        </r>
      </text>
    </comment>
    <comment ref="N32" authorId="0" shapeId="0" xr:uid="{00000000-0006-0000-0000-000000010000}">
      <text>
        <r>
          <rPr>
            <b/>
            <sz val="9"/>
            <color rgb="FF000000"/>
            <rFont val="Tahoma"/>
            <family val="2"/>
            <charset val="1"/>
          </rPr>
          <t xml:space="preserve">PRORROGAÇÃO 1.345.302,11 + 914.988,25
</t>
        </r>
      </text>
    </comment>
    <comment ref="N33" authorId="0" shapeId="0" xr:uid="{00000000-0006-0000-0000-000001010000}">
      <text>
        <r>
          <rPr>
            <sz val="11"/>
            <color rgb="FF000000"/>
            <rFont val="Calibri"/>
            <family val="2"/>
            <charset val="1"/>
          </rPr>
          <t xml:space="preserve">PERIODO DE 01 A 27/03/19 - PRORROGAÇÃO 1.210.771,90 E APORTE FOLHA 823.489,42
</t>
        </r>
        <r>
          <rPr>
            <sz val="9"/>
            <color rgb="FF000000"/>
            <rFont val="Tahoma"/>
            <family val="2"/>
            <charset val="1"/>
          </rPr>
          <t xml:space="preserve">
</t>
        </r>
      </text>
    </comment>
    <comment ref="O33" authorId="0" shapeId="0" xr:uid="{00000000-0006-0000-0000-000012010000}">
      <text>
        <r>
          <rPr>
            <sz val="11"/>
            <color rgb="FF000000"/>
            <rFont val="Calibri"/>
            <family val="2"/>
            <charset val="1"/>
          </rPr>
          <t xml:space="preserve">R$ 100.457,50 - custeio;
R$ 86.863,70 - folha de pessol cedido
</t>
        </r>
        <r>
          <rPr>
            <sz val="9"/>
            <color rgb="FF000000"/>
            <rFont val="Tahoma"/>
            <family val="2"/>
            <charset val="1"/>
          </rPr>
          <t>a partir 28/03/19</t>
        </r>
      </text>
    </comment>
    <comment ref="AC33" authorId="0" shapeId="0" xr:uid="{00000000-0006-0000-0000-0000C1040000}">
      <text>
        <r>
          <rPr>
            <b/>
            <sz val="9"/>
            <color rgb="FF000000"/>
            <rFont val="Tahoma"/>
            <family val="2"/>
            <charset val="1"/>
          </rPr>
          <t>TELEFONIA FIXA -REFERÊNCIA FEV/19 - LANÇADO PLANILHA GEFIC EM FEV/19</t>
        </r>
      </text>
    </comment>
    <comment ref="AD33" authorId="0" shapeId="0" xr:uid="{00000000-0006-0000-0000-000090050000}">
      <text>
        <r>
          <rPr>
            <b/>
            <sz val="9"/>
            <color rgb="FF000000"/>
            <rFont val="Tahoma"/>
            <family val="2"/>
            <charset val="1"/>
          </rPr>
          <t xml:space="preserve">REFERÊNCIA JAN/19 - LANÇADO PLANILHA GEFIC EM FEV/19
</t>
        </r>
      </text>
    </comment>
    <comment ref="O34" authorId="0" shapeId="0" xr:uid="{00000000-0006-0000-0000-000013010000}">
      <text>
        <r>
          <rPr>
            <b/>
            <sz val="9"/>
            <color rgb="FF000000"/>
            <rFont val="Tahoma"/>
            <family val="2"/>
            <charset val="1"/>
          </rPr>
          <t xml:space="preserve">R$ 1.004.575,08- custeio;
R$ 868.636,98 - folha de pessol cedido
</t>
        </r>
      </text>
    </comment>
    <comment ref="AC34" authorId="0" shapeId="0" xr:uid="{00000000-0006-0000-0000-0000C2040000}">
      <text>
        <r>
          <rPr>
            <sz val="9"/>
            <color rgb="FF000000"/>
            <rFont val="Tahoma"/>
            <family val="2"/>
            <charset val="1"/>
          </rPr>
          <t>TELEFONIA FIXA -
REFERÊNCIA ABR/19 - LANÇADO PLANILHA GEFIC EM ABR/19.........3.182,97
REFERÊNCIA MAR/19 - LANÇADO PLANILHA GEFIC EM MAR/19
(3 DIAS)..........374,89</t>
        </r>
      </text>
    </comment>
    <comment ref="AD34" authorId="0" shapeId="0" xr:uid="{00000000-0006-0000-0000-000091050000}">
      <text>
        <r>
          <rPr>
            <b/>
            <sz val="9"/>
            <color rgb="FF000000"/>
            <rFont val="Tahoma"/>
            <family val="2"/>
            <charset val="1"/>
          </rPr>
          <t xml:space="preserve">REFERÊNCIA MAR/19 - LANÇADO PLANILHA GEFIC EM ABR/19
</t>
        </r>
      </text>
    </comment>
    <comment ref="O35" authorId="0" shapeId="0" xr:uid="{00000000-0006-0000-0000-000014010000}">
      <text>
        <r>
          <rPr>
            <b/>
            <sz val="9"/>
            <color rgb="FF000000"/>
            <rFont val="Tahoma"/>
            <family val="2"/>
            <charset val="1"/>
          </rPr>
          <t xml:space="preserve">R$ 1.004.575,08- custeio;
R$ 868.636,98 - folha de pessol cedido
</t>
        </r>
      </text>
    </comment>
    <comment ref="AA35" authorId="0" shapeId="0" xr:uid="{00000000-0006-0000-0000-0000FA020000}">
      <text>
        <r>
          <rPr>
            <b/>
            <sz val="9"/>
            <color rgb="FF000000"/>
            <rFont val="Tahoma"/>
            <family val="2"/>
            <charset val="1"/>
          </rPr>
          <t xml:space="preserve">VALOR ESTIMADO PREVISTO CONTRATO GESTÃO. 
</t>
        </r>
      </text>
    </comment>
    <comment ref="AC35" authorId="0" shapeId="0" xr:uid="{00000000-0006-0000-0000-0000C3040000}">
      <text>
        <r>
          <rPr>
            <b/>
            <sz val="9"/>
            <color rgb="FF000000"/>
            <rFont val="Tahoma"/>
            <family val="2"/>
            <charset val="1"/>
          </rPr>
          <t xml:space="preserve">TELEFONIA FIXA -REFERÊNCIA MAI/19 - LANÇADO PLANILHA GEFIC EM MAI/19
</t>
        </r>
      </text>
    </comment>
    <comment ref="AD35" authorId="0" shapeId="0" xr:uid="{00000000-0006-0000-0000-000092050000}">
      <text>
        <r>
          <rPr>
            <b/>
            <sz val="9"/>
            <color rgb="FF000000"/>
            <rFont val="Tahoma"/>
            <family val="2"/>
            <charset val="1"/>
          </rPr>
          <t xml:space="preserve">REFERÊNCIA ABR/19 - LANÇADO PLANILHA GEFIC EM MAI/19
</t>
        </r>
      </text>
    </comment>
    <comment ref="O36" authorId="0" shapeId="0" xr:uid="{00000000-0006-0000-0000-000015010000}">
      <text>
        <r>
          <rPr>
            <b/>
            <sz val="9"/>
            <color rgb="FF000000"/>
            <rFont val="Tahoma"/>
            <family val="2"/>
            <charset val="1"/>
          </rPr>
          <t xml:space="preserve">R$ 1.004.575,08- custeio;
R$ 868.636,98 - folha de pessol cedido
</t>
        </r>
      </text>
    </comment>
    <comment ref="AA36" authorId="0" shapeId="0" xr:uid="{00000000-0006-0000-0000-0000FB020000}">
      <text>
        <r>
          <rPr>
            <b/>
            <sz val="9"/>
            <color rgb="FF000000"/>
            <rFont val="Tahoma"/>
            <family val="2"/>
            <charset val="1"/>
          </rPr>
          <t xml:space="preserve">VALOR ESTIMADO PREVISTO CONTRATO GESTÃO. 
</t>
        </r>
      </text>
    </comment>
    <comment ref="O37" authorId="0" shapeId="0" xr:uid="{00000000-0006-0000-0000-000016010000}">
      <text>
        <r>
          <rPr>
            <b/>
            <sz val="9"/>
            <color rgb="FF000000"/>
            <rFont val="Tahoma"/>
            <family val="2"/>
            <charset val="1"/>
          </rPr>
          <t xml:space="preserve">R$ 1.004.575,08- custeio;
R$ 868.636,98 - folha de pessol cedido
</t>
        </r>
      </text>
    </comment>
    <comment ref="AA37" authorId="0" shapeId="0" xr:uid="{00000000-0006-0000-0000-0000FC020000}">
      <text>
        <r>
          <rPr>
            <b/>
            <sz val="9"/>
            <color rgb="FF000000"/>
            <rFont val="Tahoma"/>
            <family val="2"/>
            <charset val="1"/>
          </rPr>
          <t xml:space="preserve">VALOR ESTIMADO PREVISTO CONTRATO GESTÃO. 
</t>
        </r>
      </text>
    </comment>
    <comment ref="AC37" authorId="0" shapeId="0" xr:uid="{00000000-0006-0000-0000-0000C4040000}">
      <text>
        <r>
          <rPr>
            <b/>
            <sz val="9"/>
            <color rgb="FF000000"/>
            <rFont val="Tahoma"/>
            <family val="2"/>
            <charset val="1"/>
          </rPr>
          <t>- TELEFONIA JUN/19</t>
        </r>
      </text>
    </comment>
    <comment ref="AD37" authorId="0" shapeId="0" xr:uid="{00000000-0006-0000-0000-000093050000}">
      <text>
        <r>
          <rPr>
            <b/>
            <sz val="9"/>
            <color rgb="FF000000"/>
            <rFont val="Tahoma"/>
            <family val="2"/>
            <charset val="1"/>
          </rPr>
          <t>- ENERGIA MAI / 19</t>
        </r>
      </text>
    </comment>
    <comment ref="O38" authorId="0" shapeId="0" xr:uid="{00000000-0006-0000-0000-000017010000}">
      <text>
        <r>
          <rPr>
            <b/>
            <sz val="9"/>
            <color rgb="FF000000"/>
            <rFont val="Tahoma"/>
            <family val="2"/>
            <charset val="1"/>
          </rPr>
          <t xml:space="preserve">R$ 1.004.575,08- custeio;
R$ 868.636,98 - folha de pessol cedido
</t>
        </r>
      </text>
    </comment>
    <comment ref="AA38" authorId="0" shapeId="0" xr:uid="{00000000-0006-0000-0000-0000FD020000}">
      <text>
        <r>
          <rPr>
            <b/>
            <sz val="9"/>
            <color rgb="FF000000"/>
            <rFont val="Tahoma"/>
            <family val="2"/>
            <charset val="1"/>
          </rPr>
          <t xml:space="preserve">VALOR ESTIMADO PREVISTO CONTRATO GESTÃO. 
</t>
        </r>
      </text>
    </comment>
    <comment ref="AC38" authorId="0" shapeId="0" xr:uid="{00000000-0006-0000-0000-0000C5040000}">
      <text>
        <r>
          <rPr>
            <sz val="11"/>
            <color rgb="FF000000"/>
            <rFont val="Calibri"/>
            <family val="2"/>
            <charset val="1"/>
          </rPr>
          <t xml:space="preserve">TELEFONIA FIXA -REFERÊNCIA JUL/19 - LANÇADO PLANILHA GEFIC EM JUL/19
</t>
        </r>
      </text>
    </comment>
    <comment ref="AD38" authorId="0" shapeId="0" xr:uid="{00000000-0006-0000-0000-000094050000}">
      <text>
        <r>
          <rPr>
            <sz val="11"/>
            <color rgb="FF000000"/>
            <rFont val="Calibri"/>
            <family val="2"/>
            <charset val="1"/>
          </rPr>
          <t xml:space="preserve">CELG REFERÊNCIA JUN/19 - LANÇADO PLANILHA PAGAMENTO GEFIC EM JUL/19
</t>
        </r>
      </text>
    </comment>
    <comment ref="AU38" authorId="0" shapeId="0" xr:uid="{00000000-0006-0000-0000-00008A090000}">
      <text>
        <r>
          <rPr>
            <sz val="11"/>
            <color rgb="FF000000"/>
            <rFont val="Calibri"/>
            <family val="2"/>
            <charset val="1"/>
          </rPr>
          <t xml:space="preserve">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
</t>
        </r>
      </text>
    </comment>
    <comment ref="O39" authorId="0" shapeId="0" xr:uid="{00000000-0006-0000-0000-000018010000}">
      <text>
        <r>
          <rPr>
            <b/>
            <sz val="9"/>
            <color rgb="FF000000"/>
            <rFont val="Tahoma"/>
            <family val="2"/>
            <charset val="1"/>
          </rPr>
          <t xml:space="preserve">R$ 1.004.575,08- custeio;
R$ 868.636,98 - folha de pessol cedido
</t>
        </r>
      </text>
    </comment>
    <comment ref="AA39" authorId="0" shapeId="0" xr:uid="{00000000-0006-0000-0000-0000FE020000}">
      <text>
        <r>
          <rPr>
            <b/>
            <sz val="9"/>
            <color rgb="FF000000"/>
            <rFont val="Tahoma"/>
            <family val="2"/>
            <charset val="1"/>
          </rPr>
          <t xml:space="preserve">VALOR ESTIMADO PREVISTO CONTRATO GESTÃO. 
</t>
        </r>
      </text>
    </comment>
    <comment ref="AB39" authorId="0" shapeId="0" xr:uid="{00000000-0006-0000-0000-00007B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39" authorId="0" shapeId="0" xr:uid="{00000000-0006-0000-0000-0000C6040000}">
      <text>
        <r>
          <rPr>
            <sz val="11"/>
            <color rgb="FF000000"/>
            <rFont val="Calibri"/>
            <family val="2"/>
            <charset val="1"/>
          </rPr>
          <t xml:space="preserve">R$ 3.313,81 TELEFONIA FIXA -REFERÊNCIA AGO/19 - LANÇADO PLANILHA GEFIC EM AGO/19;
.
R$ 3.418,43TELEFONIA FIXA -REFERÊNCIA SET/19 - LANÇADO PLANILHA GEFIC EM SET/19.
</t>
        </r>
      </text>
    </comment>
    <comment ref="AD39" authorId="0" shapeId="0" xr:uid="{00000000-0006-0000-0000-000095050000}">
      <text>
        <r>
          <rPr>
            <sz val="11"/>
            <color rgb="FF000000"/>
            <rFont val="Calibri"/>
            <family val="2"/>
            <charset val="1"/>
          </rPr>
          <t xml:space="preserve">R$ 10.142,94 ENERGIA - REFERÊNCIA JUL/19 - LANÇADO PLANILHA PAGAMENTO GEFIC EM AGO/19;
.
</t>
        </r>
        <r>
          <rPr>
            <sz val="9"/>
            <color rgb="FF000000"/>
            <rFont val="Tahoma"/>
            <family val="2"/>
            <charset val="1"/>
          </rPr>
          <t>R$ 12.211,93 ENERGIA - REFERÊNCIA AGO/19 - LANÇADO PLANILHA PAGAMENTO GEFIC EM SET19.</t>
        </r>
      </text>
    </comment>
    <comment ref="O40" authorId="0" shapeId="0" xr:uid="{00000000-0006-0000-0000-000019010000}">
      <text>
        <r>
          <rPr>
            <b/>
            <sz val="9"/>
            <color rgb="FF000000"/>
            <rFont val="Tahoma"/>
            <family val="2"/>
            <charset val="1"/>
          </rPr>
          <t xml:space="preserve">R$ 1.004.575,08- custeio;
R$ 868.636,98 - folha de pessol cedido
</t>
        </r>
      </text>
    </comment>
    <comment ref="AA40" authorId="0" shapeId="0" xr:uid="{00000000-0006-0000-0000-0000FF020000}">
      <text>
        <r>
          <rPr>
            <b/>
            <sz val="9"/>
            <color rgb="FF000000"/>
            <rFont val="Tahoma"/>
            <family val="2"/>
            <charset val="1"/>
          </rPr>
          <t xml:space="preserve">VALOR ESTIMADO PREVISTO CONTRATO GESTÃO. 
</t>
        </r>
      </text>
    </comment>
    <comment ref="AB40" authorId="0" shapeId="0" xr:uid="{00000000-0006-0000-0000-00007C040000}">
      <text>
        <r>
          <rPr>
            <sz val="11"/>
            <color rgb="FF000000"/>
            <rFont val="Calibri"/>
            <family val="2"/>
            <charset val="1"/>
          </rPr>
          <t xml:space="preserve">AJUSTE FOLHA (RETIFICAÇÃO) REFERÊNCIA AGO/19 - LANÇADO PLANILHA PAGAMENTO GEFIC EM OUT/19
</t>
        </r>
      </text>
    </comment>
    <comment ref="O41" authorId="0" shapeId="0" xr:uid="{00000000-0006-0000-0000-00001A010000}">
      <text>
        <r>
          <rPr>
            <b/>
            <sz val="9"/>
            <color rgb="FF000000"/>
            <rFont val="Tahoma"/>
            <family val="2"/>
            <charset val="1"/>
          </rPr>
          <t xml:space="preserve">R$ 1.004.575,08- custeio;
R$ 868.636,98 - folha de pessol cedido
</t>
        </r>
      </text>
    </comment>
    <comment ref="AA41" authorId="0" shapeId="0" xr:uid="{00000000-0006-0000-0000-000000030000}">
      <text>
        <r>
          <rPr>
            <b/>
            <sz val="9"/>
            <color rgb="FF000000"/>
            <rFont val="Tahoma"/>
            <family val="2"/>
            <charset val="1"/>
          </rPr>
          <t xml:space="preserve">VALOR ESTIMADO PREVISTO CONTRATO GESTÃO. 
</t>
        </r>
      </text>
    </comment>
    <comment ref="AC41" authorId="0" shapeId="0" xr:uid="{00000000-0006-0000-0000-0000C7040000}">
      <text>
        <r>
          <rPr>
            <sz val="11"/>
            <color rgb="FF000000"/>
            <rFont val="Calibri"/>
            <family val="2"/>
            <charset val="1"/>
          </rPr>
          <t xml:space="preserve">TELEFONIA FIXA -REFERÊNCIA OUT/19 - LANÇADO PLANILHA GEFIC EM OUT/19
</t>
        </r>
      </text>
    </comment>
    <comment ref="AD41" authorId="0" shapeId="0" xr:uid="{00000000-0006-0000-0000-000096050000}">
      <text>
        <r>
          <rPr>
            <sz val="11"/>
            <color rgb="FF000000"/>
            <rFont val="Calibri"/>
            <family val="2"/>
            <charset val="1"/>
          </rPr>
          <t xml:space="preserve">ENERGIA - REFERÊNCIA SET/19 - LANÇADO PLANILHA PAGAMENTO GEFIC EM OUT/19
</t>
        </r>
      </text>
    </comment>
    <comment ref="AO41" authorId="0" shapeId="0" xr:uid="{00000000-0006-0000-0000-00004A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41" authorId="0" shapeId="0" xr:uid="{00000000-0006-0000-0000-00008B090000}">
      <text>
        <r>
          <rPr>
            <sz val="11"/>
            <color rgb="FF000000"/>
            <rFont val="Calibri"/>
            <family val="2"/>
            <charset val="1"/>
          </rPr>
          <t xml:space="preserve">R$ 17.974,65 PROC.201900010012752 - RESSARCIMENTO DE VALORES DESPENDIDOS COM ENCARGOS DAS RESCISÕES TRABALHISTAS DO HOSPITAL DE DERMATOLOGIA SANITÁRIA E REABILITAÇÃO SANTA MARTA-HDS/AGIR, REFERENTE A FEVEREIRO/2019.
</t>
        </r>
      </text>
    </comment>
    <comment ref="O42" authorId="0" shapeId="0" xr:uid="{00000000-0006-0000-0000-00001B010000}">
      <text>
        <r>
          <rPr>
            <b/>
            <sz val="9"/>
            <color rgb="FF000000"/>
            <rFont val="Tahoma"/>
            <family val="2"/>
            <charset val="1"/>
          </rPr>
          <t xml:space="preserve">R$ 1.004.575,08- custeio;
R$ 868.636,98 - folha de pessol cedido
</t>
        </r>
      </text>
    </comment>
    <comment ref="AA42" authorId="0" shapeId="0" xr:uid="{00000000-0006-0000-0000-000001030000}">
      <text>
        <r>
          <rPr>
            <b/>
            <sz val="9"/>
            <color rgb="FF000000"/>
            <rFont val="Tahoma"/>
            <family val="2"/>
            <charset val="1"/>
          </rPr>
          <t xml:space="preserve">VALOR ESTIMADO PREVISTO CONTRATO GESTÃO. 
</t>
        </r>
      </text>
    </comment>
    <comment ref="AC42" authorId="0" shapeId="0" xr:uid="{00000000-0006-0000-0000-0000C8040000}">
      <text>
        <r>
          <rPr>
            <b/>
            <sz val="9"/>
            <color rgb="FF000000"/>
            <rFont val="Tahoma"/>
            <family val="2"/>
            <charset val="1"/>
          </rPr>
          <t>R$ 4.190,49 TELEFONIA FIXA -REFERÊNCIA NOV/19 - LANÇADO PLANILHA GEFIC EM NOV/19;
.
R$ 3.667,71 TELEFONIA FIXA -REFERÊNCIA DEZ/19 - LANÇADO PLANILHA GEFIC EM DEZ/19</t>
        </r>
      </text>
    </comment>
    <comment ref="AD42" authorId="0" shapeId="0" xr:uid="{00000000-0006-0000-0000-000097050000}">
      <text>
        <r>
          <rPr>
            <b/>
            <sz val="9"/>
            <color rgb="FF000000"/>
            <rFont val="Tahoma"/>
            <family val="2"/>
            <charset val="1"/>
          </rPr>
          <t>R$ 16.989,88 ENERGIA - REFERÊNCIA OUT/19 - LANÇADO PLANILHA PAGAMENTO GEFIC EM NOV/19;
.
R$ 14.736,89 ENERGIA - REFERÊNCIA NOV/19 - LANÇADO PLANILHA PAGAMENTO GEFIC EM DEZ/19</t>
        </r>
      </text>
    </comment>
    <comment ref="AO42" authorId="0" shapeId="0" xr:uid="{00000000-0006-0000-0000-00004B090000}">
      <text>
        <r>
          <rPr>
            <sz val="9"/>
            <color rgb="FF000000"/>
            <rFont val="Tahoma"/>
            <family val="2"/>
            <charset val="1"/>
          </rPr>
          <t xml:space="preserve">
.
R$ 7.445,19 - DIFERENÇA DE VALORES DE RH REFERENTE AO MÊS DE OUT/19 LANÇADO NA PLANILHA DE PAGAMENTO/GAOS DEZ/19.</t>
        </r>
      </text>
    </comment>
    <comment ref="AU42" authorId="0" shapeId="0" xr:uid="{00000000-0006-0000-0000-00008C090000}">
      <text>
        <r>
          <rPr>
            <sz val="11"/>
            <color rgb="FF000000"/>
            <rFont val="Calibri"/>
            <family val="2"/>
            <charset val="1"/>
          </rPr>
          <t xml:space="preserve">PROCESSO SEI:201900010008642 - RESSARCIMENTO DE VALORES DESPENDIDOS COM ENCARGOS DAS RESCISÕES TRAB
ALHISTAS DO HOSPITAL DE DERMATOLOGIA SANITÁRIA E REABILITAÇÃO SANTA MARTA-HDS/AGIR, REFERENTE A JANEIRO/2019.
</t>
        </r>
        <r>
          <rPr>
            <sz val="9"/>
            <color rgb="FF000000"/>
            <rFont val="Tahoma"/>
            <family val="2"/>
            <charset val="1"/>
          </rPr>
          <t xml:space="preserve">
</t>
        </r>
      </text>
    </comment>
    <comment ref="O43" authorId="0" shapeId="0" xr:uid="{00000000-0006-0000-0000-00001C010000}">
      <text>
        <r>
          <rPr>
            <b/>
            <sz val="9"/>
            <color rgb="FF000000"/>
            <rFont val="Tahoma"/>
            <family val="2"/>
            <charset val="1"/>
          </rPr>
          <t xml:space="preserve">R$ 1.004.575,08- custeio;
R$ 868.636,98 - folha de pessol cedido
</t>
        </r>
      </text>
    </comment>
    <comment ref="AA43" authorId="0" shapeId="0" xr:uid="{00000000-0006-0000-0000-000002030000}">
      <text>
        <r>
          <rPr>
            <b/>
            <sz val="9"/>
            <color rgb="FF000000"/>
            <rFont val="Tahoma"/>
            <family val="2"/>
            <charset val="1"/>
          </rPr>
          <t xml:space="preserve">VALOR ESTIMADO PREVISTO CONTRATO GESTÃO. 
</t>
        </r>
      </text>
    </comment>
    <comment ref="AC43" authorId="0" shapeId="0" xr:uid="{00000000-0006-0000-0000-0000C9040000}">
      <text>
        <r>
          <rPr>
            <sz val="11"/>
            <color rgb="FF000000"/>
            <rFont val="Calibri"/>
            <family val="2"/>
            <charset val="1"/>
          </rPr>
          <t xml:space="preserve">TELEFONIA FIXA -REFERÊNCIA JAN/20 - LANÇADO PLANILHA GEFIC EM JAN/20
</t>
        </r>
      </text>
    </comment>
    <comment ref="AD43" authorId="0" shapeId="0" xr:uid="{00000000-0006-0000-0000-000098050000}">
      <text>
        <r>
          <rPr>
            <b/>
            <sz val="9"/>
            <color rgb="FF000000"/>
            <rFont val="Tahoma"/>
            <family val="2"/>
            <charset val="1"/>
          </rPr>
          <t>ENERGIA - REFERÊNCIA DEZ/19 - LANÇADO PLANILHA PAGAMENTO GEFIC EM JAN/20</t>
        </r>
      </text>
    </comment>
    <comment ref="O44" authorId="0" shapeId="0" xr:uid="{00000000-0006-0000-0000-00001D010000}">
      <text>
        <r>
          <rPr>
            <b/>
            <sz val="9"/>
            <color rgb="FF000000"/>
            <rFont val="Tahoma"/>
            <family val="2"/>
            <charset val="1"/>
          </rPr>
          <t xml:space="preserve">R$ 1.004.575,08- custeio;
R$ 868.636,98 - folha de pessol cedido
</t>
        </r>
      </text>
    </comment>
    <comment ref="AA44" authorId="0" shapeId="0" xr:uid="{00000000-0006-0000-0000-000003030000}">
      <text>
        <r>
          <rPr>
            <b/>
            <sz val="9"/>
            <color rgb="FF000000"/>
            <rFont val="Tahoma"/>
            <family val="2"/>
            <charset val="1"/>
          </rPr>
          <t xml:space="preserve">VALOR ESTIMADO PREVISTO CONTRATO GESTÃO. 
</t>
        </r>
      </text>
    </comment>
    <comment ref="AC44" authorId="0" shapeId="0" xr:uid="{00000000-0006-0000-0000-0000CA040000}">
      <text>
        <r>
          <rPr>
            <sz val="11"/>
            <color rgb="FF000000"/>
            <rFont val="Calibri"/>
            <family val="2"/>
            <charset val="1"/>
          </rPr>
          <t xml:space="preserve">ESTIMATIVA FEV/20
</t>
        </r>
      </text>
    </comment>
    <comment ref="AD44" authorId="0" shapeId="0" xr:uid="{00000000-0006-0000-0000-000099050000}">
      <text>
        <r>
          <rPr>
            <sz val="11"/>
            <color rgb="FF000000"/>
            <rFont val="Calibri"/>
            <family val="2"/>
            <charset val="1"/>
          </rPr>
          <t xml:space="preserve">ESTIMATIVA JAN/20
</t>
        </r>
      </text>
    </comment>
    <comment ref="O45" authorId="0" shapeId="0" xr:uid="{00000000-0006-0000-0000-00001E010000}">
      <text>
        <r>
          <rPr>
            <sz val="11"/>
            <color rgb="FF000000"/>
            <rFont val="Calibri"/>
            <family val="2"/>
            <charset val="1"/>
          </rPr>
          <t xml:space="preserve">R$ 904.117,54- custeio;
R$ 781.773,22- folha de pessol cedido
</t>
        </r>
        <r>
          <rPr>
            <sz val="9"/>
            <color rgb="FF000000"/>
            <rFont val="Tahoma"/>
            <family val="2"/>
            <charset val="1"/>
          </rPr>
          <t>até 27/03/20</t>
        </r>
      </text>
    </comment>
    <comment ref="P45" authorId="0" shapeId="0" xr:uid="{00000000-0006-0000-0000-000031010000}">
      <text>
        <r>
          <rPr>
            <sz val="9"/>
            <color rgb="FF000000"/>
            <rFont val="Segoe UI"/>
            <family val="2"/>
            <charset val="1"/>
          </rPr>
          <t xml:space="preserve">VIGÊNCIA - 28/03/20 A 27/03/21
</t>
        </r>
      </text>
    </comment>
    <comment ref="AA45" authorId="0" shapeId="0" xr:uid="{00000000-0006-0000-0000-000004030000}">
      <text>
        <r>
          <rPr>
            <b/>
            <sz val="9"/>
            <color rgb="FF000000"/>
            <rFont val="Tahoma"/>
            <family val="2"/>
            <charset val="1"/>
          </rPr>
          <t xml:space="preserve">VALOR ESTIMADO PREVISTO CONTRATO GESTÃO. 
</t>
        </r>
      </text>
    </comment>
    <comment ref="AD45" authorId="0" shapeId="0" xr:uid="{00000000-0006-0000-0000-00009A050000}">
      <text>
        <r>
          <rPr>
            <sz val="11"/>
            <color rgb="FF000000"/>
            <rFont val="Calibri"/>
            <family val="2"/>
            <charset val="1"/>
          </rPr>
          <t xml:space="preserve">ENERGIA - REFERÊNCIA FEV/20 - LANÇADO PLANILHA PAGAMENTO GEFIC EM MAR/20
</t>
        </r>
      </text>
    </comment>
    <comment ref="AO45" authorId="0" shapeId="0" xr:uid="{00000000-0006-0000-0000-00004C090000}">
      <text>
        <r>
          <rPr>
            <sz val="9"/>
            <color rgb="FF000000"/>
            <rFont val="Segoe UI"/>
            <family val="2"/>
            <charset val="1"/>
          </rPr>
          <t xml:space="preserve">DIFERENÇA FOLHA DE FEV/20, LANÇADA NA PLANILHA DE MAR/20
</t>
        </r>
      </text>
    </comment>
    <comment ref="AU45" authorId="0" shapeId="0" xr:uid="{00000000-0006-0000-0000-00008D090000}">
      <text>
        <r>
          <rPr>
            <sz val="11"/>
            <color rgb="FF000000"/>
            <rFont val="Calibri"/>
            <family val="2"/>
            <charset val="1"/>
          </rPr>
          <t xml:space="preserve">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
</t>
        </r>
      </text>
    </comment>
    <comment ref="BM45" authorId="0" shapeId="0" xr:uid="{00000000-0006-0000-0000-0000F20A0000}">
      <text>
        <r>
          <rPr>
            <sz val="11"/>
            <color rgb="FF000000"/>
            <rFont val="Calibri"/>
            <family val="2"/>
            <charset val="1"/>
          </rPr>
          <t xml:space="preserve">VALOR DO NOVO DITIVO - SEM OUTORGA 
</t>
        </r>
      </text>
    </comment>
    <comment ref="AD46" authorId="0" shapeId="0" xr:uid="{00000000-0006-0000-0000-00009B050000}">
      <text>
        <r>
          <rPr>
            <sz val="11"/>
            <color rgb="FF000000"/>
            <rFont val="Calibri"/>
            <family val="2"/>
            <charset val="1"/>
          </rPr>
          <t xml:space="preserve">REFERÊNCIA MAR/20 - LANÇADO PLANILHA PAGAMENTO GEFIC EM ABR/20
</t>
        </r>
        <r>
          <rPr>
            <sz val="9"/>
            <color rgb="FF000000"/>
            <rFont val="Segoe UI"/>
            <family val="2"/>
            <charset val="1"/>
          </rPr>
          <t xml:space="preserve">
</t>
        </r>
      </text>
    </comment>
    <comment ref="Z47" authorId="0" shapeId="0" xr:uid="{00000000-0006-0000-0000-000035020000}">
      <text>
        <r>
          <rPr>
            <sz val="11"/>
            <color rgb="FF000000"/>
            <rFont val="Calibri"/>
            <family val="2"/>
            <charset val="1"/>
          </rPr>
          <t xml:space="preserve">GLOSA DE FOLHA ABR/20 LANÇADA NA PLANILHA DE PREVISÃO DE PAGAMENTO MAI/20 DA GAOS
</t>
        </r>
      </text>
    </comment>
    <comment ref="AA47" authorId="0" shapeId="0" xr:uid="{00000000-0006-0000-0000-000005030000}">
      <text>
        <r>
          <rPr>
            <sz val="11"/>
            <color rgb="FF000000"/>
            <rFont val="Calibri"/>
            <family val="2"/>
            <charset val="1"/>
          </rPr>
          <t xml:space="preserve">GLOSA DE FOLHA ABR/20 LANÇADA NA PLANILHA DE PREVISÃO DE PAGAMENTO MAI/20 DA GAOS
</t>
        </r>
      </text>
    </comment>
    <comment ref="AD47" authorId="0" shapeId="0" xr:uid="{00000000-0006-0000-0000-00009C050000}">
      <text>
        <r>
          <rPr>
            <sz val="11"/>
            <color rgb="FF000000"/>
            <rFont val="Calibri"/>
            <family val="2"/>
            <charset val="1"/>
          </rPr>
          <t xml:space="preserve">REFERÊNCIA ABR/20 - LANÇADO PLANILHA PAGAMENTO GEFIC EM MAI/20
</t>
        </r>
      </text>
    </comment>
    <comment ref="Z48" authorId="0" shapeId="0" xr:uid="{00000000-0006-0000-0000-000036020000}">
      <text>
        <r>
          <rPr>
            <sz val="11"/>
            <color rgb="FF000000"/>
            <rFont val="Calibri"/>
            <family val="2"/>
            <charset val="1"/>
          </rPr>
          <t xml:space="preserve">GLOSA DE FOLHA MAI/20 LANÇADA NA PLANILHA DE PREVISÃO DE PAGAMENTO JUN/20 DA GAOS
</t>
        </r>
      </text>
    </comment>
    <comment ref="AA48" authorId="0" shapeId="0" xr:uid="{00000000-0006-0000-0000-000006030000}">
      <text>
        <r>
          <rPr>
            <sz val="11"/>
            <color rgb="FF000000"/>
            <rFont val="Calibri"/>
            <family val="2"/>
            <charset val="1"/>
          </rPr>
          <t xml:space="preserve">GLOSA DE FOLHA MAI/20 LANÇADA NA PLANILHA DE PREVISÃO DE PAGAMENTO JUN/20 DA GAOS
</t>
        </r>
      </text>
    </comment>
    <comment ref="AD48" authorId="0" shapeId="0" xr:uid="{00000000-0006-0000-0000-00009D050000}">
      <text>
        <r>
          <rPr>
            <sz val="11"/>
            <color rgb="FF000000"/>
            <rFont val="Calibri"/>
            <family val="2"/>
            <charset val="1"/>
          </rPr>
          <t xml:space="preserve">ENERGIA - REFERÊNCIA MAI/20 - LANÇADO PLANILHA PAGAMENTO GEFIC EM JUN/20
</t>
        </r>
      </text>
    </comment>
    <comment ref="Z49" authorId="0" shapeId="0" xr:uid="{00000000-0006-0000-0000-000037020000}">
      <text>
        <r>
          <rPr>
            <b/>
            <sz val="9"/>
            <color rgb="FF000000"/>
            <rFont val="Tahoma"/>
            <family val="2"/>
            <charset val="1"/>
          </rPr>
          <t xml:space="preserve">FOLHA - REFERÊNCIA JUN/21- LANÇADO PLANILHA PAGAMENTO GEFIC EM JUL/21.
</t>
        </r>
      </text>
    </comment>
    <comment ref="AA49" authorId="0" shapeId="0" xr:uid="{00000000-0006-0000-0000-000007030000}">
      <text>
        <r>
          <rPr>
            <b/>
            <sz val="9"/>
            <color rgb="FF000000"/>
            <rFont val="Tahoma"/>
            <family val="2"/>
            <charset val="1"/>
          </rPr>
          <t xml:space="preserve">FOLHA - REFERÊNCIA JUN/21- LANÇADO PLANILHA PAGAMENTO GEFIC EM JUL/21.
</t>
        </r>
      </text>
    </comment>
    <comment ref="AC49" authorId="0" shapeId="0" xr:uid="{00000000-0006-0000-0000-0000CB040000}">
      <text>
        <r>
          <rPr>
            <sz val="11"/>
            <color rgb="FF000000"/>
            <rFont val="Calibri"/>
            <family val="2"/>
            <charset val="1"/>
          </rPr>
          <t xml:space="preserve">OI - REFERÊNCIA JUL/20 - LANÇADO PLANILHA PAGAMENTO GEFIC EM JUL/20
</t>
        </r>
      </text>
    </comment>
    <comment ref="AD49" authorId="0" shapeId="0" xr:uid="{00000000-0006-0000-0000-00009E050000}">
      <text>
        <r>
          <rPr>
            <sz val="11"/>
            <color rgb="FF000000"/>
            <rFont val="Calibri"/>
            <family val="2"/>
            <charset val="1"/>
          </rPr>
          <t xml:space="preserve">ENERGIA - REFERÊNCIA JUN/20 - LANÇADO PLANILHA PAGAMENTO GEFIC EM JUL/20
</t>
        </r>
      </text>
    </comment>
    <comment ref="AO49" authorId="0" shapeId="0" xr:uid="{00000000-0006-0000-0000-00004D090000}">
      <text>
        <r>
          <rPr>
            <b/>
            <sz val="9"/>
            <color rgb="FF000000"/>
            <rFont val="Segoe UI"/>
            <family val="2"/>
            <charset val="1"/>
          </rPr>
          <t>DIFERENÇA ENTRE O ESTIMADO E O APLICADO DA FOLHA REFERÊNCIA JUN/20 - LANÇADO PLANILHA PAGAMENTO GEFIC EM JUL/20</t>
        </r>
      </text>
    </comment>
    <comment ref="AW49" authorId="0" shapeId="0" xr:uid="{00000000-0006-0000-0000-0000070A0000}">
      <text>
        <r>
          <rPr>
            <sz val="11"/>
            <color rgb="FF000000"/>
            <rFont val="Calibri"/>
            <family val="2"/>
            <charset val="1"/>
          </rPr>
          <t xml:space="preserve">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
</t>
        </r>
      </text>
    </comment>
    <comment ref="Z50" authorId="0" shapeId="0" xr:uid="{00000000-0006-0000-0000-000038020000}">
      <text>
        <r>
          <rPr>
            <b/>
            <sz val="9"/>
            <color rgb="FF000000"/>
            <rFont val="Segoe UI"/>
            <family val="2"/>
            <charset val="1"/>
          </rPr>
          <t xml:space="preserve">FOLHA - REFERÊNCIA JUL/20 - LANÇADO PLANILHA PAGAMENTO GEFIC EM AGO/20.
</t>
        </r>
      </text>
    </comment>
    <comment ref="AA50" authorId="0" shapeId="0" xr:uid="{00000000-0006-0000-0000-000008030000}">
      <text>
        <r>
          <rPr>
            <b/>
            <sz val="9"/>
            <color rgb="FF000000"/>
            <rFont val="Segoe UI"/>
            <family val="2"/>
            <charset val="1"/>
          </rPr>
          <t xml:space="preserve">FOLHA - REFERÊNCIA JUL/20 - LANÇADO PLANILHA PAGAMENTO GEFIC EM AGO/20.
</t>
        </r>
      </text>
    </comment>
    <comment ref="AC50" authorId="0" shapeId="0" xr:uid="{00000000-0006-0000-0000-0000CC040000}">
      <text>
        <r>
          <rPr>
            <sz val="11"/>
            <color rgb="FF000000"/>
            <rFont val="Calibri"/>
            <family val="2"/>
            <charset val="1"/>
          </rPr>
          <t xml:space="preserve">OI - REFERÊNCIA AGO/20 - LANÇADO PLANILHA PAGAMENTO GEFIC EM AGO/20
</t>
        </r>
      </text>
    </comment>
    <comment ref="AD50" authorId="0" shapeId="0" xr:uid="{00000000-0006-0000-0000-00009F050000}">
      <text>
        <r>
          <rPr>
            <sz val="11"/>
            <color rgb="FF000000"/>
            <rFont val="Calibri"/>
            <family val="2"/>
            <charset val="1"/>
          </rPr>
          <t xml:space="preserve">ENERGIA - REFERÊNCIA JUL/20 - LANÇADO PLANILHA PAGAMENTO GEFIC EM AGO/20
</t>
        </r>
      </text>
    </comment>
    <comment ref="Z51" authorId="0" shapeId="0" xr:uid="{00000000-0006-0000-0000-000039020000}">
      <text>
        <r>
          <rPr>
            <b/>
            <sz val="9"/>
            <color rgb="FF000000"/>
            <rFont val="Segoe UI"/>
            <family val="2"/>
            <charset val="1"/>
          </rPr>
          <t xml:space="preserve">FOLHA - REFERÊNCIA AGO/20 - LANÇADO PLANILHA PAGAMENTO GEFIC EM SET/20.
</t>
        </r>
      </text>
    </comment>
    <comment ref="AA51" authorId="0" shapeId="0" xr:uid="{00000000-0006-0000-0000-000009030000}">
      <text>
        <r>
          <rPr>
            <b/>
            <sz val="9"/>
            <color rgb="FF000000"/>
            <rFont val="Segoe UI"/>
            <family val="2"/>
            <charset val="1"/>
          </rPr>
          <t xml:space="preserve">FOLHA - REFERÊNCIA AGO/20 - LANÇADO PLANILHA PAGAMENTO GEFIC EM SET/20.
</t>
        </r>
      </text>
    </comment>
    <comment ref="AC51" authorId="0" shapeId="0" xr:uid="{00000000-0006-0000-0000-0000CD040000}">
      <text>
        <r>
          <rPr>
            <sz val="11"/>
            <color rgb="FF000000"/>
            <rFont val="Calibri"/>
            <family val="2"/>
            <charset val="1"/>
          </rPr>
          <t xml:space="preserve">OI - REFERÊNCIA SET/20 - LANÇADO PLANILHA PAGAMENTO GEFIC EM SET/20
</t>
        </r>
      </text>
    </comment>
    <comment ref="AD51" authorId="0" shapeId="0" xr:uid="{00000000-0006-0000-0000-0000A0050000}">
      <text>
        <r>
          <rPr>
            <sz val="11"/>
            <color rgb="FF000000"/>
            <rFont val="Calibri"/>
            <family val="2"/>
            <charset val="1"/>
          </rPr>
          <t xml:space="preserve">ENERGIA - REFERÊNCIA AGO/20 - LANÇADO PLANILHA PAGAMENTO GEFIC EM SET/20
</t>
        </r>
      </text>
    </comment>
    <comment ref="Z52" authorId="0" shapeId="0" xr:uid="{00000000-0006-0000-0000-00003A020000}">
      <text>
        <r>
          <rPr>
            <b/>
            <sz val="9"/>
            <color rgb="FF000000"/>
            <rFont val="Segoe UI"/>
            <family val="2"/>
            <charset val="1"/>
          </rPr>
          <t xml:space="preserve">FOLHA - REFERÊNCIA SET/20 - LANÇADO PLANILHA PAGAMENTO GEFIC EM OUT/20 
</t>
        </r>
      </text>
    </comment>
    <comment ref="AA52" authorId="0" shapeId="0" xr:uid="{00000000-0006-0000-0000-00000A030000}">
      <text>
        <r>
          <rPr>
            <b/>
            <sz val="9"/>
            <color rgb="FF000000"/>
            <rFont val="Segoe UI"/>
            <family val="2"/>
            <charset val="1"/>
          </rPr>
          <t xml:space="preserve">FOLHA - REFERÊNCIA SET/20 - LANÇADO PLANILHA PAGAMENTO GEFIC EM OUT/20 
</t>
        </r>
      </text>
    </comment>
    <comment ref="AC52" authorId="0" shapeId="0" xr:uid="{00000000-0006-0000-0000-0000CE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2" authorId="0" shapeId="0" xr:uid="{00000000-0006-0000-0000-0000A1050000}">
      <text>
        <r>
          <rPr>
            <sz val="11"/>
            <color rgb="FF000000"/>
            <rFont val="Calibri"/>
            <family val="2"/>
            <charset val="1"/>
          </rPr>
          <t xml:space="preserve">ENERGIA - REFERÊNCIA SET/20 - LANÇADO PLANILHA PAGAMENTO GEFIC EM OUT/20
</t>
        </r>
      </text>
    </comment>
    <comment ref="Z53" authorId="0" shapeId="0" xr:uid="{00000000-0006-0000-0000-00003B020000}">
      <text>
        <r>
          <rPr>
            <b/>
            <sz val="9"/>
            <color rgb="FF000000"/>
            <rFont val="Segoe UI"/>
            <family val="2"/>
            <charset val="1"/>
          </rPr>
          <t xml:space="preserve">FOLHA - REFERÊNCIA OUT/20 - LANÇADO PLANILHA PAGAMENTO GEFIC EM NOV/20.
</t>
        </r>
      </text>
    </comment>
    <comment ref="AA53" authorId="0" shapeId="0" xr:uid="{00000000-0006-0000-0000-00000B030000}">
      <text>
        <r>
          <rPr>
            <b/>
            <sz val="9"/>
            <color rgb="FF000000"/>
            <rFont val="Segoe UI"/>
            <family val="2"/>
            <charset val="1"/>
          </rPr>
          <t xml:space="preserve">FOLHA - REFERÊNCIA OUT/20 - LANÇADO PLANILHA PAGAMENTO GEFIC EM NOV/20.
</t>
        </r>
      </text>
    </comment>
    <comment ref="AC53" authorId="0" shapeId="0" xr:uid="{00000000-0006-0000-0000-0000CF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3" authorId="0" shapeId="0" xr:uid="{00000000-0006-0000-0000-0000A2050000}">
      <text>
        <r>
          <rPr>
            <sz val="11"/>
            <color rgb="FF000000"/>
            <rFont val="Calibri"/>
            <family val="2"/>
            <charset val="1"/>
          </rPr>
          <t xml:space="preserve">ENERGIA - REFERÊNCIA OUT/20 - LANÇADO PLANILHA PAGAMENTO GEFIC EM NOV/20
</t>
        </r>
      </text>
    </comment>
    <comment ref="Z54" authorId="0" shapeId="0" xr:uid="{00000000-0006-0000-0000-00003C020000}">
      <text>
        <r>
          <rPr>
            <b/>
            <sz val="9"/>
            <color rgb="FF000000"/>
            <rFont val="Segoe UI"/>
            <family val="2"/>
            <charset val="1"/>
          </rPr>
          <t xml:space="preserve">FOLHA - REFERÊNCIA NOV/20 - LANÇADO PLANILHA PAGAMENTO GEFIC EM DEZ/20.
</t>
        </r>
      </text>
    </comment>
    <comment ref="AA54" authorId="0" shapeId="0" xr:uid="{00000000-0006-0000-0000-00000C030000}">
      <text>
        <r>
          <rPr>
            <b/>
            <sz val="9"/>
            <color rgb="FF000000"/>
            <rFont val="Segoe UI"/>
            <family val="2"/>
            <charset val="1"/>
          </rPr>
          <t xml:space="preserve">FOLHA - REFERÊNCIA NOV/20 - LANÇADO PLANILHA PAGAMENTO GEFIC EM DEZ/20.
</t>
        </r>
      </text>
    </comment>
    <comment ref="AC54" authorId="0" shapeId="0" xr:uid="{00000000-0006-0000-0000-0000D0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4" authorId="0" shapeId="0" xr:uid="{00000000-0006-0000-0000-0000A3050000}">
      <text>
        <r>
          <rPr>
            <sz val="11"/>
            <color rgb="FF000000"/>
            <rFont val="Calibri"/>
            <family val="2"/>
            <charset val="1"/>
          </rPr>
          <t xml:space="preserve">ENERGIA - LANÇADO PLANILHA PAGAMENTO GEFIC EM DEZ/20
.
NOV/20.......................... R$ 14.016,35
DEZ/20..........................R$ 12.536,79
</t>
        </r>
        <r>
          <rPr>
            <sz val="9"/>
            <color rgb="FF000000"/>
            <rFont val="Segoe UI"/>
            <family val="2"/>
            <charset val="1"/>
          </rPr>
          <t xml:space="preserve">
</t>
        </r>
      </text>
    </comment>
    <comment ref="Z55" authorId="0" shapeId="0" xr:uid="{00000000-0006-0000-0000-00003D020000}">
      <text>
        <r>
          <rPr>
            <sz val="11"/>
            <color rgb="FF000000"/>
            <rFont val="Calibri"/>
            <family val="2"/>
            <charset val="1"/>
          </rPr>
          <t xml:space="preserve">FOLHA - REFERÊNCIA DEZ/20- LANÇADO PLANILHA PAGAMENTO GEFIC EM JAN/21.
</t>
        </r>
      </text>
    </comment>
    <comment ref="AA55" authorId="0" shapeId="0" xr:uid="{00000000-0006-0000-0000-00000D030000}">
      <text>
        <r>
          <rPr>
            <sz val="11"/>
            <color rgb="FF000000"/>
            <rFont val="Calibri"/>
            <family val="2"/>
            <charset val="1"/>
          </rPr>
          <t xml:space="preserve">FOLHA - REFERÊNCIA DEZ/20- LANÇADO PLANILHA PAGAMENTO GEFIC EM JAN/21.
</t>
        </r>
      </text>
    </comment>
    <comment ref="AC55" authorId="0" shapeId="0" xr:uid="{00000000-0006-0000-0000-0000D1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Z56" authorId="0" shapeId="0" xr:uid="{00000000-0006-0000-0000-00003E020000}">
      <text>
        <r>
          <rPr>
            <sz val="11"/>
            <color rgb="FF000000"/>
            <rFont val="Calibri"/>
            <family val="2"/>
            <charset val="1"/>
          </rPr>
          <t xml:space="preserve">FOLHA - REFERÊNCIA JAN/21- LANÇADO PLANILHA PAGAMENTO GEFIC EM FEV/21.
</t>
        </r>
      </text>
    </comment>
    <comment ref="AA56" authorId="0" shapeId="0" xr:uid="{00000000-0006-0000-0000-00000E030000}">
      <text>
        <r>
          <rPr>
            <sz val="11"/>
            <color rgb="FF000000"/>
            <rFont val="Calibri"/>
            <family val="2"/>
            <charset val="1"/>
          </rPr>
          <t xml:space="preserve">FOLHA - REFERÊNCIA JAN/21- LANÇADO PLANILHA PAGAMENTO GEFIC EM FEV/21.
</t>
        </r>
      </text>
    </comment>
    <comment ref="AC56" authorId="0" shapeId="0" xr:uid="{00000000-0006-0000-0000-0000D2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6" authorId="0" shapeId="0" xr:uid="{00000000-0006-0000-0000-0000A4050000}">
      <text>
        <r>
          <rPr>
            <sz val="11"/>
            <color rgb="FF000000"/>
            <rFont val="Calibri"/>
            <family val="2"/>
            <charset val="1"/>
          </rPr>
          <t xml:space="preserve">CELG JAN/21 LANÇADO NA PLANILHA DE FEV/21
</t>
        </r>
      </text>
    </comment>
    <comment ref="P57" authorId="0" shapeId="0" xr:uid="{00000000-0006-0000-0000-000032010000}">
      <text>
        <r>
          <rPr>
            <sz val="11"/>
            <color rgb="FF000000"/>
            <rFont val="Calibri"/>
            <family val="2"/>
            <charset val="1"/>
          </rPr>
          <t xml:space="preserve">VIGÊNCIA - 28/03/20 A 27/03/21
</t>
        </r>
      </text>
    </comment>
    <comment ref="Z57" authorId="0" shapeId="0" xr:uid="{00000000-0006-0000-0000-00003F020000}">
      <text>
        <r>
          <rPr>
            <sz val="11"/>
            <color rgb="FF000000"/>
            <rFont val="Calibri"/>
            <family val="2"/>
            <charset val="1"/>
          </rPr>
          <t xml:space="preserve">FOLHA - REFERÊNCIA FEV/21- LANÇADO PLANILHA PAGAMENTO GEFIC EM MAR/21.
</t>
        </r>
      </text>
    </comment>
    <comment ref="AA57" authorId="0" shapeId="0" xr:uid="{00000000-0006-0000-0000-00000F030000}">
      <text>
        <r>
          <rPr>
            <sz val="11"/>
            <color rgb="FF000000"/>
            <rFont val="Calibri"/>
            <family val="2"/>
            <charset val="1"/>
          </rPr>
          <t xml:space="preserve">FOLHA - REFERÊNCIA FEV/21- LANÇADO PLANILHA PAGAMENTO GEFIC EM MAR/21.
</t>
        </r>
      </text>
    </comment>
    <comment ref="AC57" authorId="0" shapeId="0" xr:uid="{00000000-0006-0000-0000-0000D3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7" authorId="0" shapeId="0" xr:uid="{00000000-0006-0000-0000-0000A5050000}">
      <text>
        <r>
          <rPr>
            <sz val="11"/>
            <color rgb="FF000000"/>
            <rFont val="Calibri"/>
            <family val="2"/>
            <charset val="1"/>
          </rPr>
          <t xml:space="preserve">CELG FEV/21 LANÇADO NA PLANILHA DE MAR/21
</t>
        </r>
      </text>
    </comment>
    <comment ref="AX57" authorId="0" shapeId="0" xr:uid="{00000000-0006-0000-0000-0000770A0000}">
      <text>
        <r>
          <rPr>
            <sz val="11"/>
            <color rgb="FF000000"/>
            <rFont val="Calibri"/>
            <family val="2"/>
            <charset val="1"/>
          </rPr>
          <t xml:space="preserve"> .R$ 330.628,51 - 28/03/2021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r>
      </text>
    </comment>
    <comment ref="AX58" authorId="0" shapeId="0" xr:uid="{00000000-0006-0000-0000-0000780A0000}">
      <text>
        <r>
          <rPr>
            <sz val="11"/>
            <color rgb="FF000000"/>
            <rFont val="Calibri"/>
            <family val="2"/>
            <charset val="1"/>
          </rPr>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59" authorId="0" shapeId="0" xr:uid="{00000000-0006-0000-0000-0000790A0000}">
      <text>
        <r>
          <rPr>
            <sz val="11"/>
            <color rgb="FF000000"/>
            <rFont val="Calibri"/>
            <family val="2"/>
            <charset val="1"/>
          </rPr>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60" authorId="0" shapeId="0" xr:uid="{00000000-0006-0000-0000-00007A0A0000}">
      <text>
        <r>
          <rPr>
            <sz val="11"/>
            <color rgb="FF000000"/>
            <rFont val="Calibri"/>
            <family val="2"/>
            <charset val="1"/>
          </rPr>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61" authorId="0" shapeId="0" xr:uid="{00000000-0006-0000-0000-00007B0A0000}">
      <text>
        <r>
          <rPr>
            <b/>
            <sz val="9"/>
            <color rgb="FF000000"/>
            <rFont val="Segoe UI"/>
            <family val="2"/>
            <charset val="1"/>
          </rPr>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r>
      </text>
    </comment>
    <comment ref="AX62" authorId="0" shapeId="0" xr:uid="{00000000-0006-0000-0000-00007C0A0000}">
      <text>
        <r>
          <rPr>
            <sz val="11"/>
            <color rgb="FF000000"/>
            <rFont val="Calibri"/>
            <family val="2"/>
            <charset val="1"/>
          </rPr>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r>
      </text>
    </comment>
    <comment ref="AX63" authorId="0" shapeId="0" xr:uid="{00000000-0006-0000-0000-00007D0A0000}">
      <text>
        <r>
          <rPr>
            <b/>
            <sz val="9"/>
            <color rgb="FF000000"/>
            <rFont val="Segoe UI"/>
            <family val="2"/>
            <charset val="1"/>
          </rPr>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r>
      </text>
    </comment>
    <comment ref="P69" authorId="0" shapeId="0" xr:uid="{00000000-0006-0000-0000-000033010000}">
      <text>
        <r>
          <rPr>
            <sz val="11"/>
            <color rgb="FF000000"/>
            <rFont val="Calibri"/>
            <family val="2"/>
            <charset val="1"/>
          </rPr>
          <t xml:space="preserve">VALOR CUSTEIO R$ 8.319.578,81 + APORTE FINANCEIRO OFICINA ORTOPÉDICA INTINERANTE R$ 109.851,48 + PROGRAMA RESIDÊNCIA MÉDICA R$ 240.250,53 + INVESTIMENTO (AQUISIÇÃO VEÍCULO POPULAR E OUTROS BENS                                                                                                                                               
</t>
        </r>
        <r>
          <rPr>
            <sz val="9"/>
            <color rgb="FF000000"/>
            <rFont val="Tahoma"/>
            <family val="2"/>
            <charset val="1"/>
          </rPr>
          <t xml:space="preserve">
</t>
        </r>
      </text>
    </comment>
    <comment ref="P70" authorId="0" shapeId="0" xr:uid="{00000000-0006-0000-0000-000034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1" authorId="0" shapeId="0" xr:uid="{00000000-0006-0000-0000-000035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2" authorId="0" shapeId="0" xr:uid="{00000000-0006-0000-0000-000036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U72" authorId="0" shapeId="0" xr:uid="{00000000-0006-0000-0000-00008E090000}">
      <text>
        <r>
          <rPr>
            <b/>
            <sz val="9"/>
            <color rgb="FF000000"/>
            <rFont val="Tahoma"/>
            <family val="2"/>
            <charset val="1"/>
          </rPr>
          <t>(PROC.SOLICITAÇÃO 201700010007066) RESSARCIMENTO GASTO OPME SEM COBERTURA SUS - PAC.VALDEMAR ALVES DA COSTA.</t>
        </r>
      </text>
    </comment>
    <comment ref="P73" authorId="0" shapeId="0" xr:uid="{00000000-0006-0000-0000-000037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4" authorId="0" shapeId="0" xr:uid="{00000000-0006-0000-0000-000038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4" authorId="0" shapeId="0" xr:uid="{00000000-0006-0000-0000-000034080000}">
      <text>
        <r>
          <rPr>
            <b/>
            <sz val="9"/>
            <color rgb="FF000000"/>
            <rFont val="Tahoma"/>
            <family val="2"/>
            <charset val="1"/>
          </rPr>
          <t xml:space="preserve">R$ 6.604.211,98  Custeio não serão repassada a parcela de set/2017 (R$ 8.669.680,82) devido compensação com os valores disponíveis em caixa da OS conf.memorando nº 259/2017 SEI - SGPF - 03079.
</t>
        </r>
      </text>
    </comment>
    <comment ref="AF74" authorId="0" shapeId="0" xr:uid="{00000000-0006-0000-0000-0000E0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r>
      </text>
    </comment>
    <comment ref="AU74" authorId="0" shapeId="0" xr:uid="{00000000-0006-0000-0000-00008F090000}">
      <text>
        <r>
          <rPr>
            <b/>
            <sz val="9"/>
            <color rgb="FF000000"/>
            <rFont val="Tahoma"/>
            <family val="2"/>
            <charset val="1"/>
          </rPr>
          <t xml:space="preserve">201800010001771 -OPME,ERINEUDA, LENILDA,RAIMUNDA, GESSICA, MARIA DE FAT, MARIZETE, VALDO FRANC. E JEOVA 02 A 09/17 </t>
        </r>
      </text>
    </comment>
    <comment ref="P75" authorId="0" shapeId="0" xr:uid="{00000000-0006-0000-0000-000039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5" authorId="0" shapeId="0" xr:uid="{00000000-0006-0000-0000-000035080000}">
      <text>
        <r>
          <rPr>
            <b/>
            <sz val="9"/>
            <color rgb="FF000000"/>
            <rFont val="Tahoma"/>
            <family val="2"/>
            <charset val="1"/>
          </rPr>
          <t xml:space="preserve">R$ 2.065.468,84  Custeio não serão repassada a parcela de set/2017 (R$ 8.669.680,82) devido compensação com os valores disponíveis em caixa da OS conf.memorando nº 259/2017 SEI - SGPF - 03079.
</t>
        </r>
      </text>
    </comment>
    <comment ref="P76" authorId="0" shapeId="0" xr:uid="{00000000-0006-0000-0000-00003A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6" authorId="0" shapeId="0" xr:uid="{00000000-0006-0000-0000-0000A6050000}">
      <text>
        <r>
          <rPr>
            <b/>
            <sz val="9"/>
            <color rgb="FF000000"/>
            <rFont val="Tahoma"/>
            <family val="2"/>
            <charset val="1"/>
          </rPr>
          <t xml:space="preserve">GLOSA REF.AO FORNECIMENTO EM SET/17.
</t>
        </r>
      </text>
    </comment>
    <comment ref="P77" authorId="0" shapeId="0" xr:uid="{00000000-0006-0000-0000-00003B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7" authorId="0" shapeId="0" xr:uid="{00000000-0006-0000-0000-0000A7050000}">
      <text>
        <r>
          <rPr>
            <b/>
            <sz val="9"/>
            <color rgb="FF000000"/>
            <rFont val="Tahoma"/>
            <family val="2"/>
            <charset val="1"/>
          </rPr>
          <t xml:space="preserve">GLOSA REF.AO FORNECIMENTO EM OUT/17.R$ 166.774,57 E NOV/17 R$ 53.724,25
</t>
        </r>
      </text>
    </comment>
    <comment ref="P78" authorId="0" shapeId="0" xr:uid="{00000000-0006-0000-0000-00003C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9" authorId="0" shapeId="0" xr:uid="{00000000-0006-0000-0000-00003D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9" authorId="0" shapeId="0" xr:uid="{00000000-0006-0000-0000-0000A8050000}">
      <text>
        <r>
          <rPr>
            <b/>
            <sz val="9"/>
            <color rgb="FF000000"/>
            <rFont val="Tahoma"/>
            <family val="2"/>
            <charset val="1"/>
          </rPr>
          <t xml:space="preserve">CELG - JANEIRO/18
</t>
        </r>
      </text>
    </comment>
    <comment ref="Q80" authorId="0" shapeId="0" xr:uid="{00000000-0006-0000-0000-000085010000}">
      <text>
        <r>
          <rPr>
            <sz val="11"/>
            <color rgb="FF000000"/>
            <rFont val="Calibri"/>
            <family val="2"/>
            <charset val="1"/>
          </rPr>
          <t xml:space="preserve">PERIODO 28 A 30/03/18 PRORROGAÇÃO: 831.957,88; APORTE PROJETO ESPECIAL:OFICINA ORTOPÉDICA ITINERANTE TERRESTRE 10.985,15 E APORTE PROGRAMA RESIDENCIA MÉDICA 24.025,05
</t>
        </r>
        <r>
          <rPr>
            <sz val="9"/>
            <color rgb="FF000000"/>
            <rFont val="Tahoma"/>
            <family val="2"/>
            <charset val="1"/>
          </rPr>
          <t xml:space="preserve">
</t>
        </r>
      </text>
    </comment>
    <comment ref="Q81" authorId="0" shapeId="0" xr:uid="{00000000-0006-0000-0000-000086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1" authorId="0" shapeId="0" xr:uid="{00000000-0006-0000-0000-0000A9050000}">
      <text>
        <r>
          <rPr>
            <b/>
            <sz val="9"/>
            <color rgb="FF000000"/>
            <rFont val="Tahoma"/>
            <family val="2"/>
            <charset val="1"/>
          </rPr>
          <t>CELG - MAR/18</t>
        </r>
      </text>
    </comment>
    <comment ref="Q82" authorId="0" shapeId="0" xr:uid="{00000000-0006-0000-0000-000087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2" authorId="0" shapeId="0" xr:uid="{00000000-0006-0000-0000-0000AA050000}">
      <text>
        <r>
          <rPr>
            <b/>
            <sz val="9"/>
            <color rgb="FF000000"/>
            <rFont val="Tahoma"/>
            <family val="2"/>
            <charset val="1"/>
          </rPr>
          <t xml:space="preserve">CELG - ABRIL/2018
</t>
        </r>
      </text>
    </comment>
    <comment ref="Q83" authorId="0" shapeId="0" xr:uid="{00000000-0006-0000-0000-000088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3" authorId="0" shapeId="0" xr:uid="{00000000-0006-0000-0000-0000AB050000}">
      <text>
        <r>
          <rPr>
            <b/>
            <sz val="9"/>
            <color rgb="FF000000"/>
            <rFont val="Tahoma"/>
            <family val="2"/>
            <charset val="1"/>
          </rPr>
          <t>CELG - MAI/18</t>
        </r>
      </text>
    </comment>
    <comment ref="AF83" authorId="0" shapeId="0" xr:uid="{00000000-0006-0000-0000-0000E1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r>
      </text>
    </comment>
    <comment ref="AU83" authorId="0" shapeId="0" xr:uid="{00000000-0006-0000-0000-000090090000}">
      <text>
        <r>
          <rPr>
            <b/>
            <sz val="9"/>
            <color rgb="FF000000"/>
            <rFont val="Tahoma"/>
            <family val="2"/>
            <charset val="1"/>
          </rPr>
          <t xml:space="preserve">RESSARCIMENTO OPME - referente a fornecimento de material/prótese especial, sem cobertura pela Tabela de Procedimentos, Medicamentos e OPM do SUS, utilizados no procedimento cirúrgico realizado na paciente DIONÍZIA XAVIER DE GODOY - Processo nº 201800010002513
</t>
        </r>
      </text>
    </comment>
    <comment ref="Q84" authorId="0" shapeId="0" xr:uid="{00000000-0006-0000-0000-000089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4" authorId="0" shapeId="0" xr:uid="{00000000-0006-0000-0000-0000AC050000}">
      <text>
        <r>
          <rPr>
            <b/>
            <sz val="9"/>
            <color rgb="FF000000"/>
            <rFont val="Tahoma"/>
            <family val="2"/>
            <charset val="1"/>
          </rPr>
          <t xml:space="preserve">CELG - JUN/2018
</t>
        </r>
      </text>
    </comment>
    <comment ref="AF84" authorId="0" shapeId="0" xr:uid="{00000000-0006-0000-0000-0000E2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r>
      </text>
    </comment>
    <comment ref="Q85" authorId="0" shapeId="0" xr:uid="{00000000-0006-0000-0000-00008A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5" authorId="0" shapeId="0" xr:uid="{00000000-0006-0000-0000-0000AD050000}">
      <text>
        <r>
          <rPr>
            <b/>
            <sz val="9"/>
            <color rgb="FF000000"/>
            <rFont val="Tahoma"/>
            <family val="2"/>
            <charset val="1"/>
          </rPr>
          <t xml:space="preserve">CELG - JUL/2018
</t>
        </r>
      </text>
    </comment>
    <comment ref="AF85" authorId="0" shapeId="0" xr:uid="{00000000-0006-0000-0000-0000E3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r>
      </text>
    </comment>
    <comment ref="Q86" authorId="0" shapeId="0" xr:uid="{00000000-0006-0000-0000-00008B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6" authorId="0" shapeId="0" xr:uid="{00000000-0006-0000-0000-0000AE050000}">
      <text>
        <r>
          <rPr>
            <b/>
            <sz val="9"/>
            <color rgb="FF000000"/>
            <rFont val="Tahoma"/>
            <family val="2"/>
            <charset val="1"/>
          </rPr>
          <t>CELG - AGO/18</t>
        </r>
      </text>
    </comment>
    <comment ref="AF86" authorId="0" shapeId="0" xr:uid="{00000000-0006-0000-0000-0000E4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r>
      </text>
    </comment>
    <comment ref="AU86" authorId="0" shapeId="0" xr:uid="{00000000-0006-0000-0000-000091090000}">
      <text>
        <r>
          <rPr>
            <b/>
            <sz val="9"/>
            <color rgb="FF000000"/>
            <rFont val="Tahoma"/>
            <family val="2"/>
            <charset val="1"/>
          </rPr>
          <t>PROCESSO 201800010008082 RESSARCIMENTO -CRER, MEDIANTE A CT: 053/2018-SE ,DE MATERIAIS DE 
ALTO CUSTO NÃO COBERTOS PELA TABELA SUS</t>
        </r>
      </text>
    </comment>
    <comment ref="Q87" authorId="0" shapeId="0" xr:uid="{00000000-0006-0000-0000-00008C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7" authorId="0" shapeId="0" xr:uid="{00000000-0006-0000-0000-0000AF050000}">
      <text>
        <r>
          <rPr>
            <b/>
            <sz val="9"/>
            <color rgb="FF000000"/>
            <rFont val="Tahoma"/>
            <family val="2"/>
            <charset val="1"/>
          </rPr>
          <t xml:space="preserve">CELG - SET/18
</t>
        </r>
      </text>
    </comment>
    <comment ref="AF87" authorId="0" shapeId="0" xr:uid="{00000000-0006-0000-0000-0000E5080000}">
      <text>
        <r>
          <rPr>
            <b/>
            <sz val="9"/>
            <color rgb="FF000000"/>
            <rFont val="Tahoma"/>
            <family val="2"/>
            <charset val="1"/>
          </rPr>
          <t>Custeio não serão repassada a parcela de OUT/2018 (R$ 8..459.287,02) devido compensação com os valores disponíveis em caixa da OS de acordo com negociação feita entre a AGIR e a SGPF (Lucas) conforme planilha de valores encaminhadas pela OS, conforme anulação empenho 2018.2850.078.00096.</t>
        </r>
      </text>
    </comment>
    <comment ref="Q88" authorId="0" shapeId="0" xr:uid="{00000000-0006-0000-0000-00008D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8" authorId="0" shapeId="0" xr:uid="{00000000-0006-0000-0000-0000B0050000}">
      <text>
        <r>
          <rPr>
            <b/>
            <sz val="9"/>
            <color rgb="FF000000"/>
            <rFont val="Tahoma"/>
            <family val="2"/>
            <charset val="1"/>
          </rPr>
          <t xml:space="preserve">CELG-OUT/18
</t>
        </r>
      </text>
    </comment>
    <comment ref="AF88" authorId="0" shapeId="0" xr:uid="{00000000-0006-0000-0000-0000E6080000}">
      <text>
        <r>
          <rPr>
            <b/>
            <sz val="9"/>
            <color rgb="FF000000"/>
            <rFont val="Tahoma"/>
            <family val="2"/>
            <charset val="1"/>
          </rPr>
          <t>Custeio não serão repassada a parcela de NOV/2018 (R$ 396.491,08) devido compensação com os valores disponíveis em caixa da OS de acordo com negociação feita entre a AGIR e a SGPF (Lucas) conforme planilha de valores encaminhadas pela OS, conforme anulação empenho 2018.2850.078.00096.......R$ 396.491,08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NOV/18....................R$ 8.023.266,21</t>
        </r>
      </text>
    </comment>
    <comment ref="Q89" authorId="0" shapeId="0" xr:uid="{00000000-0006-0000-0000-00008E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9" authorId="0" shapeId="0" xr:uid="{00000000-0006-0000-0000-0000B1050000}">
      <text>
        <r>
          <rPr>
            <b/>
            <sz val="9"/>
            <color rgb="FF000000"/>
            <rFont val="Tahoma"/>
            <family val="2"/>
            <charset val="1"/>
          </rPr>
          <t xml:space="preserve">CELG-NOV/18
</t>
        </r>
      </text>
    </comment>
    <comment ref="AF89" authorId="0" shapeId="0" xr:uid="{00000000-0006-0000-0000-0000E7080000}">
      <text>
        <r>
          <rPr>
            <b/>
            <sz val="9"/>
            <color rgb="FF000000"/>
            <rFont val="Tahoma"/>
            <family val="2"/>
            <charset val="1"/>
          </rPr>
          <t>Custeio não serão repassada a parcela de DEZ/2018 (R$ 8..451.660,21) devido compensação com os valores disponíveis em caixa da OS de acordo com negociação feita entre a AGIR e a SGPF (Lucas) conforme planilha de valores encaminhadas pela OS, conforme anulação empenho 2018.2850.078.00096.</t>
        </r>
      </text>
    </comment>
    <comment ref="Q90" authorId="0" shapeId="0" xr:uid="{00000000-0006-0000-0000-00008F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90" authorId="0" shapeId="0" xr:uid="{00000000-0006-0000-0000-0000B2050000}">
      <text>
        <r>
          <rPr>
            <b/>
            <sz val="9"/>
            <color rgb="FF000000"/>
            <rFont val="Tahoma"/>
            <family val="2"/>
            <charset val="1"/>
          </rPr>
          <t xml:space="preserve">ENEL :
* R$75.709,01 Diferença (NOV/18) apurada referente a glosa efetuada a menor - mês DEZ/18;
*  R$ 254.708,84 DEZ/18
.
LANÇADO NA PLANILHA DE PAGAMENTO/ MAR/19
ENEL FEV/19......................263.570,71
</t>
        </r>
      </text>
    </comment>
    <comment ref="Q91" authorId="0" shapeId="0" xr:uid="{00000000-0006-0000-0000-000090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Q92" authorId="0" shapeId="0" xr:uid="{00000000-0006-0000-0000-000091010000}">
      <text>
        <r>
          <rPr>
            <sz val="11"/>
            <color rgb="FF000000"/>
            <rFont val="Calibri"/>
            <family val="2"/>
            <charset val="1"/>
          </rPr>
          <t xml:space="preserve">PERIODO 28 A 30/03/18 PRORROGAÇÃO: ; APORTE PROJETO ESPECIAL:OFICINA ORTOPÉDICA ITINERANTE TERRESTRE 98.866,33 E APORTE PROGRAMA RESIDENCIA MÉDICA 216.225,48
</t>
        </r>
        <r>
          <rPr>
            <sz val="9"/>
            <color rgb="FF000000"/>
            <rFont val="Tahoma"/>
            <family val="2"/>
            <charset val="1"/>
          </rPr>
          <t xml:space="preserve">
</t>
        </r>
      </text>
    </comment>
    <comment ref="R92" authorId="0" shapeId="0" xr:uid="{00000000-0006-0000-0000-0000C0010000}">
      <text>
        <r>
          <rPr>
            <sz val="11"/>
            <color rgb="FF000000"/>
            <rFont val="Calibri"/>
            <family val="2"/>
            <charset val="1"/>
          </rPr>
          <t xml:space="preserve">R$ 1.182.237,67 Custeio;
R$ 26.082,18 Aporte res.médica
</t>
        </r>
        <r>
          <rPr>
            <sz val="9"/>
            <color rgb="FF000000"/>
            <rFont val="Tahoma"/>
            <family val="2"/>
            <charset val="1"/>
          </rPr>
          <t>A partir de 28/03/19</t>
        </r>
      </text>
    </comment>
    <comment ref="AD92" authorId="0" shapeId="0" xr:uid="{00000000-0006-0000-0000-0000B3050000}">
      <text>
        <r>
          <rPr>
            <b/>
            <sz val="9"/>
            <color rgb="FF000000"/>
            <rFont val="Tahoma"/>
            <family val="2"/>
            <charset val="1"/>
          </rPr>
          <t xml:space="preserve">REFERÊNCIA JAN/19 - LANÇADO PLANILHA GEFIC EM FEV/19
</t>
        </r>
      </text>
    </comment>
    <comment ref="R93" authorId="0" shapeId="0" xr:uid="{00000000-0006-0000-0000-0000C1010000}">
      <text>
        <r>
          <rPr>
            <b/>
            <sz val="9"/>
            <color rgb="FF000000"/>
            <rFont val="Tahoma"/>
            <family val="2"/>
            <charset val="1"/>
          </rPr>
          <t xml:space="preserve">R$ 11.822.376,66 Custeio;
R$ 260.821,79 Aporte res.médica
</t>
        </r>
      </text>
    </comment>
    <comment ref="AD93" authorId="0" shapeId="0" xr:uid="{00000000-0006-0000-0000-0000B4050000}">
      <text>
        <r>
          <rPr>
            <sz val="11"/>
            <color rgb="FF000000"/>
            <rFont val="Calibri"/>
            <family val="2"/>
            <charset val="1"/>
          </rPr>
          <t xml:space="preserve">REFERÊNCIA MAR/19 - LANÇADO PLANILHA GEFIC EM ABR/19
</t>
        </r>
        <r>
          <rPr>
            <sz val="9"/>
            <color rgb="FF000000"/>
            <rFont val="Tahoma"/>
            <family val="2"/>
            <charset val="1"/>
          </rPr>
          <t xml:space="preserve">
</t>
        </r>
      </text>
    </comment>
    <comment ref="AE93" authorId="0" shapeId="0" xr:uid="{00000000-0006-0000-0000-000036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4" authorId="0" shapeId="0" xr:uid="{00000000-0006-0000-0000-0000C2010000}">
      <text>
        <r>
          <rPr>
            <b/>
            <sz val="9"/>
            <color rgb="FF000000"/>
            <rFont val="Tahoma"/>
            <family val="2"/>
            <charset val="1"/>
          </rPr>
          <t xml:space="preserve">R$ 11.822.376,66 Custeio;
R$ 260.821,79 Aporte res.médica
</t>
        </r>
      </text>
    </comment>
    <comment ref="AC94" authorId="0" shapeId="0" xr:uid="{00000000-0006-0000-0000-0000D4040000}">
      <text>
        <r>
          <rPr>
            <b/>
            <sz val="9"/>
            <color rgb="FF000000"/>
            <rFont val="Tahoma"/>
            <family val="2"/>
            <charset val="1"/>
          </rPr>
          <t xml:space="preserve">TELEFONIA FIXA -REFERÊNCIA ABR/19 - LANÇADO PLANILHA GEFIC EM ABR/19
</t>
        </r>
      </text>
    </comment>
    <comment ref="AD94" authorId="0" shapeId="0" xr:uid="{00000000-0006-0000-0000-0000B5050000}">
      <text>
        <r>
          <rPr>
            <b/>
            <sz val="9"/>
            <color rgb="FF000000"/>
            <rFont val="Tahoma"/>
            <family val="2"/>
            <charset val="1"/>
          </rPr>
          <t xml:space="preserve">REFERÊNCIA ABR/19 - LANÇADO PLANILHA GEFIC EM MAI/19
</t>
        </r>
      </text>
    </comment>
    <comment ref="AE94" authorId="0" shapeId="0" xr:uid="{00000000-0006-0000-0000-000037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5" authorId="0" shapeId="0" xr:uid="{00000000-0006-0000-0000-0000C3010000}">
      <text>
        <r>
          <rPr>
            <b/>
            <sz val="9"/>
            <color rgb="FF000000"/>
            <rFont val="Tahoma"/>
            <family val="2"/>
            <charset val="1"/>
          </rPr>
          <t xml:space="preserve">R$ 11.822.376,66 Custeio;
R$ 260.821,79 Aporte res.médica
</t>
        </r>
      </text>
    </comment>
    <comment ref="AE95" authorId="0" shapeId="0" xr:uid="{00000000-0006-0000-0000-00003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6" authorId="0" shapeId="0" xr:uid="{00000000-0006-0000-0000-0000C4010000}">
      <text>
        <r>
          <rPr>
            <b/>
            <sz val="9"/>
            <color rgb="FF000000"/>
            <rFont val="Tahoma"/>
            <family val="2"/>
            <charset val="1"/>
          </rPr>
          <t xml:space="preserve">R$ 11.822.376,66 Custeio;
R$ 260.821,79 Aporte res.médica
</t>
        </r>
      </text>
    </comment>
    <comment ref="AD96" authorId="0" shapeId="0" xr:uid="{00000000-0006-0000-0000-0000B6050000}">
      <text>
        <r>
          <rPr>
            <b/>
            <sz val="9"/>
            <color rgb="FF000000"/>
            <rFont val="Tahoma"/>
            <family val="2"/>
            <charset val="1"/>
          </rPr>
          <t>- ENERGIA MAI/19</t>
        </r>
      </text>
    </comment>
    <comment ref="AE96" authorId="0" shapeId="0" xr:uid="{00000000-0006-0000-0000-00003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7" authorId="0" shapeId="0" xr:uid="{00000000-0006-0000-0000-0000C5010000}">
      <text>
        <r>
          <rPr>
            <b/>
            <sz val="9"/>
            <color rgb="FF000000"/>
            <rFont val="Tahoma"/>
            <family val="2"/>
            <charset val="1"/>
          </rPr>
          <t xml:space="preserve">R$ 11.822.376,66 Custeio;
R$ 260.821,79 Aporte res.médica
</t>
        </r>
      </text>
    </comment>
    <comment ref="AD97" authorId="0" shapeId="0" xr:uid="{00000000-0006-0000-0000-0000B7050000}">
      <text>
        <r>
          <rPr>
            <sz val="11"/>
            <color rgb="FF000000"/>
            <rFont val="Calibri"/>
            <family val="2"/>
            <charset val="1"/>
          </rPr>
          <t xml:space="preserve">REFERÊNCIA JUN/19 - LANÇADO PLANILHA PAGAMENTO GEFIC EM JUL/19
</t>
        </r>
      </text>
    </comment>
    <comment ref="AE97" authorId="0" shapeId="0" xr:uid="{00000000-0006-0000-0000-00003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8" authorId="0" shapeId="0" xr:uid="{00000000-0006-0000-0000-0000C6010000}">
      <text>
        <r>
          <rPr>
            <b/>
            <sz val="9"/>
            <color rgb="FF000000"/>
            <rFont val="Tahoma"/>
            <family val="2"/>
            <charset val="1"/>
          </rPr>
          <t xml:space="preserve">R$ 11.822.376,66 Custeio;
R$ 260.821,79 Aporte res.médica
</t>
        </r>
      </text>
    </comment>
    <comment ref="AD98" authorId="0" shapeId="0" xr:uid="{00000000-0006-0000-0000-0000B8050000}">
      <text>
        <r>
          <rPr>
            <sz val="11"/>
            <color rgb="FF000000"/>
            <rFont val="Calibri"/>
            <family val="2"/>
            <charset val="1"/>
          </rPr>
          <t xml:space="preserve">R$ 210.838,98 ENERGIA - REFERÊNCIA JUL/19 - LANÇADO PLANILHA PAGAMENTO GEFIC EM AGO/19;
</t>
        </r>
        <r>
          <rPr>
            <sz val="9"/>
            <color rgb="FF000000"/>
            <rFont val="Tahoma"/>
            <family val="2"/>
            <charset val="1"/>
          </rPr>
          <t>.
R$ 191.024,90 ENERGIA - REFERÊNCIA AGO/19 - LANÇADO PLANILHA PAGAMENTO GEFIC EM SET/19.</t>
        </r>
      </text>
    </comment>
    <comment ref="AE98" authorId="0" shapeId="0" xr:uid="{00000000-0006-0000-0000-00003B080000}">
      <text>
        <r>
          <rPr>
            <b/>
            <sz val="9"/>
            <color rgb="FF000000"/>
            <rFont val="Tahoma"/>
            <family val="2"/>
            <charset val="1"/>
          </rPr>
          <t xml:space="preserve">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
</t>
        </r>
      </text>
    </comment>
    <comment ref="R99" authorId="0" shapeId="0" xr:uid="{00000000-0006-0000-0000-0000C7010000}">
      <text>
        <r>
          <rPr>
            <b/>
            <sz val="9"/>
            <color rgb="FF000000"/>
            <rFont val="Tahoma"/>
            <family val="2"/>
            <charset val="1"/>
          </rPr>
          <t xml:space="preserve">R$ 11.822.376,66 Custeio;
R$ 260.821,79 Aporte res.médica
</t>
        </r>
      </text>
    </comment>
    <comment ref="AE99" authorId="0" shapeId="0" xr:uid="{00000000-0006-0000-0000-00003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100" authorId="0" shapeId="0" xr:uid="{00000000-0006-0000-0000-0000C8010000}">
      <text>
        <r>
          <rPr>
            <b/>
            <sz val="9"/>
            <color rgb="FF000000"/>
            <rFont val="Tahoma"/>
            <family val="2"/>
            <charset val="1"/>
          </rPr>
          <t xml:space="preserve">R$ 11.822.376,66 Custeio;
R$ 260.821,79 Aporte res.médica
</t>
        </r>
      </text>
    </comment>
    <comment ref="AD100" authorId="0" shapeId="0" xr:uid="{00000000-0006-0000-0000-0000B9050000}">
      <text>
        <r>
          <rPr>
            <sz val="11"/>
            <color rgb="FF000000"/>
            <rFont val="Calibri"/>
            <family val="2"/>
            <charset val="1"/>
          </rPr>
          <t xml:space="preserve">REFERÊNCIA SET/19 - LANÇADO PLANILHA PAGAMENTO GEFIC EM OUT/19
</t>
        </r>
      </text>
    </comment>
    <comment ref="AE100" authorId="0" shapeId="0" xr:uid="{00000000-0006-0000-0000-00003D080000}">
      <text>
        <r>
          <rPr>
            <b/>
            <sz val="9"/>
            <color rgb="FF000000"/>
            <rFont val="Tahoma"/>
            <family val="2"/>
            <charset val="1"/>
          </rPr>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r>
      </text>
    </comment>
    <comment ref="AU100" authorId="0" shapeId="0" xr:uid="{00000000-0006-0000-0000-000092090000}">
      <text>
        <r>
          <rPr>
            <sz val="11"/>
            <color rgb="FF000000"/>
            <rFont val="Calibri"/>
            <family val="2"/>
            <charset val="1"/>
          </rPr>
          <t xml:space="preserve">PROC.201900010008641 Ressarcimento encargos DAS RESCISÕES TRABALHISTAS CRER/AGIR,referente ao mês de janeiro de 2019.
</t>
        </r>
      </text>
    </comment>
    <comment ref="R101" authorId="0" shapeId="0" xr:uid="{00000000-0006-0000-0000-0000C9010000}">
      <text>
        <r>
          <rPr>
            <b/>
            <sz val="9"/>
            <color rgb="FF000000"/>
            <rFont val="Tahoma"/>
            <family val="2"/>
            <charset val="1"/>
          </rPr>
          <t xml:space="preserve">R$ 11.822.376,66 Custeio;
R$ 260.821,79 Aporte res.médica
</t>
        </r>
      </text>
    </comment>
    <comment ref="AD101" authorId="0" shapeId="0" xr:uid="{00000000-0006-0000-0000-0000BA050000}">
      <text>
        <r>
          <rPr>
            <sz val="11"/>
            <color rgb="FF000000"/>
            <rFont val="Calibri"/>
            <family val="2"/>
            <charset val="1"/>
          </rPr>
          <t xml:space="preserve">R$ 266.727,76 - ENERGIA - REFERÊNCIA OUT/19 - LANÇADO PLANILHA PAGAMENTO GEFIC EM NOV/19;
.
R$ 253.882,25-  ENERGIA - REFERÊNCIA NOV/19 - LANÇADO PLANILHA PAGAMENTO GEFIC EM DEZ/19
</t>
        </r>
      </text>
    </comment>
    <comment ref="AE101" authorId="0" shapeId="0" xr:uid="{00000000-0006-0000-0000-00003E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r>
      </text>
    </comment>
    <comment ref="AF101" authorId="0" shapeId="0" xr:uid="{00000000-0006-0000-0000-0000E8080000}">
      <text>
        <r>
          <rPr>
            <sz val="11"/>
            <color rgb="FF000000"/>
            <rFont val="Calibri"/>
            <family val="2"/>
            <charset val="1"/>
          </rPr>
          <t xml:space="preserve">Ajuste referente ao  ao convênio nº 11/2018  recurso de contratualização Municipal - FMS - Goiânia recebido pela AGIR/CRER no valor de R$ 3.500.000,00, lançado na planilha de repasse mensal /GAOS de DEZ/19.
referência NOV/19................................................................................R$ -56.537,85.
</t>
        </r>
      </text>
    </comment>
    <comment ref="AU101" authorId="0" shapeId="0" xr:uid="{00000000-0006-0000-0000-000093090000}">
      <text>
        <r>
          <rPr>
            <sz val="11"/>
            <color rgb="FF000000"/>
            <rFont val="Calibri"/>
            <family val="2"/>
            <charset val="1"/>
          </rPr>
          <t xml:space="preserve">PROCESSO SEI: 201900010006983: RESSARCIMENTO DE VALORES DESPENDIDOS COM ENCARGOS DAS RESCISÕES TRABALHISTAS DO CENTRO DE REABILITAÇÃO E READAPTAÇÃO DR HENRIQUE SANTILLO- CRER/AGIR, REFERENTE AOS MESES DE JAN A DEZ/18
</t>
        </r>
      </text>
    </comment>
    <comment ref="R102" authorId="0" shapeId="0" xr:uid="{00000000-0006-0000-0000-0000CA010000}">
      <text>
        <r>
          <rPr>
            <b/>
            <sz val="9"/>
            <color rgb="FF000000"/>
            <rFont val="Tahoma"/>
            <family val="2"/>
            <charset val="1"/>
          </rPr>
          <t xml:space="preserve">R$ 11.822.376,66 Custeio;
R$ 260.821,79 Aporte res.médica
</t>
        </r>
      </text>
    </comment>
    <comment ref="AD102" authorId="0" shapeId="0" xr:uid="{00000000-0006-0000-0000-0000BB050000}">
      <text>
        <r>
          <rPr>
            <sz val="11"/>
            <color rgb="FF000000"/>
            <rFont val="Calibri"/>
            <family val="2"/>
            <charset val="1"/>
          </rPr>
          <t xml:space="preserve">ENERGIA - REFERÊNCIA DEZ/19 - LANÇADO PLANILHA PAGAMENTO GEFIC EM JAN/20
</t>
        </r>
      </text>
    </comment>
    <comment ref="R103" authorId="0" shapeId="0" xr:uid="{00000000-0006-0000-0000-0000CB010000}">
      <text>
        <r>
          <rPr>
            <b/>
            <sz val="9"/>
            <color rgb="FF000000"/>
            <rFont val="Tahoma"/>
            <family val="2"/>
            <charset val="1"/>
          </rPr>
          <t xml:space="preserve">R$ 11.822.376,66 Custeio;
R$ 260.821,79 Aporte res.médica
</t>
        </r>
      </text>
    </comment>
    <comment ref="AD103" authorId="0" shapeId="0" xr:uid="{00000000-0006-0000-0000-0000BC050000}">
      <text>
        <r>
          <rPr>
            <sz val="11"/>
            <color rgb="FF000000"/>
            <rFont val="Calibri"/>
            <family val="2"/>
            <charset val="1"/>
          </rPr>
          <t xml:space="preserve">ENERGIA - REFERÊNCIA JAN/20 - LANÇADO PLANILHA PAGAMENTO GEFIC EM FEV/20
</t>
        </r>
      </text>
    </comment>
    <comment ref="AE103" authorId="0" shapeId="0" xr:uid="{00000000-0006-0000-0000-00003F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U103" authorId="0" shapeId="0" xr:uid="{00000000-0006-0000-0000-000094090000}">
      <text>
        <r>
          <rPr>
            <sz val="11"/>
            <color rgb="FF000000"/>
            <rFont val="Calibri"/>
            <family val="2"/>
            <charset val="1"/>
          </rPr>
          <t xml:space="preserve">RESSARCIMENTO DE VALORES DESPENDIDOS COM ENCARGOS DAS RESCISÕES TRABALHISTAS DO CENTRO ESTADUAL DE REAB
ILITAÇÃO E READAPTAÇÃO DR. HENRIQUE SANTILLO CRER, REFERENTE AOS MÊS DE FEVEREIRO DE 2019 PROCESSO SEI: 201900010012753.
</t>
        </r>
      </text>
    </comment>
    <comment ref="R104" authorId="0" shapeId="0" xr:uid="{00000000-0006-0000-0000-0000CC010000}">
      <text>
        <r>
          <rPr>
            <b/>
            <sz val="9"/>
            <color rgb="FF000000"/>
            <rFont val="Tahoma"/>
            <family val="2"/>
            <charset val="1"/>
          </rPr>
          <t xml:space="preserve">R$ 10.640.138,95 Custeio;
R$ 234.739,61 Aporte res.médica
até 27/03/20
</t>
        </r>
      </text>
    </comment>
    <comment ref="S104" authorId="0" shapeId="0" xr:uid="{00000000-0006-0000-0000-0000DB010000}">
      <text>
        <r>
          <rPr>
            <sz val="9"/>
            <color rgb="FF000000"/>
            <rFont val="Segoe UI"/>
            <family val="2"/>
            <charset val="1"/>
          </rPr>
          <t xml:space="preserve">VIGÊNCIA 28/03/20 A 27/03/21
.
RES.MÉDICA - R$ 22.757,79
CUSTEIO - R$ 1.225.157,68
</t>
        </r>
      </text>
    </comment>
    <comment ref="AD104" authorId="0" shapeId="0" xr:uid="{00000000-0006-0000-0000-0000BD050000}">
      <text>
        <r>
          <rPr>
            <b/>
            <sz val="9"/>
            <color rgb="FF000000"/>
            <rFont val="Tahoma"/>
            <family val="2"/>
            <charset val="1"/>
          </rPr>
          <t>R$ 215.000,00 PARTE  CELG FEV/20, Lançado na planilha de MAR 2020 (TOTAL R$ 217.160,85)</t>
        </r>
      </text>
    </comment>
    <comment ref="AE104" authorId="0" shapeId="0" xr:uid="{00000000-0006-0000-0000-000040080000}">
      <text>
        <r>
          <rPr>
            <b/>
            <sz val="9"/>
            <color rgb="FF000000"/>
            <rFont val="Tahoma"/>
            <family val="2"/>
            <charset val="1"/>
          </rPr>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r>
      </text>
    </comment>
    <comment ref="AU104" authorId="0" shapeId="0" xr:uid="{00000000-0006-0000-0000-000095090000}">
      <text>
        <r>
          <rPr>
            <sz val="11"/>
            <color rgb="FF000000"/>
            <rFont val="Calibri"/>
            <family val="2"/>
            <charset val="1"/>
          </rPr>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r>
      </text>
    </comment>
    <comment ref="BM104" authorId="0" shapeId="0" xr:uid="{00000000-0006-0000-0000-0000F30A0000}">
      <text>
        <r>
          <rPr>
            <sz val="11"/>
            <color rgb="FF000000"/>
            <rFont val="Calibri"/>
            <family val="2"/>
            <charset val="1"/>
          </rPr>
          <t xml:space="preserve">VALOR DO NOVO DITIVO - SEM OUTORGA
</t>
        </r>
      </text>
    </comment>
    <comment ref="S105" authorId="0" shapeId="0" xr:uid="{00000000-0006-0000-0000-0000DC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5" authorId="0" shapeId="0" xr:uid="{00000000-0006-0000-0000-0000BE050000}">
      <text>
        <r>
          <rPr>
            <sz val="9"/>
            <color rgb="FF000000"/>
            <rFont val="Segoe UI"/>
            <family val="2"/>
            <charset val="1"/>
          </rPr>
          <t xml:space="preserve"> R$ 2.160,85, restante CELG FEV 2020 Lançado na planilha MAR 2020 e R$ 190.012,88 - CELG MAR 2020, Lançado na planilha de ABR 2020</t>
        </r>
      </text>
    </comment>
    <comment ref="AE105" authorId="0" shapeId="0" xr:uid="{00000000-0006-0000-0000-000041080000}">
      <text>
        <r>
          <rPr>
            <b/>
            <sz val="9"/>
            <color rgb="FF000000"/>
            <rFont val="Tahoma"/>
            <family val="2"/>
            <charset val="1"/>
          </rPr>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S106" authorId="0" shapeId="0" xr:uid="{00000000-0006-0000-0000-0000DD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6" authorId="0" shapeId="0" xr:uid="{00000000-0006-0000-0000-0000BF050000}">
      <text>
        <r>
          <rPr>
            <sz val="11"/>
            <color rgb="FF000000"/>
            <rFont val="Calibri"/>
            <family val="2"/>
            <charset val="1"/>
          </rPr>
          <t xml:space="preserve">REFERÊNCIA ABR/20 - LANÇADO PLANILHA PAGAMENTO GEFIC EM MAI/20
</t>
        </r>
      </text>
    </comment>
    <comment ref="AE106" authorId="0" shapeId="0" xr:uid="{00000000-0006-0000-0000-000042080000}">
      <text>
        <r>
          <rPr>
            <b/>
            <sz val="9"/>
            <color rgb="FF000000"/>
            <rFont val="Tahoma"/>
            <family val="2"/>
            <charset val="1"/>
          </rPr>
          <t>R$ 3.500,00 -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r>
      </text>
    </comment>
    <comment ref="S107" authorId="0" shapeId="0" xr:uid="{00000000-0006-0000-0000-0000DE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7" authorId="0" shapeId="0" xr:uid="{00000000-0006-0000-0000-0000C0050000}">
      <text>
        <r>
          <rPr>
            <b/>
            <sz val="9"/>
            <color rgb="FF000000"/>
            <rFont val="Segoe UI"/>
            <family val="2"/>
            <charset val="1"/>
          </rPr>
          <t>CELG REF.MAI/2020, LANÇADO NA PLANILHA DE REPASSE MENSAL JUN/2</t>
        </r>
      </text>
    </comment>
    <comment ref="AE107" authorId="0" shapeId="0" xr:uid="{00000000-0006-0000-0000-000043080000}">
      <text>
        <r>
          <rPr>
            <b/>
            <sz val="9"/>
            <color rgb="FF000000"/>
            <rFont val="Tahoma"/>
            <family val="2"/>
            <charset val="1"/>
          </rPr>
          <t>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7" authorId="0" shapeId="0" xr:uid="{00000000-0006-0000-0000-0000E9080000}">
      <text>
        <r>
          <rPr>
            <sz val="11"/>
            <color rgb="FF000000"/>
            <rFont val="Calibri"/>
            <family val="2"/>
            <charset val="1"/>
          </rPr>
          <t xml:space="preserve">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08" authorId="0" shapeId="0" xr:uid="{00000000-0006-0000-0000-0000DF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8" authorId="0" shapeId="0" xr:uid="{00000000-0006-0000-0000-0000C1050000}">
      <text>
        <r>
          <rPr>
            <sz val="11"/>
            <color rgb="FF000000"/>
            <rFont val="Calibri"/>
            <family val="2"/>
            <charset val="1"/>
          </rPr>
          <t xml:space="preserve">ENERGIA - REFERÊNCIA JUN/20 - LANÇADO PLANILHA PAGAMENTO GEFIC EM JUL/20
</t>
        </r>
      </text>
    </comment>
    <comment ref="AE108" authorId="0" shapeId="0" xr:uid="{00000000-0006-0000-0000-000044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8" authorId="0" shapeId="0" xr:uid="{00000000-0006-0000-0000-0000EA080000}">
      <text>
        <r>
          <rPr>
            <sz val="11"/>
            <color rgb="FF000000"/>
            <rFont val="Calibri"/>
            <family val="2"/>
            <charset val="1"/>
          </rPr>
          <t xml:space="preserve">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W108" authorId="0" shapeId="0" xr:uid="{00000000-0006-0000-0000-0000080A0000}">
      <text>
        <r>
          <rPr>
            <sz val="11"/>
            <color rgb="FF000000"/>
            <rFont val="Calibri"/>
            <family val="2"/>
            <charset val="1"/>
          </rPr>
          <t xml:space="preserve">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
</t>
        </r>
      </text>
    </comment>
    <comment ref="S109" authorId="0" shapeId="0" xr:uid="{00000000-0006-0000-0000-0000E0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9" authorId="0" shapeId="0" xr:uid="{00000000-0006-0000-0000-0000C2050000}">
      <text>
        <r>
          <rPr>
            <sz val="11"/>
            <color rgb="FF000000"/>
            <rFont val="Calibri"/>
            <family val="2"/>
            <charset val="1"/>
          </rPr>
          <t xml:space="preserve">ENERGIA - REFERÊNCIA JUL/20 - LANÇADO PLANILHA PAGAMENTO GEFIC EM AGO/20
</t>
        </r>
      </text>
    </comment>
    <comment ref="AE109" authorId="0" shapeId="0" xr:uid="{00000000-0006-0000-0000-000045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9" authorId="0" shapeId="0" xr:uid="{00000000-0006-0000-0000-0000EB080000}">
      <text>
        <r>
          <rPr>
            <sz val="11"/>
            <color rgb="FF000000"/>
            <rFont val="Calibri"/>
            <family val="2"/>
            <charset val="1"/>
          </rPr>
          <t xml:space="preserve">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0" authorId="0" shapeId="0" xr:uid="{00000000-0006-0000-0000-0000E1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0" authorId="0" shapeId="0" xr:uid="{00000000-0006-0000-0000-0000C3050000}">
      <text>
        <r>
          <rPr>
            <sz val="11"/>
            <color rgb="FF000000"/>
            <rFont val="Calibri"/>
            <family val="2"/>
            <charset val="1"/>
          </rPr>
          <t xml:space="preserve">ENERGIA - REFERÊNCIA AGO/20 - LANÇADO PLANILHA PAGAMENTO GEFIC EM SET/20
</t>
        </r>
      </text>
    </comment>
    <comment ref="AE110" authorId="0" shapeId="0" xr:uid="{00000000-0006-0000-0000-000046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0" authorId="0" shapeId="0" xr:uid="{00000000-0006-0000-0000-0000EC080000}">
      <text>
        <r>
          <rPr>
            <sz val="11"/>
            <color rgb="FF000000"/>
            <rFont val="Calibri"/>
            <family val="2"/>
            <charset val="1"/>
          </rPr>
          <t xml:space="preserve">Ajuste AGO-20-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1" authorId="0" shapeId="0" xr:uid="{00000000-0006-0000-0000-0000E2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1" authorId="0" shapeId="0" xr:uid="{00000000-0006-0000-0000-0000C4050000}">
      <text>
        <r>
          <rPr>
            <sz val="11"/>
            <color rgb="FF000000"/>
            <rFont val="Calibri"/>
            <family val="2"/>
            <charset val="1"/>
          </rPr>
          <t xml:space="preserve">ENERGIA - REFERÊNCIA SET/20 - LANÇADO PLANILHA PAGAMENTO GEFIC EM OUT/20
</t>
        </r>
      </text>
    </comment>
    <comment ref="AE111" authorId="0" shapeId="0" xr:uid="{00000000-0006-0000-0000-000047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1" authorId="0" shapeId="0" xr:uid="{00000000-0006-0000-0000-0000ED080000}">
      <text>
        <r>
          <rPr>
            <sz val="11"/>
            <color rgb="FF000000"/>
            <rFont val="Calibri"/>
            <family val="2"/>
            <charset val="1"/>
          </rPr>
          <t xml:space="preserve">Ajuste SET-20-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2" authorId="0" shapeId="0" xr:uid="{00000000-0006-0000-0000-0000E3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2" authorId="0" shapeId="0" xr:uid="{00000000-0006-0000-0000-0000C5050000}">
      <text>
        <r>
          <rPr>
            <sz val="11"/>
            <color rgb="FF000000"/>
            <rFont val="Calibri"/>
            <family val="2"/>
            <charset val="1"/>
          </rPr>
          <t xml:space="preserve">ENERGIA - REFERÊNCIA OUT/20 - LANÇADO PLANILHA PAGAMENTO GEFIC EM NOV/20
</t>
        </r>
      </text>
    </comment>
    <comment ref="AE112" authorId="0" shapeId="0" xr:uid="{00000000-0006-0000-0000-00004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2" authorId="0" shapeId="0" xr:uid="{00000000-0006-0000-0000-0000EE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3" authorId="0" shapeId="0" xr:uid="{00000000-0006-0000-0000-0000E4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3" authorId="0" shapeId="0" xr:uid="{00000000-0006-0000-0000-0000C6050000}">
      <text>
        <r>
          <rPr>
            <sz val="11"/>
            <color rgb="FF000000"/>
            <rFont val="Calibri"/>
            <family val="2"/>
            <charset val="1"/>
          </rPr>
          <t xml:space="preserve">ENERGIA - LANÇADO PLANILHA PAGAMENTO GEFIC EM DEZ/20
.
NOV/20..........................R$217.039,38
DEZ/20..........................R$ 227.033,12
</t>
        </r>
      </text>
    </comment>
    <comment ref="AE113" authorId="0" shapeId="0" xr:uid="{00000000-0006-0000-0000-00004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3" authorId="0" shapeId="0" xr:uid="{00000000-0006-0000-0000-0000EF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4" authorId="0" shapeId="0" xr:uid="{00000000-0006-0000-0000-0000E5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E114" authorId="0" shapeId="0" xr:uid="{00000000-0006-0000-0000-00004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4" authorId="0" shapeId="0" xr:uid="{00000000-0006-0000-0000-0000F0080000}">
      <text>
        <r>
          <rPr>
            <sz val="11"/>
            <color rgb="FF000000"/>
            <rFont val="Calibri"/>
            <family val="2"/>
            <charset val="1"/>
          </rPr>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5" authorId="0" shapeId="0" xr:uid="{00000000-0006-0000-0000-0000E6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5" authorId="0" shapeId="0" xr:uid="{00000000-0006-0000-0000-0000C7050000}">
      <text>
        <r>
          <rPr>
            <sz val="11"/>
            <color rgb="FF000000"/>
            <rFont val="Calibri"/>
            <family val="2"/>
            <charset val="1"/>
          </rPr>
          <t xml:space="preserve">CELG JAN/21 LANÇADO NA PLANILHA DE FEV/21
</t>
        </r>
      </text>
    </comment>
    <comment ref="AE115" authorId="0" shapeId="0" xr:uid="{00000000-0006-0000-0000-00004B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5" authorId="0" shapeId="0" xr:uid="{00000000-0006-0000-0000-0000F1080000}">
      <text>
        <r>
          <rPr>
            <sz val="11"/>
            <color rgb="FF000000"/>
            <rFont val="Calibri"/>
            <family val="2"/>
            <charset val="1"/>
          </rPr>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6" authorId="0" shapeId="0" xr:uid="{00000000-0006-0000-0000-0000E7010000}">
      <text>
        <r>
          <rPr>
            <sz val="11"/>
            <color rgb="FF000000"/>
            <rFont val="Calibri"/>
            <family val="2"/>
            <charset val="1"/>
          </rPr>
          <t xml:space="preserve">VIGÊNCIA 28/03/20 A 27/03/21
.
RES.MÉDICA - R$ 204.820,08
CUSTEIO - R$ 11.026.419,17
</t>
        </r>
        <r>
          <rPr>
            <sz val="9"/>
            <color rgb="FF000000"/>
            <rFont val="Segoe UI"/>
            <family val="2"/>
            <charset val="1"/>
          </rPr>
          <t xml:space="preserve">
</t>
        </r>
      </text>
    </comment>
    <comment ref="AD116" authorId="0" shapeId="0" xr:uid="{00000000-0006-0000-0000-0000C8050000}">
      <text>
        <r>
          <rPr>
            <sz val="11"/>
            <color rgb="FF000000"/>
            <rFont val="Calibri"/>
            <family val="2"/>
            <charset val="1"/>
          </rPr>
          <t xml:space="preserve">CELG FEV/21 LANÇADO NA PLANILHA DE MAR/21
</t>
        </r>
      </text>
    </comment>
    <comment ref="AE116" authorId="0" shapeId="0" xr:uid="{00000000-0006-0000-0000-00004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6" authorId="0" shapeId="0" xr:uid="{00000000-0006-0000-0000-0000F2080000}">
      <text>
        <r>
          <rPr>
            <sz val="11"/>
            <color rgb="FF000000"/>
            <rFont val="Calibri"/>
            <family val="2"/>
            <charset val="1"/>
          </rPr>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X116" authorId="0" shapeId="0" xr:uid="{00000000-0006-0000-0000-00007E0A0000}">
      <text>
        <r>
          <rPr>
            <sz val="11"/>
            <color rgb="FF000000"/>
            <rFont val="Calibri"/>
            <family val="2"/>
            <charset val="1"/>
          </rPr>
          <t xml:space="preserve">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31/03/2021...............R$ 1.915.368,04.
</t>
        </r>
      </text>
    </comment>
    <comment ref="AX117" authorId="0" shapeId="0" xr:uid="{00000000-0006-0000-0000-00007F0A0000}">
      <text>
        <r>
          <rPr>
            <sz val="11"/>
            <color rgb="FF000000"/>
            <rFont val="Calibri"/>
            <family val="2"/>
            <charset val="1"/>
          </rPr>
          <t xml:space="preserve">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 
</t>
        </r>
      </text>
    </comment>
    <comment ref="AX118" authorId="0" shapeId="0" xr:uid="{00000000-0006-0000-0000-0000800A0000}">
      <text>
        <r>
          <rPr>
            <sz val="11"/>
            <color rgb="FF000000"/>
            <rFont val="Calibri"/>
            <family val="2"/>
            <charset val="1"/>
          </rPr>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r>
      </text>
    </comment>
    <comment ref="AX119" authorId="0" shapeId="0" xr:uid="{00000000-0006-0000-0000-0000810A0000}">
      <text>
        <r>
          <rPr>
            <sz val="11"/>
            <color rgb="FF000000"/>
            <rFont val="Calibri"/>
            <family val="2"/>
            <charset val="1"/>
          </rPr>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r>
      </text>
    </comment>
    <comment ref="AX121" authorId="0" shapeId="0" xr:uid="{00000000-0006-0000-0000-0000820A0000}">
      <text>
        <r>
          <rPr>
            <sz val="11"/>
            <color rgb="FF000000"/>
            <rFont val="Calibri"/>
            <family val="2"/>
            <charset val="1"/>
          </rPr>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r>
      </text>
    </comment>
    <comment ref="AE135" authorId="0" shapeId="0" xr:uid="{00000000-0006-0000-0000-00004D080000}">
      <text>
        <r>
          <rPr>
            <sz val="9"/>
            <color rgb="FF000000"/>
            <rFont val="Tahoma"/>
            <family val="2"/>
            <charset val="1"/>
          </rPr>
          <t xml:space="preserve"> PROC.201700010016270 - refere-se ao dano ao erário na prestação de serviços no período de JAN a DEZ/12, conforme Tomada de Contas Especial.
</t>
        </r>
      </text>
    </comment>
    <comment ref="N137" authorId="0" shapeId="0" xr:uid="{00000000-0006-0000-0000-000002010000}">
      <text>
        <r>
          <rPr>
            <b/>
            <sz val="9"/>
            <color rgb="FF000000"/>
            <rFont val="Tahoma"/>
            <family val="2"/>
            <charset val="1"/>
          </rPr>
          <t xml:space="preserve">01 A 19/01/18
</t>
        </r>
      </text>
    </comment>
    <comment ref="O137" authorId="0" shapeId="0" xr:uid="{00000000-0006-0000-0000-00001F010000}">
      <text>
        <r>
          <rPr>
            <b/>
            <sz val="9"/>
            <color rgb="FF000000"/>
            <rFont val="Tahoma"/>
            <family val="2"/>
            <charset val="1"/>
          </rPr>
          <t xml:space="preserve">20 A 30/01/18
</t>
        </r>
      </text>
    </comment>
    <comment ref="AA137" authorId="0" shapeId="0" xr:uid="{00000000-0006-0000-0000-000010030000}">
      <text>
        <r>
          <rPr>
            <b/>
            <sz val="9"/>
            <color rgb="FF000000"/>
            <rFont val="Tahoma"/>
            <family val="2"/>
            <charset val="1"/>
          </rPr>
          <t xml:space="preserve">GLOSA DE FOLHA DO PERÍODO DE 20 A 30/01/18.
</t>
        </r>
      </text>
    </comment>
    <comment ref="AD139" authorId="0" shapeId="0" xr:uid="{00000000-0006-0000-0000-0000C9050000}">
      <text>
        <r>
          <rPr>
            <b/>
            <sz val="9"/>
            <color rgb="FF000000"/>
            <rFont val="Tahoma"/>
            <family val="2"/>
            <charset val="1"/>
          </rPr>
          <t xml:space="preserve">CELG - FEV/18
</t>
        </r>
      </text>
    </comment>
    <comment ref="AD140" authorId="0" shapeId="0" xr:uid="{00000000-0006-0000-0000-0000CA050000}">
      <text>
        <r>
          <rPr>
            <b/>
            <sz val="9"/>
            <color rgb="FF000000"/>
            <rFont val="Tahoma"/>
            <family val="2"/>
            <charset val="1"/>
          </rPr>
          <t>CELG - MAR/18</t>
        </r>
      </text>
    </comment>
    <comment ref="AF140" authorId="0" shapeId="0" xr:uid="{00000000-0006-0000-0000-0000F3080000}">
      <text>
        <r>
          <rPr>
            <b/>
            <sz val="9"/>
            <color rgb="FF000000"/>
            <rFont val="Tahoma"/>
            <family val="2"/>
            <charset val="1"/>
          </rPr>
          <t xml:space="preserve">R$ 1.965.652,67 - PARTE DO VALOR CONFORME MEMORANDO Nº175/2018-SGPF/SES, COMPENSAÇÃO DE SALDO VISTO DISPONIBILIDADE DE SALDO FINANCEIRO NECESSÁRIO PARA ENCERRAMENTO  DO ANO  CONTÁBIL.
</t>
        </r>
      </text>
    </comment>
    <comment ref="AD141" authorId="0" shapeId="0" xr:uid="{00000000-0006-0000-0000-0000CB050000}">
      <text>
        <r>
          <rPr>
            <b/>
            <sz val="9"/>
            <color rgb="FF000000"/>
            <rFont val="Tahoma"/>
            <family val="2"/>
            <charset val="1"/>
          </rPr>
          <t xml:space="preserve">CELG - ABRIL/2018
</t>
        </r>
      </text>
    </comment>
    <comment ref="AD142" authorId="0" shapeId="0" xr:uid="{00000000-0006-0000-0000-0000CC050000}">
      <text>
        <r>
          <rPr>
            <b/>
            <sz val="9"/>
            <color rgb="FF000000"/>
            <rFont val="Tahoma"/>
            <family val="2"/>
            <charset val="1"/>
          </rPr>
          <t xml:space="preserve">CELG - MAI/18
</t>
        </r>
      </text>
    </comment>
    <comment ref="AD143" authorId="0" shapeId="0" xr:uid="{00000000-0006-0000-0000-0000CD050000}">
      <text>
        <r>
          <rPr>
            <b/>
            <sz val="9"/>
            <color rgb="FF000000"/>
            <rFont val="Tahoma"/>
            <family val="2"/>
            <charset val="1"/>
          </rPr>
          <t xml:space="preserve">CELG - JUN/2018
</t>
        </r>
      </text>
    </comment>
    <comment ref="AE143" authorId="0" shapeId="0" xr:uid="{00000000-0006-0000-0000-00004E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4" authorId="0" shapeId="0" xr:uid="{00000000-0006-0000-0000-0000CE050000}">
      <text>
        <r>
          <rPr>
            <b/>
            <sz val="9"/>
            <color rgb="FF000000"/>
            <rFont val="Tahoma"/>
            <family val="2"/>
            <charset val="1"/>
          </rPr>
          <t xml:space="preserve">CELG - JUL/2018
</t>
        </r>
      </text>
    </comment>
    <comment ref="AE144" authorId="0" shapeId="0" xr:uid="{00000000-0006-0000-0000-00004F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5" authorId="0" shapeId="0" xr:uid="{00000000-0006-0000-0000-0000CF050000}">
      <text>
        <r>
          <rPr>
            <b/>
            <sz val="9"/>
            <color rgb="FF000000"/>
            <rFont val="Tahoma"/>
            <family val="2"/>
            <charset val="1"/>
          </rPr>
          <t>CELG - AGO/18</t>
        </r>
      </text>
    </comment>
    <comment ref="AE145" authorId="0" shapeId="0" xr:uid="{00000000-0006-0000-0000-000050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6" authorId="0" shapeId="0" xr:uid="{00000000-0006-0000-0000-0000D0050000}">
      <text>
        <r>
          <rPr>
            <b/>
            <sz val="9"/>
            <color rgb="FF000000"/>
            <rFont val="Tahoma"/>
            <family val="2"/>
            <charset val="1"/>
          </rPr>
          <t xml:space="preserve">CELG - SET/18
</t>
        </r>
      </text>
    </comment>
    <comment ref="AE146" authorId="0" shapeId="0" xr:uid="{00000000-0006-0000-0000-000051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6" authorId="0" shapeId="0" xr:uid="{00000000-0006-0000-0000-0000F4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r>
      </text>
    </comment>
    <comment ref="AD147" authorId="0" shapeId="0" xr:uid="{00000000-0006-0000-0000-0000D1050000}">
      <text>
        <r>
          <rPr>
            <b/>
            <sz val="9"/>
            <color rgb="FF000000"/>
            <rFont val="Tahoma"/>
            <family val="2"/>
            <charset val="1"/>
          </rPr>
          <t xml:space="preserve">CELG-OUT/18
</t>
        </r>
      </text>
    </comment>
    <comment ref="AE147" authorId="0" shapeId="0" xr:uid="{00000000-0006-0000-0000-000052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7" authorId="0" shapeId="0" xr:uid="{00000000-0006-0000-0000-0000F5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r>
      </text>
    </comment>
    <comment ref="AD148" authorId="0" shapeId="0" xr:uid="{00000000-0006-0000-0000-0000D2050000}">
      <text>
        <r>
          <rPr>
            <b/>
            <sz val="9"/>
            <color rgb="FF000000"/>
            <rFont val="Tahoma"/>
            <family val="2"/>
            <charset val="1"/>
          </rPr>
          <t xml:space="preserve">CELG-NOV/18
</t>
        </r>
      </text>
    </comment>
    <comment ref="AE148" authorId="0" shapeId="0" xr:uid="{00000000-0006-0000-0000-000053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8" authorId="0" shapeId="0" xr:uid="{00000000-0006-0000-0000-0000F6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r>
      </text>
    </comment>
    <comment ref="O149" authorId="0" shapeId="0" xr:uid="{00000000-0006-0000-0000-000020010000}">
      <text>
        <r>
          <rPr>
            <b/>
            <sz val="9"/>
            <color rgb="FF000000"/>
            <rFont val="Tahoma"/>
            <family val="2"/>
            <charset val="1"/>
          </rPr>
          <t>01/A 19/01/19</t>
        </r>
      </text>
    </comment>
    <comment ref="P149" authorId="0" shapeId="0" xr:uid="{00000000-0006-0000-0000-00003E010000}">
      <text>
        <r>
          <rPr>
            <sz val="9"/>
            <color rgb="FF000000"/>
            <rFont val="Tahoma"/>
            <family val="2"/>
            <charset val="1"/>
          </rPr>
          <t xml:space="preserve"> PERÍODO 20 a 31/01/19
R$  1.189.874,30 Parcela de custeio e R$ 348.303,19 Aporte recurso financeiro estimativa de valor da integralidade da folha de pagamento dos servidores estatutários cedidos a FIDI.
</t>
        </r>
      </text>
    </comment>
    <comment ref="AD149" authorId="0" shapeId="0" xr:uid="{00000000-0006-0000-0000-0000D3050000}">
      <text>
        <r>
          <rPr>
            <b/>
            <sz val="9"/>
            <color rgb="FF000000"/>
            <rFont val="Tahoma"/>
            <family val="2"/>
            <charset val="1"/>
          </rPr>
          <t xml:space="preserve">ENEL - DEZ/18
</t>
        </r>
      </text>
    </comment>
    <comment ref="AN149" authorId="0" shapeId="0" xr:uid="{00000000-0006-0000-0000-000043090000}">
      <text>
        <r>
          <rPr>
            <b/>
            <sz val="9"/>
            <color rgb="FF000000"/>
            <rFont val="Tahoma"/>
            <family val="2"/>
            <charset val="1"/>
          </rPr>
          <t xml:space="preserve">Diferença apurada referente a glosa de energia elétrica efetuada a maior - mês DEZ/18, lançada na planilha de JAN de 2019
</t>
        </r>
      </text>
    </comment>
    <comment ref="P150" authorId="0" shapeId="0" xr:uid="{00000000-0006-0000-0000-00003F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P151" authorId="0" shapeId="0" xr:uid="{00000000-0006-0000-0000-000040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D151" authorId="0" shapeId="0" xr:uid="{00000000-0006-0000-0000-0000D4050000}">
      <text>
        <r>
          <rPr>
            <b/>
            <sz val="9"/>
            <color rgb="FF000000"/>
            <rFont val="Tahoma"/>
            <family val="2"/>
            <charset val="1"/>
          </rPr>
          <t xml:space="preserve">REFERÊNCIA JAN/19 - LANÇADO PLANILHA GEFIC EM FEV/19
</t>
        </r>
      </text>
    </comment>
    <comment ref="P152" authorId="0" shapeId="0" xr:uid="{00000000-0006-0000-0000-000041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2" authorId="0" shapeId="0" xr:uid="{00000000-0006-0000-0000-000011030000}">
      <text>
        <r>
          <rPr>
            <b/>
            <sz val="9"/>
            <color rgb="FF000000"/>
            <rFont val="Tahoma"/>
            <family val="2"/>
            <charset val="1"/>
          </rPr>
          <t xml:space="preserve">VALOR ESTIMADO PREVISTO CONTRATO GESTÃO. 
</t>
        </r>
      </text>
    </comment>
    <comment ref="AB152" authorId="0" shapeId="0" xr:uid="{00000000-0006-0000-0000-00007D040000}">
      <text>
        <r>
          <rPr>
            <sz val="11"/>
            <color rgb="FF000000"/>
            <rFont val="Calibri"/>
            <family val="2"/>
            <charset val="1"/>
          </rPr>
          <t xml:space="preserve">R$ 11.726.06 DIFERENÇA GLOSA DE FOLHA FEV/19 LANÇADA NA PLANILHA DE PREVISÃO DE PAGAMENTO MAR/19 DA GEFIC (O PAGAMENTO PASSOU A SER REALIZADO DENTRO DO MÊS DE REFERÊNCIA POR ISSO FOI LANÇADA GLOSA ESTIMADA PREVISTA NO CONTRATO DE GESTÃO)
</t>
        </r>
      </text>
    </comment>
    <comment ref="AD152" authorId="0" shapeId="0" xr:uid="{00000000-0006-0000-0000-0000D5050000}">
      <text>
        <r>
          <rPr>
            <b/>
            <sz val="9"/>
            <color rgb="FF000000"/>
            <rFont val="Tahoma"/>
            <family val="2"/>
            <charset val="1"/>
          </rPr>
          <t xml:space="preserve">REFERÊNCIA FEV/19 - LANÇADO PLANILHA GEFIC EM MAR19
</t>
        </r>
      </text>
    </comment>
    <comment ref="P153" authorId="0" shapeId="0" xr:uid="{00000000-0006-0000-0000-000042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3" authorId="0" shapeId="0" xr:uid="{00000000-0006-0000-0000-000012030000}">
      <text>
        <r>
          <rPr>
            <b/>
            <sz val="9"/>
            <color rgb="FF000000"/>
            <rFont val="Tahoma"/>
            <family val="2"/>
            <charset val="1"/>
          </rPr>
          <t xml:space="preserve">VALOR ESTIMADO PREVISTO CONTRATO GESTÃO. 
</t>
        </r>
      </text>
    </comment>
    <comment ref="AB153" authorId="0" shapeId="0" xr:uid="{00000000-0006-0000-0000-00007E040000}">
      <text>
        <r>
          <rPr>
            <b/>
            <sz val="9"/>
            <color rgb="FF000000"/>
            <rFont val="Tahoma"/>
            <family val="2"/>
            <charset val="1"/>
          </rPr>
          <t xml:space="preserve">R$ 29.212,94 DIFERENÇA GLOSA DE FOLHA MAR/19 LANÇADA NA PLANILHA DE PREVISÃO DE PAGAMENTO ABR/19 DA GEFIC (O PAGAMENTO PASSOU A SER REALIZADO DENTRO DO MÊS DE REFERÊNCIA POR ISSO FOI LANÇADA GLOSA ESTIMADA PREVISTA NO CONTRATO DE GESTÃO)
</t>
        </r>
      </text>
    </comment>
    <comment ref="AD153" authorId="0" shapeId="0" xr:uid="{00000000-0006-0000-0000-0000D6050000}">
      <text>
        <r>
          <rPr>
            <b/>
            <sz val="9"/>
            <color rgb="FF000000"/>
            <rFont val="Tahoma"/>
            <family val="2"/>
            <charset val="1"/>
          </rPr>
          <t xml:space="preserve">REFERÊNCIA MAR/19 - LANÇADO PLANILHA GEFIC EM ABR/19
</t>
        </r>
      </text>
    </comment>
    <comment ref="P154" authorId="0" shapeId="0" xr:uid="{00000000-0006-0000-0000-000043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4" authorId="0" shapeId="0" xr:uid="{00000000-0006-0000-0000-000013030000}">
      <text>
        <r>
          <rPr>
            <b/>
            <sz val="9"/>
            <color rgb="FF000000"/>
            <rFont val="Tahoma"/>
            <family val="2"/>
            <charset val="1"/>
          </rPr>
          <t xml:space="preserve">VALOR ESTIMADO PREVISTO CONTRATO GESTÃO. 
</t>
        </r>
      </text>
    </comment>
    <comment ref="AD154" authorId="0" shapeId="0" xr:uid="{00000000-0006-0000-0000-0000D7050000}">
      <text>
        <r>
          <rPr>
            <b/>
            <sz val="9"/>
            <color rgb="FF000000"/>
            <rFont val="Tahoma"/>
            <family val="2"/>
            <charset val="1"/>
          </rPr>
          <t xml:space="preserve">REFERÊNCIA ABR/19 - LANÇADO PLANILHA GEFIC EM MAI/19
</t>
        </r>
      </text>
    </comment>
    <comment ref="P155" authorId="0" shapeId="0" xr:uid="{00000000-0006-0000-0000-000044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5" authorId="0" shapeId="0" xr:uid="{00000000-0006-0000-0000-000014030000}">
      <text>
        <r>
          <rPr>
            <b/>
            <sz val="9"/>
            <color rgb="FF000000"/>
            <rFont val="Tahoma"/>
            <family val="2"/>
            <charset val="1"/>
          </rPr>
          <t xml:space="preserve">VALOR ESTIMADO PREVISTO CONTRATO GESTÃO. 
</t>
        </r>
      </text>
    </comment>
    <comment ref="AB155" authorId="0" shapeId="0" xr:uid="{00000000-0006-0000-0000-00007F040000}">
      <text>
        <r>
          <rPr>
            <sz val="11"/>
            <color rgb="FF000000"/>
            <rFont val="Calibri"/>
            <family val="2"/>
            <charset val="1"/>
          </rPr>
          <t xml:space="preserve">R$ 45.040,00 DIFERENÇA GLOSA DE FOLHA MAI/19 LANÇADA NA PLANILHA DE PREVISÃO DE PAGAMENTO JUN/19 DA GEFIC (O PAGAMENTO PASSOU A SER REALIZADO DENTRO DO MÊS DE REFERÊNCIA POR ISSO FOI LANÇADA GLOSA ESTIMADA PREVISTA NO CONTRATO DE GESTÃO)
</t>
        </r>
      </text>
    </comment>
    <comment ref="AD155" authorId="0" shapeId="0" xr:uid="{00000000-0006-0000-0000-0000D8050000}">
      <text>
        <r>
          <rPr>
            <b/>
            <sz val="9"/>
            <color rgb="FF000000"/>
            <rFont val="Tahoma"/>
            <family val="2"/>
            <charset val="1"/>
          </rPr>
          <t>REFERÊNCIA MAI/19 - LANÇADO PLANILHA PAGAMENTO GEFIC EM JUN/19</t>
        </r>
      </text>
    </comment>
    <comment ref="P156" authorId="0" shapeId="0" xr:uid="{00000000-0006-0000-0000-000045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6" authorId="0" shapeId="0" xr:uid="{00000000-0006-0000-0000-000015030000}">
      <text>
        <r>
          <rPr>
            <sz val="11"/>
            <color rgb="FF000000"/>
            <rFont val="Calibri"/>
            <family val="2"/>
            <charset val="1"/>
          </rPr>
          <t xml:space="preserve">VALOR ESTIMADO PREVISTO CONTRATO GESTÃO. 
</t>
        </r>
      </text>
    </comment>
    <comment ref="AB156" authorId="0" shapeId="0" xr:uid="{00000000-0006-0000-0000-000080040000}">
      <text>
        <r>
          <rPr>
            <sz val="11"/>
            <color rgb="FF000000"/>
            <rFont val="Calibri"/>
            <family val="2"/>
            <charset val="1"/>
          </rPr>
          <t xml:space="preserve">R$ 45.040,00 DIFERENÇA GLOSA DE FOLHA JUN/19 LANÇADA NA PLANILHA DE PREVISÃO DE PAGAMENTO JUL/19 DA GEFIC (O PAGAMENTO PASSOU A SER REALIZADO DENTRO DO MÊS DE REFERÊNCIA POR ISSO FOI LANÇADA GLOSA ESTIMADA PREVISTA NO CONTRATO DE GESTÃO)
</t>
        </r>
      </text>
    </comment>
    <comment ref="AD156" authorId="0" shapeId="0" xr:uid="{00000000-0006-0000-0000-0000D9050000}">
      <text>
        <r>
          <rPr>
            <sz val="11"/>
            <color rgb="FF000000"/>
            <rFont val="Calibri"/>
            <family val="2"/>
            <charset val="1"/>
          </rPr>
          <t xml:space="preserve">CELG REFERÊNCIA JUN/19 - LANÇADO PLANILHA PAGAMENTO GEFIC EM JUL/19
</t>
        </r>
      </text>
    </comment>
    <comment ref="P157" authorId="0" shapeId="0" xr:uid="{00000000-0006-0000-0000-000046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7" authorId="0" shapeId="0" xr:uid="{00000000-0006-0000-0000-000016030000}">
      <text>
        <r>
          <rPr>
            <sz val="11"/>
            <color rgb="FF000000"/>
            <rFont val="Calibri"/>
            <family val="2"/>
            <charset val="1"/>
          </rPr>
          <t xml:space="preserve">VALOR ESTIMADO PREVISTO CONTRATO GESTÃO. 
</t>
        </r>
      </text>
    </comment>
    <comment ref="AB157" authorId="0" shapeId="0" xr:uid="{00000000-0006-0000-0000-000081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157" authorId="0" shapeId="0" xr:uid="{00000000-0006-0000-0000-0000DA050000}">
      <text>
        <r>
          <rPr>
            <sz val="11"/>
            <color rgb="FF000000"/>
            <rFont val="Calibri"/>
            <family val="2"/>
            <charset val="1"/>
          </rPr>
          <t xml:space="preserve">R$ 5.693,16 ENERGIA - REFERÊNCIA JUL/19 - LANÇADO PLANILHA PAGAMENTO GEFIC EM AGO/19;
.
R$ 5.765,78 ENERGIA - REFERÊNCIA AGO/19 - LANÇADO PLANILHA PAGAMENTO GEFIC EM SET/19
</t>
        </r>
      </text>
    </comment>
    <comment ref="P158" authorId="0" shapeId="0" xr:uid="{00000000-0006-0000-0000-000047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8" authorId="0" shapeId="0" xr:uid="{00000000-0006-0000-0000-000017030000}">
      <text>
        <r>
          <rPr>
            <sz val="11"/>
            <color rgb="FF000000"/>
            <rFont val="Calibri"/>
            <family val="2"/>
            <charset val="1"/>
          </rPr>
          <t xml:space="preserve">VALOR ESTIMADO PREVISTO CONTRATO GESTÃO. 
</t>
        </r>
      </text>
    </comment>
    <comment ref="P159" authorId="0" shapeId="0" xr:uid="{00000000-0006-0000-0000-000048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9" authorId="0" shapeId="0" xr:uid="{00000000-0006-0000-0000-000018030000}">
      <text>
        <r>
          <rPr>
            <sz val="11"/>
            <color rgb="FF000000"/>
            <rFont val="Calibri"/>
            <family val="2"/>
            <charset val="1"/>
          </rPr>
          <t xml:space="preserve">VALOR ESTIMADO PREVISTO CONTRATO GESTÃO. 
</t>
        </r>
      </text>
    </comment>
    <comment ref="AD159" authorId="0" shapeId="0" xr:uid="{00000000-0006-0000-0000-0000DB050000}">
      <text>
        <r>
          <rPr>
            <sz val="11"/>
            <color rgb="FF000000"/>
            <rFont val="Calibri"/>
            <family val="2"/>
            <charset val="1"/>
          </rPr>
          <t xml:space="preserve">REFERÊNCIA SET/19 - LANÇADO PLANILHA PAGAMENTO GEFIC EM OUT/19
</t>
        </r>
      </text>
    </comment>
    <comment ref="P160" authorId="0" shapeId="0" xr:uid="{00000000-0006-0000-0000-000049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60" authorId="0" shapeId="0" xr:uid="{00000000-0006-0000-0000-000019030000}">
      <text>
        <r>
          <rPr>
            <sz val="11"/>
            <color rgb="FF000000"/>
            <rFont val="Calibri"/>
            <family val="2"/>
            <charset val="1"/>
          </rPr>
          <t xml:space="preserve">VALOR ESTIMADO PREVISTO CONTRATO GESTÃO. 
</t>
        </r>
      </text>
    </comment>
    <comment ref="AB160" authorId="0" shapeId="0" xr:uid="{00000000-0006-0000-0000-00008204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D160" authorId="0" shapeId="0" xr:uid="{00000000-0006-0000-0000-0000DC050000}">
      <text>
        <r>
          <rPr>
            <b/>
            <sz val="9"/>
            <color rgb="FF000000"/>
            <rFont val="Tahoma"/>
            <family val="2"/>
            <charset val="1"/>
          </rPr>
          <t>R$ 7.025,11 - ENERGIA - REFERÊNCIA OUT/19 - LANÇADO PLANILHA PAGAMENTO GEFIC EM NOV/19;
.
R$ 6.196,67 ENERGIA - REFERÊNCIA NOV/19 - LANÇADO PLANILHA PAGAMENTO GEFIC EM DEZ/19</t>
        </r>
      </text>
    </comment>
    <comment ref="P161" authorId="0" shapeId="0" xr:uid="{00000000-0006-0000-0000-00004A010000}">
      <text>
        <r>
          <rPr>
            <b/>
            <sz val="9"/>
            <color rgb="FF000000"/>
            <rFont val="Tahoma"/>
            <family val="2"/>
            <charset val="1"/>
          </rPr>
          <t xml:space="preserve">01 A 19/01/20
R$  2.055.237,44  Parcela de custeio e R$ 601.614,59 Aporte recurso financeiro estimativa de valor da integralidade da folha de pagamento dos servidores estatutários cedidos a FIDI.
</t>
        </r>
      </text>
    </comment>
    <comment ref="Q161" authorId="0" shapeId="0" xr:uid="{00000000-0006-0000-0000-000092010000}">
      <text>
        <r>
          <rPr>
            <sz val="11"/>
            <color rgb="FF000000"/>
            <rFont val="Calibri"/>
            <family val="2"/>
            <charset val="1"/>
          </rPr>
          <t xml:space="preserve">Vigência 20/01 a 31/01/20
</t>
        </r>
        <r>
          <rPr>
            <sz val="9"/>
            <color rgb="FF000000"/>
            <rFont val="Tahoma"/>
            <family val="2"/>
            <charset val="1"/>
          </rPr>
          <t>R$  798.446,34  Parcela de custeio e R$ 200.660,35 Aporte recurso financeiro estimativa de valor da integralidade da folha de pagamento dos servidores estatutários cedidos a FIDI.</t>
        </r>
      </text>
    </comment>
    <comment ref="Z161" authorId="0" shapeId="0" xr:uid="{00000000-0006-0000-0000-000040020000}">
      <text>
        <r>
          <rPr>
            <sz val="11"/>
            <color rgb="FF000000"/>
            <rFont val="Calibri"/>
            <family val="2"/>
            <charset val="1"/>
          </rPr>
          <t xml:space="preserve">R$ 941.818,79  REFERÊNCIA DEZ LANÇADO NA PLANILHA/GAOS JAN/20 ;
R$ 537.787,37 REFERÊNCIA JAN/19 LANÇADO NA PLANILHA/GAOS JAN/20 COMPLEMENTO (FOLHA: HDT, HGG, HMI-HUAPA);
R$ 274.217,75 FOLHA DE PAGAMENTO HUGO (19 DIAS) REFERÊNCIA JAN/20 LANÇADO NA PLANILHA/GAOS JAN/20 COMPLEMENTO
</t>
        </r>
        <r>
          <rPr>
            <sz val="9"/>
            <color rgb="FF000000"/>
            <rFont val="Segoe UI"/>
            <family val="2"/>
            <charset val="1"/>
          </rPr>
          <t>OBS: FOI ENVIADO DUAS PLANILHA DE PAGAMETO PELA GAOS</t>
        </r>
      </text>
    </comment>
    <comment ref="AA161" authorId="0" shapeId="0" xr:uid="{00000000-0006-0000-0000-00001A030000}">
      <text>
        <r>
          <rPr>
            <sz val="11"/>
            <color rgb="FF000000"/>
            <rFont val="Calibri"/>
            <family val="2"/>
            <charset val="1"/>
          </rPr>
          <t xml:space="preserve">R$ 941.818,79 DEZ/19 LANÇADO NA PLANILHA/GAOS  JAN/20;
R$ 537.787,37 REFERÊNCIA JAN/20LANÇADO NA PLANILHA/GAOS COMPLEMENTO JAN/20 REFERENTE A (FOLHA: HDT, HGG, HMI-HUAPA);
R$ 274.217,75 FOLHA DE PAGAMENTO HUGO (19 DIAS) REFERÊNCIA JAN/20 LANÇADO NA PLANILHA/GAOS COMPLEMENTEO JAN/20 
 FOI ENCAMINHADO DUAS PLANILHA PELA GAOS
</t>
        </r>
      </text>
    </comment>
    <comment ref="AD161" authorId="0" shapeId="0" xr:uid="{00000000-0006-0000-0000-0000DD050000}">
      <text>
        <r>
          <rPr>
            <b/>
            <sz val="9"/>
            <color rgb="FF000000"/>
            <rFont val="Tahoma"/>
            <family val="2"/>
            <charset val="1"/>
          </rPr>
          <t xml:space="preserve">R$ 6.280,86 ENERGIA - REFERÊNCIA DEZ/19 - LANÇADO PLANILHA PAGAMENTO GEFIC EM JAN/20;
.
R$ 5.967,08 - REFERÊNCIA JAN/20- LANÇADO PLANILHA PAGAMENTO GEFIC EM JAN/20;
</t>
        </r>
      </text>
    </comment>
    <comment ref="P163" authorId="0" shapeId="0" xr:uid="{00000000-0006-0000-0000-00004B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3" authorId="0" shapeId="0" xr:uid="{00000000-0006-0000-0000-000054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3" authorId="0" shapeId="0" xr:uid="{00000000-0006-0000-0000-0000F7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4" authorId="0" shapeId="0" xr:uid="{00000000-0006-0000-0000-00004C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4" authorId="0" shapeId="0" xr:uid="{00000000-0006-0000-0000-000055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4" authorId="0" shapeId="0" xr:uid="{00000000-0006-0000-0000-0000F8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5" authorId="0" shapeId="0" xr:uid="{00000000-0006-0000-0000-00004D010000}">
      <text>
        <r>
          <rPr>
            <b/>
            <sz val="9"/>
            <color rgb="FF000000"/>
            <rFont val="Tahoma"/>
            <family val="2"/>
            <charset val="1"/>
          </rPr>
          <t xml:space="preserve">Parcela custeio 13/03 a 30/03/17 R$ 5.205.656,59
Diferença de folha a ser glosada R$ 2.070313,97; 
Diferença custeio novos serviços R$ 802.673,61; 
Aporte recurso financeiro residência médica R$ 180.505,33.
</t>
        </r>
      </text>
    </comment>
    <comment ref="P166" authorId="0" shapeId="0" xr:uid="{00000000-0006-0000-0000-00004E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7" authorId="0" shapeId="0" xr:uid="{00000000-0006-0000-0000-00004F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8" authorId="0" shapeId="0" xr:uid="{00000000-0006-0000-0000-000050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9" authorId="0" shapeId="0" xr:uid="{00000000-0006-0000-0000-000051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0" authorId="0" shapeId="0" xr:uid="{00000000-0006-0000-0000-000052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70" authorId="0" shapeId="0" xr:uid="{00000000-0006-0000-0000-000096090000}">
      <text>
        <r>
          <rPr>
            <b/>
            <sz val="9"/>
            <color rgb="FF000000"/>
            <rFont val="Tahoma"/>
            <family val="2"/>
            <charset val="1"/>
          </rPr>
          <t xml:space="preserve">PROC.201700010010630 - RESSARC.VERBAS RECISÓRIAS PAGAS EM 14 A 31/03/17 47.073,34, - ABR/17 43.196,02 E MAI/17 27.855,72
</t>
        </r>
      </text>
    </comment>
    <comment ref="P171" authorId="0" shapeId="0" xr:uid="{00000000-0006-0000-0000-000053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71" authorId="0" shapeId="0" xr:uid="{00000000-0006-0000-0000-000097090000}">
      <text>
        <r>
          <rPr>
            <sz val="11"/>
            <color rgb="FF000000"/>
            <rFont val="Calibri"/>
            <family val="2"/>
            <charset val="1"/>
          </rPr>
          <t xml:space="preserve">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t>
        </r>
        <r>
          <rPr>
            <sz val="9"/>
            <color rgb="FF000000"/>
            <rFont val="Tahoma"/>
            <family val="2"/>
            <charset val="1"/>
          </rPr>
          <t>* RESSARCIMENTO MATERIAL  OPME PARA TRATAMENTO CIRURGICO  POR DECISÃO JUDICIAL A PACIENTE  LAILDE ROSÁRIO LOPES  NO PERÍODO DE 26/06 A 10/07/17 NO PROCESSO Nº201700010013584 R$ 39.400,00.</t>
        </r>
      </text>
    </comment>
    <comment ref="P172" authorId="0" shapeId="0" xr:uid="{00000000-0006-0000-0000-000054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3" authorId="0" shapeId="0" xr:uid="{00000000-0006-0000-0000-000055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W173" authorId="0" shapeId="0" xr:uid="{00000000-0006-0000-0000-0000090A0000}">
      <text>
        <r>
          <rPr>
            <b/>
            <sz val="9"/>
            <color rgb="FF000000"/>
            <rFont val="Tahoma"/>
            <family val="2"/>
            <charset val="1"/>
          </rPr>
          <t xml:space="preserve">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
</t>
        </r>
      </text>
    </comment>
    <comment ref="P174" authorId="0" shapeId="0" xr:uid="{00000000-0006-0000-0000-000056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4" authorId="0" shapeId="0" xr:uid="{00000000-0006-0000-0000-0000DE050000}">
      <text>
        <r>
          <rPr>
            <b/>
            <sz val="9"/>
            <color rgb="FF000000"/>
            <rFont val="Tahoma"/>
            <family val="2"/>
            <charset val="1"/>
          </rPr>
          <t xml:space="preserve">GLOSA REF.AO FORNECIMENTO EM OUT/17 R$ 51.461,48 E NOV/17 R$ 54.823,20.
</t>
        </r>
      </text>
    </comment>
    <comment ref="P175" authorId="0" shapeId="0" xr:uid="{00000000-0006-0000-0000-000057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6" authorId="0" shapeId="0" xr:uid="{00000000-0006-0000-0000-000058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6" authorId="0" shapeId="0" xr:uid="{00000000-0006-0000-0000-0000DF050000}">
      <text>
        <r>
          <rPr>
            <b/>
            <sz val="9"/>
            <color rgb="FF000000"/>
            <rFont val="Tahoma"/>
            <family val="2"/>
            <charset val="1"/>
          </rPr>
          <t>CELG - JANEIRO/2018</t>
        </r>
      </text>
    </comment>
    <comment ref="P177" authorId="0" shapeId="0" xr:uid="{00000000-0006-0000-0000-000059010000}">
      <text>
        <r>
          <rPr>
            <b/>
            <sz val="9"/>
            <color rgb="FF000000"/>
            <rFont val="Tahoma"/>
            <family val="2"/>
            <charset val="1"/>
          </rPr>
          <t xml:space="preserve">Parcela custeio 01 a 12/03/18 R$ 3.470.437.72
Diferença de folha a ser glosada R$ 828.125,59; 
Diferença custeio novos serviços R$ 321.069,44; 
Aporte recurso financeiro residência médica R$ 72.202,13.
</t>
        </r>
      </text>
    </comment>
    <comment ref="Q177" authorId="0" shapeId="0" xr:uid="{00000000-0006-0000-0000-000093010000}">
      <text>
        <r>
          <rPr>
            <b/>
            <sz val="9"/>
            <color rgb="FF000000"/>
            <rFont val="Tahoma"/>
            <family val="2"/>
            <charset val="1"/>
          </rPr>
          <t xml:space="preserve">PARCELA 13/03 A 31/03/18
</t>
        </r>
      </text>
    </comment>
    <comment ref="AW177" authorId="0" shapeId="0" xr:uid="{00000000-0006-0000-0000-00000A0A0000}">
      <text>
        <r>
          <rPr>
            <sz val="11"/>
            <color rgb="FF000000"/>
            <rFont val="Calibri"/>
            <family val="2"/>
            <charset val="1"/>
          </rPr>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r>
        <r>
          <rPr>
            <sz val="9"/>
            <color rgb="FF000000"/>
            <rFont val="Tahoma"/>
            <family val="2"/>
            <charset val="1"/>
          </rPr>
          <t xml:space="preserve">
</t>
        </r>
      </text>
    </comment>
    <comment ref="AD178" authorId="0" shapeId="0" xr:uid="{00000000-0006-0000-0000-0000E0050000}">
      <text>
        <r>
          <rPr>
            <b/>
            <sz val="9"/>
            <color rgb="FF000000"/>
            <rFont val="Tahoma"/>
            <family val="2"/>
            <charset val="1"/>
          </rPr>
          <t>CELG - MAR/18</t>
        </r>
      </text>
    </comment>
    <comment ref="R179" authorId="0" shapeId="0" xr:uid="{00000000-0006-0000-0000-0000CD010000}">
      <text>
        <r>
          <rPr>
            <sz val="9"/>
            <color rgb="FF000000"/>
            <rFont val="Tahoma"/>
            <family val="2"/>
            <charset val="1"/>
          </rPr>
          <t xml:space="preserve">*ACRÉSCIMO AO REPASSE MENSAL R$ 297.054,14;
*APORTE DE RECURSOS FINANCEIROS P/OPERACIONALIZAÃO DO PROJETO ESPECIAL MAIS SAÚDE PARA TODOS OS GOIANOS R$ 651.595,52;
* ACRÉSCIMO APORTE RECURSO P/CUSTEIO PROGRAMA RESIDÊNCIA MÉDICA R$ 28.195,20.
</t>
        </r>
      </text>
    </comment>
    <comment ref="AD179" authorId="0" shapeId="0" xr:uid="{00000000-0006-0000-0000-0000E1050000}">
      <text>
        <r>
          <rPr>
            <b/>
            <sz val="9"/>
            <color rgb="FF000000"/>
            <rFont val="Tahoma"/>
            <family val="2"/>
            <charset val="1"/>
          </rPr>
          <t xml:space="preserve">CELG ABRIL/18
</t>
        </r>
      </text>
    </comment>
    <comment ref="AE179" authorId="0" shapeId="0" xr:uid="{00000000-0006-0000-0000-000056080000}">
      <text>
        <r>
          <rPr>
            <sz val="11"/>
            <color rgb="FF000000"/>
            <rFont val="Calibri"/>
            <family val="2"/>
            <charset val="1"/>
          </rPr>
          <t xml:space="preserve">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text>
    </comment>
    <comment ref="AU179" authorId="0" shapeId="0" xr:uid="{00000000-0006-0000-0000-000098090000}">
      <text>
        <r>
          <rPr>
            <b/>
            <sz val="9"/>
            <color rgb="FF000000"/>
            <rFont val="Tahoma"/>
            <family val="2"/>
            <charset val="1"/>
          </rPr>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r>
      </text>
    </comment>
    <comment ref="Q180" authorId="0" shapeId="0" xr:uid="{00000000-0006-0000-0000-000094010000}">
      <text>
        <r>
          <rPr>
            <b/>
            <sz val="9"/>
            <color rgb="FF000000"/>
            <rFont val="Tahoma"/>
            <family val="2"/>
            <charset val="1"/>
          </rPr>
          <t xml:space="preserve">CUSTEIO CONTRATO R$ 11.457.823,31 E CUSTEIO PROGRAMA DE RES.MÉDICA E SAÚDE R$ 271.763,91
</t>
        </r>
      </text>
    </comment>
    <comment ref="R180" authorId="0" shapeId="0" xr:uid="{00000000-0006-0000-0000-0000CE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0" authorId="0" shapeId="0" xr:uid="{00000000-0006-0000-0000-0000E2050000}">
      <text>
        <r>
          <rPr>
            <b/>
            <sz val="9"/>
            <color rgb="FF000000"/>
            <rFont val="Tahoma"/>
            <family val="2"/>
            <charset val="1"/>
          </rPr>
          <t xml:space="preserve">CELG - MAI/18
</t>
        </r>
      </text>
    </comment>
    <comment ref="AE180" authorId="0" shapeId="0" xr:uid="{00000000-0006-0000-0000-000057080000}">
      <text>
        <r>
          <rPr>
            <sz val="11"/>
            <color rgb="FF000000"/>
            <rFont val="Calibri"/>
            <family val="2"/>
            <charset val="1"/>
          </rPr>
          <t xml:space="preserve">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r>
          <rPr>
            <sz val="9"/>
            <color rgb="FF000000"/>
            <rFont val="Tahoma"/>
            <family val="2"/>
            <charset val="1"/>
          </rPr>
          <t xml:space="preserve">
</t>
        </r>
      </text>
    </comment>
    <comment ref="AU180" authorId="0" shapeId="0" xr:uid="{00000000-0006-0000-0000-000099090000}">
      <text>
        <r>
          <rPr>
            <b/>
            <sz val="9"/>
            <color rgb="FF000000"/>
            <rFont val="Tahoma"/>
            <family val="2"/>
            <charset val="1"/>
          </rPr>
          <t xml:space="preserve">ressarcimento no valor de R$ 381.975,06 acerca dos pagamentos dos encargos das rescisões trabalhistas, referentes ao mês de  JUNHO A OUTUBRO de  2017 processo: 201700010026332.
</t>
        </r>
      </text>
    </comment>
    <comment ref="R181" authorId="0" shapeId="0" xr:uid="{00000000-0006-0000-0000-0000CF010000}">
      <text>
        <r>
          <rPr>
            <b/>
            <sz val="9"/>
            <color rgb="FF000000"/>
            <rFont val="Tahoma"/>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*APOTE RESURSO FINANCEIRO INVESTIMENTO EQUIPAMENTOS/INSTRUMENTAIS PARA IMPLANTAÇÃO E IMPLEMENTAÇÃO SERVIÇO DE TRANSPLANTES DE FIGADO R$ 15.359,78;
*APORTE RECURSO FINANCEIROS REF.A INVESTIMENTO COM DESPESAS INFRAESTRUTURA PREDIAL, MOBILIÁRIOS E EQUIPAMENTOS DO CENTRO ESTADUAL DE ATENÇÃO AO DIÁBETES - CEAD. R$ 1.948.652,49
</t>
        </r>
      </text>
    </comment>
    <comment ref="AD181" authorId="0" shapeId="0" xr:uid="{00000000-0006-0000-0000-0000E3050000}">
      <text>
        <r>
          <rPr>
            <b/>
            <sz val="9"/>
            <color rgb="FF000000"/>
            <rFont val="Tahoma"/>
            <family val="2"/>
            <charset val="1"/>
          </rPr>
          <t xml:space="preserve">CELG - JUN/2018
</t>
        </r>
      </text>
    </comment>
    <comment ref="AE181" authorId="0" shapeId="0" xr:uid="{00000000-0006-0000-0000-000058080000}">
      <text>
        <r>
          <rPr>
            <b/>
            <sz val="9"/>
            <color rgb="FF000000"/>
            <rFont val="Tahoma"/>
            <family val="2"/>
            <charset val="1"/>
          </rPr>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r>
      </text>
    </comment>
    <comment ref="R182" authorId="0" shapeId="0" xr:uid="{00000000-0006-0000-0000-0000D0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E182" authorId="0" shapeId="0" xr:uid="{00000000-0006-0000-0000-000059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Q183" authorId="0" shapeId="0" xr:uid="{00000000-0006-0000-0000-000095010000}">
      <text>
        <r>
          <rPr>
            <b/>
            <sz val="9"/>
            <color rgb="FF000000"/>
            <rFont val="Tahoma"/>
            <family val="2"/>
            <charset val="1"/>
          </rPr>
          <t xml:space="preserve">CUSTEIO CONTRATO R$ 11.457.823,31 E CUSTEIO PROGRAMA DE RES.MÉDICA E SAÚDE R$ 271.763,91
</t>
        </r>
      </text>
    </comment>
    <comment ref="R183" authorId="0" shapeId="0" xr:uid="{00000000-0006-0000-0000-0000D1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3" authorId="0" shapeId="0" xr:uid="{00000000-0006-0000-0000-0000E4050000}">
      <text>
        <r>
          <rPr>
            <b/>
            <sz val="9"/>
            <color rgb="FF000000"/>
            <rFont val="Tahoma"/>
            <family val="2"/>
            <charset val="1"/>
          </rPr>
          <t xml:space="preserve">CELG - AGO/18
</t>
        </r>
      </text>
    </comment>
    <comment ref="AE183" authorId="0" shapeId="0" xr:uid="{00000000-0006-0000-0000-00005A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R184" authorId="0" shapeId="0" xr:uid="{00000000-0006-0000-0000-0000D2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4" authorId="0" shapeId="0" xr:uid="{00000000-0006-0000-0000-0000E5050000}">
      <text>
        <r>
          <rPr>
            <b/>
            <sz val="9"/>
            <color rgb="FF000000"/>
            <rFont val="Tahoma"/>
            <family val="2"/>
            <charset val="1"/>
          </rPr>
          <t xml:space="preserve">CELG - SET/18
</t>
        </r>
      </text>
    </comment>
    <comment ref="AE184" authorId="0" shapeId="0" xr:uid="{00000000-0006-0000-0000-00005B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r>
      </text>
    </comment>
    <comment ref="AF184" authorId="0" shapeId="0" xr:uid="{00000000-0006-0000-0000-0000F9080000}">
      <text>
        <r>
          <rPr>
            <sz val="9"/>
            <color rgb="FF000000"/>
            <rFont val="Tahoma"/>
            <family val="2"/>
            <charset val="1"/>
          </rPr>
          <t xml:space="preserve">
 R$ 2.100.672,78 - RCONFORME MEMORANDO Nº178/2018-SGPF/SES, COMPENSAÇÃO DE SALDO VISTO DISPONIBILIDADE DE SALDO FINANCEIRO NECESSÁRIO PARA ENCERRAMENTO  DO ANO  CONTÁBIL.
</t>
        </r>
      </text>
    </comment>
    <comment ref="Q185" authorId="0" shapeId="0" xr:uid="{00000000-0006-0000-0000-000096010000}">
      <text>
        <r>
          <rPr>
            <b/>
            <sz val="9"/>
            <color rgb="FF000000"/>
            <rFont val="Tahoma"/>
            <family val="2"/>
            <charset val="1"/>
          </rPr>
          <t xml:space="preserve">CUSTEIO CONTRATO R$ 11.457.823,31 E CUSTEIO PROGRAMA DE RES.MÉDICA E SAÚDE R$ 271.763,91
</t>
        </r>
      </text>
    </comment>
    <comment ref="R185" authorId="0" shapeId="0" xr:uid="{00000000-0006-0000-0000-0000D3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5" authorId="0" shapeId="0" xr:uid="{00000000-0006-0000-0000-00001B030000}">
      <text>
        <r>
          <rPr>
            <b/>
            <sz val="9"/>
            <color rgb="FF000000"/>
            <rFont val="Tahoma"/>
            <family val="2"/>
            <charset val="1"/>
          </rPr>
          <t xml:space="preserve">GLOSA ESTIMADA - NÃO VEIO PLANILHA GEFIC 14-12-18
</t>
        </r>
      </text>
    </comment>
    <comment ref="AD185" authorId="0" shapeId="0" xr:uid="{00000000-0006-0000-0000-0000E6050000}">
      <text>
        <r>
          <rPr>
            <b/>
            <sz val="9"/>
            <color rgb="FF000000"/>
            <rFont val="Tahoma"/>
            <family val="2"/>
            <charset val="1"/>
          </rPr>
          <t xml:space="preserve">GLOSA ESTIMADA - NÃO VEIO PLANILHA GEFIC 14-12-18
</t>
        </r>
      </text>
    </comment>
    <comment ref="AE185" authorId="0" shapeId="0" xr:uid="{00000000-0006-0000-0000-00005C080000}">
      <text>
        <r>
          <rPr>
            <b/>
            <sz val="9"/>
            <color rgb="FF000000"/>
            <rFont val="Tahoma"/>
            <family val="2"/>
            <charset val="1"/>
          </rPr>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F185" authorId="0" shapeId="0" xr:uid="{00000000-0006-0000-0000-0000FA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r>
      </text>
    </comment>
    <comment ref="AU185" authorId="0" shapeId="0" xr:uid="{00000000-0006-0000-0000-00009A090000}">
      <text>
        <r>
          <rPr>
            <b/>
            <sz val="9"/>
            <color rgb="FF000000"/>
            <rFont val="Tahoma"/>
            <family val="2"/>
            <charset val="1"/>
          </rPr>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r>
      </text>
    </comment>
    <comment ref="Q186" authorId="0" shapeId="0" xr:uid="{00000000-0006-0000-0000-000097010000}">
      <text>
        <r>
          <rPr>
            <b/>
            <sz val="9"/>
            <color rgb="FF000000"/>
            <rFont val="Tahoma"/>
            <family val="2"/>
            <charset val="1"/>
          </rPr>
          <t xml:space="preserve">CUSTEIO CONTRATO R$ 11.457.823,31 E CUSTEIO PROGRAMA DE RES.MÉDICA E SAÚDE R$ 271.763,91
</t>
        </r>
      </text>
    </comment>
    <comment ref="R186" authorId="0" shapeId="0" xr:uid="{00000000-0006-0000-0000-0000D4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6" authorId="0" shapeId="0" xr:uid="{00000000-0006-0000-0000-00001C030000}">
      <text>
        <r>
          <rPr>
            <b/>
            <sz val="9"/>
            <color rgb="FF000000"/>
            <rFont val="Tahoma"/>
            <family val="2"/>
            <charset val="1"/>
          </rPr>
          <t xml:space="preserve">GLOSA ESTIMADA - NÃO VEIO PLANILHA GEFIC 14-12-18
</t>
        </r>
      </text>
    </comment>
    <comment ref="AD186" authorId="0" shapeId="0" xr:uid="{00000000-0006-0000-0000-0000E7050000}">
      <text>
        <r>
          <rPr>
            <b/>
            <sz val="9"/>
            <color rgb="FF000000"/>
            <rFont val="Tahoma"/>
            <family val="2"/>
            <charset val="1"/>
          </rPr>
          <t xml:space="preserve">GLOSA ESTIMADA - NÃO VEIO PLANILHA GEFIC 14-12-18
</t>
        </r>
      </text>
    </comment>
    <comment ref="AE186" authorId="0" shapeId="0" xr:uid="{00000000-0006-0000-0000-00005D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O186" authorId="0" shapeId="0" xr:uid="{00000000-0006-0000-0000-00004E090000}">
      <text>
        <r>
          <rPr>
            <b/>
            <sz val="9"/>
            <color rgb="FF000000"/>
            <rFont val="Tahoma"/>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
</t>
        </r>
      </text>
    </comment>
    <comment ref="Q187" authorId="0" shapeId="0" xr:uid="{00000000-0006-0000-0000-000098010000}">
      <text>
        <r>
          <rPr>
            <b/>
            <sz val="9"/>
            <color rgb="FF000000"/>
            <rFont val="Tahoma"/>
            <family val="2"/>
            <charset val="1"/>
          </rPr>
          <t xml:space="preserve">CUSTEIO CONTRATO R$ 11.457.823,31 E CUSTEIO PROGRAMA DE RES.MÉDICA E SAÚDE R$ 271.763,91
</t>
        </r>
      </text>
    </comment>
    <comment ref="R187" authorId="0" shapeId="0" xr:uid="{00000000-0006-0000-0000-0000D5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AD187" authorId="0" shapeId="0" xr:uid="{00000000-0006-0000-0000-0000E8050000}">
      <text>
        <r>
          <rPr>
            <b/>
            <sz val="9"/>
            <color rgb="FF000000"/>
            <rFont val="Tahoma"/>
            <family val="2"/>
            <charset val="1"/>
          </rPr>
          <t xml:space="preserve">ENEL - DEZ/18
</t>
        </r>
      </text>
    </comment>
    <comment ref="AN187" authorId="0" shapeId="0" xr:uid="{00000000-0006-0000-0000-000044090000}">
      <text>
        <r>
          <rPr>
            <sz val="11"/>
            <color rgb="FF000000"/>
            <rFont val="Calibri"/>
            <family val="2"/>
            <charset val="1"/>
          </rPr>
          <t xml:space="preserve">Energia elétrica, reembolso referente a juros e multas - faturas 12 2017 e 01 2018 proc.201800010036742, lançada na planilha de previsão de repasse JAN de 2019
</t>
        </r>
      </text>
    </comment>
    <comment ref="Q188" authorId="0" shapeId="0" xr:uid="{00000000-0006-0000-0000-000099010000}">
      <text>
        <r>
          <rPr>
            <b/>
            <sz val="9"/>
            <color rgb="FF000000"/>
            <rFont val="Tahoma"/>
            <family val="2"/>
            <charset val="1"/>
          </rPr>
          <t xml:space="preserve">CUSTEIO CONTRATO R$ 11.457.823,31 E CUSTEIO PROGRAMA DE RES.MÉDICA E SAÚDE R$ 271.763,91
</t>
        </r>
      </text>
    </comment>
    <comment ref="R188" authorId="0" shapeId="0" xr:uid="{00000000-0006-0000-0000-0000D6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Q189" authorId="0" shapeId="0" xr:uid="{00000000-0006-0000-0000-00009A010000}">
      <text>
        <r>
          <rPr>
            <sz val="11"/>
            <color rgb="FF000000"/>
            <rFont val="Calibri"/>
            <family val="2"/>
            <charset val="1"/>
          </rPr>
          <t xml:space="preserve">Parcela custeio 01 a 12/03/19 R$ 3.470.437.72
Diferença de folha a ser glosada R$ 828.125,59; 
Diferença custeio novos serviços R$ 321.069,44; 
Aporte recurso financeiro residência médica R$ 72.202,13.
</t>
        </r>
        <r>
          <rPr>
            <sz val="9"/>
            <color rgb="FF000000"/>
            <rFont val="Tahoma"/>
            <family val="2"/>
            <charset val="1"/>
          </rPr>
          <t xml:space="preserve">.
</t>
        </r>
      </text>
    </comment>
    <comment ref="R189" authorId="0" shapeId="0" xr:uid="{00000000-0006-0000-0000-0000D7010000}">
      <text>
        <r>
          <rPr>
            <b/>
            <sz val="9"/>
            <color rgb="FF000000"/>
            <rFont val="Tahoma"/>
            <family val="2"/>
            <charset val="1"/>
          </rPr>
          <t xml:space="preserve">*ACRÉSCIMO AO REPASSE MENSAL R$ 118.821,66;
*APORTE RECURSO FINANCEIRO CUSTEIO CENTRO ESTADUAL ATENÇÃO AO DIABETES - CEAD. R$ 197.320,42;
* ACRÉSCIMO APORTE RECURSO P/CUSTEIO PROGRAMA RESIDÊNCIA MÉDICA R$ 11.278,08.
</t>
        </r>
      </text>
    </comment>
    <comment ref="S189" authorId="0" shapeId="0" xr:uid="{00000000-0006-0000-0000-0000E8010000}">
      <text>
        <r>
          <rPr>
            <sz val="11"/>
            <color rgb="FF000000"/>
            <rFont val="Calibri"/>
            <family val="2"/>
            <charset val="1"/>
          </rPr>
          <t xml:space="preserve">R$ 5.466,355,69 CUSTEIO - 10º T.A.
R$ 179.975,47 RES.MÉDICA
</t>
        </r>
        <r>
          <rPr>
            <sz val="9"/>
            <color rgb="FF000000"/>
            <rFont val="Tahoma"/>
            <family val="2"/>
            <charset val="1"/>
          </rPr>
          <t>A PARTIR DE 13/03/19</t>
        </r>
      </text>
    </comment>
    <comment ref="AA189" authorId="0" shapeId="0" xr:uid="{00000000-0006-0000-0000-00001D030000}">
      <text>
        <r>
          <rPr>
            <sz val="11"/>
            <color rgb="FF000000"/>
            <rFont val="Calibri"/>
            <family val="2"/>
            <charset val="1"/>
          </rPr>
          <t xml:space="preserve">GLOSA FOLHA DE PESSOAL:
R$ 1.454.458,30 GLOSA FOLHA FEV/19VALOR ESTIMADO PREVISTO CONTRATO GESTÃO. 
</t>
        </r>
        <r>
          <rPr>
            <sz val="9"/>
            <color rgb="FF000000"/>
            <rFont val="Tahoma"/>
            <family val="2"/>
            <charset val="1"/>
          </rPr>
          <t xml:space="preserve">.
R$ 2.183.289,07 -GLOSA FOLHA FEV/19VALOR ESTIMADO PREVISTO CONTRATO GESTÃO (10º T.A PERÍDODO 13/03 A 31/03/19. </t>
        </r>
      </text>
    </comment>
    <comment ref="AB189" authorId="0" shapeId="0" xr:uid="{00000000-0006-0000-0000-000083040000}">
      <text>
        <r>
          <rPr>
            <sz val="11"/>
            <color rgb="FF000000"/>
            <rFont val="Calibri"/>
            <family val="2"/>
            <charset val="1"/>
          </rPr>
          <t xml:space="preserve">R$ 2.669,38 DIFERENÇA GLOSA DE FOLHA JAN/19 LANÇADA NA PLANILHA DE PREVISÃO DE PAGAMENTO FEV/19 DA GEFIC (O PAGAMENTO PASSOU A SER REALIZADO DENTRO DO MÊS DE REFERÊNCIA POR ISSO FOI LANÇADA GLOSA ESTIMADA PREVISTA NO CONTRATO DE GESTÃO)
</t>
        </r>
        <r>
          <rPr>
            <sz val="9"/>
            <color rgb="FF000000"/>
            <rFont val="Tahoma"/>
            <family val="2"/>
            <charset val="1"/>
          </rPr>
          <t xml:space="preserve">
</t>
        </r>
      </text>
    </comment>
    <comment ref="AC189" authorId="0" shapeId="0" xr:uid="{00000000-0006-0000-0000-0000D5040000}">
      <text>
        <r>
          <rPr>
            <b/>
            <sz val="9"/>
            <color rgb="FF000000"/>
            <rFont val="Tahoma"/>
            <family val="2"/>
            <charset val="1"/>
          </rPr>
          <t xml:space="preserve">TELEFONIA FIXA -REFERÊNCIA MAR/19 - LANÇADO PLANILHA GEFIC EM MAR/19
</t>
        </r>
      </text>
    </comment>
    <comment ref="AD189" authorId="0" shapeId="0" xr:uid="{00000000-0006-0000-0000-0000E9050000}">
      <text>
        <r>
          <rPr>
            <b/>
            <sz val="9"/>
            <color rgb="FF000000"/>
            <rFont val="Tahoma"/>
            <family val="2"/>
            <charset val="1"/>
          </rPr>
          <t xml:space="preserve">REFERÊNCIA JAN/19 - LANÇADO PLANILHA GEFIC EM FEV/19
</t>
        </r>
      </text>
    </comment>
    <comment ref="AA190" authorId="0" shapeId="0" xr:uid="{00000000-0006-0000-0000-00001E030000}">
      <text>
        <r>
          <rPr>
            <b/>
            <sz val="9"/>
            <color rgb="FF000000"/>
            <rFont val="Tahoma"/>
            <family val="2"/>
            <charset val="1"/>
          </rPr>
          <t xml:space="preserve">VALOR ESTIMADO PREVISTO CONTRATO GESTÃO
</t>
        </r>
      </text>
    </comment>
    <comment ref="AC190" authorId="0" shapeId="0" xr:uid="{00000000-0006-0000-0000-0000D6040000}">
      <text>
        <r>
          <rPr>
            <b/>
            <sz val="9"/>
            <color rgb="FF000000"/>
            <rFont val="Tahoma"/>
            <family val="2"/>
            <charset val="1"/>
          </rPr>
          <t xml:space="preserve">TELEFONIA FIXA -REFERÊNCIA MAR/19 - LANÇADO PLANILHA GEFIC EM MAR/19
</t>
        </r>
      </text>
    </comment>
    <comment ref="AD190" authorId="0" shapeId="0" xr:uid="{00000000-0006-0000-0000-0000EA050000}">
      <text>
        <r>
          <rPr>
            <b/>
            <sz val="9"/>
            <color rgb="FF000000"/>
            <rFont val="Tahoma"/>
            <family val="2"/>
            <charset val="1"/>
          </rPr>
          <t xml:space="preserve">REFERÊNCIA FEV/19 - LANÇADO PLANILHA GEFIC EM MAR19
</t>
        </r>
      </text>
    </comment>
    <comment ref="AO190" authorId="0" shapeId="0" xr:uid="{00000000-0006-0000-0000-00004F090000}">
      <text>
        <r>
          <rPr>
            <b/>
            <sz val="9"/>
            <color rgb="FF000000"/>
            <rFont val="Tahoma"/>
            <family val="2"/>
            <charset val="1"/>
          </rPr>
          <t xml:space="preserve">R$ 123.045,14 DIFERENÇA GLOSA DE FOLHA MAR/19 LANÇADA NA PLANILHA DE PREVISÃO DE PAGAMENTO ABR/19 DA GEFIC (O PAGAMENTO PASSOU A SER REALIZADO DENTRO DO MÊS DE REFERÊNCIA POR ISSO FOI LANÇADA GLOSA ESTIMADA PREVISTA NO CONTRATO DE GESTÃO)
</t>
        </r>
      </text>
    </comment>
    <comment ref="AU190" authorId="0" shapeId="0" xr:uid="{00000000-0006-0000-0000-00009B090000}">
      <text>
        <r>
          <rPr>
            <b/>
            <sz val="9"/>
            <color rgb="FF000000"/>
            <rFont val="Tahoma"/>
            <family val="2"/>
            <charset val="1"/>
          </rPr>
          <t xml:space="preserve">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
</t>
        </r>
      </text>
    </comment>
    <comment ref="AA191" authorId="0" shapeId="0" xr:uid="{00000000-0006-0000-0000-00001F030000}">
      <text>
        <r>
          <rPr>
            <b/>
            <sz val="9"/>
            <color rgb="FF000000"/>
            <rFont val="Tahoma"/>
            <family val="2"/>
            <charset val="1"/>
          </rPr>
          <t xml:space="preserve">VALOR ESTIMADO PREVISTO CONTRATO GESTÃO
</t>
        </r>
      </text>
    </comment>
    <comment ref="AD191" authorId="0" shapeId="0" xr:uid="{00000000-0006-0000-0000-0000EB050000}">
      <text>
        <r>
          <rPr>
            <b/>
            <sz val="9"/>
            <color rgb="FF000000"/>
            <rFont val="Tahoma"/>
            <family val="2"/>
            <charset val="1"/>
          </rPr>
          <t xml:space="preserve">REFERÊNCIA MAR/19 - LANÇADO PLANILHA GEFIC EM ABR/19
</t>
        </r>
      </text>
    </comment>
    <comment ref="AA192" authorId="0" shapeId="0" xr:uid="{00000000-0006-0000-0000-000020030000}">
      <text>
        <r>
          <rPr>
            <b/>
            <sz val="9"/>
            <color rgb="FF000000"/>
            <rFont val="Tahoma"/>
            <family val="2"/>
            <charset val="1"/>
          </rPr>
          <t xml:space="preserve">VALOR ESTIMADO PREVISTO CONTRATO GESTÃO
</t>
        </r>
      </text>
    </comment>
    <comment ref="AD192" authorId="0" shapeId="0" xr:uid="{00000000-0006-0000-0000-0000EC050000}">
      <text>
        <r>
          <rPr>
            <b/>
            <sz val="9"/>
            <color rgb="FF000000"/>
            <rFont val="Tahoma"/>
            <family val="2"/>
            <charset val="1"/>
          </rPr>
          <t xml:space="preserve">REFERÊNCIA ABR/19 - LANÇADO PLANILHA GEFIC EM MAI/19
</t>
        </r>
      </text>
    </comment>
    <comment ref="AA193" authorId="0" shapeId="0" xr:uid="{00000000-0006-0000-0000-000021030000}">
      <text>
        <r>
          <rPr>
            <b/>
            <sz val="9"/>
            <color rgb="FF000000"/>
            <rFont val="Tahoma"/>
            <family val="2"/>
            <charset val="1"/>
          </rPr>
          <t xml:space="preserve">VALOR ESTIMADO PREVISTO CONTRATO GESTÃO
</t>
        </r>
      </text>
    </comment>
    <comment ref="AD193" authorId="0" shapeId="0" xr:uid="{00000000-0006-0000-0000-0000ED050000}">
      <text>
        <r>
          <rPr>
            <b/>
            <sz val="9"/>
            <color rgb="FF000000"/>
            <rFont val="Tahoma"/>
            <family val="2"/>
            <charset val="1"/>
          </rPr>
          <t>REFERÊNCIA MAI/19 - LANÇADO PLANILHA PAGAMENTO GEFIC EM JUN/19</t>
        </r>
      </text>
    </comment>
    <comment ref="AO193" authorId="0" shapeId="0" xr:uid="{00000000-0006-0000-0000-000050090000}">
      <text>
        <r>
          <rPr>
            <sz val="11"/>
            <color rgb="FF000000"/>
            <rFont val="Calibri"/>
            <family val="2"/>
            <charset val="1"/>
          </rPr>
          <t xml:space="preserve">R$ 217.458,15 DIFERENÇA GLOSA DE FOLHA JUN/19 LANÇADA NA PLANILHA DE PREVISÃO DE PAGAMENTO JUL/19 DA GEFIC (O PAGAMENTO PASSOU A SER REALIZADO DENTRO DO MÊS DE REFERÊNCIA POR ISSO FOI LANÇADA GLOSA ESTIMADA PREVISTA NO CONTRATO DE GESTÃO)
</t>
        </r>
      </text>
    </comment>
    <comment ref="AU193" authorId="0" shapeId="0" xr:uid="{00000000-0006-0000-0000-00009C090000}">
      <text>
        <r>
          <rPr>
            <sz val="11"/>
            <color rgb="FF000000"/>
            <rFont val="Calibri"/>
            <family val="2"/>
            <charset val="1"/>
          </rPr>
          <t xml:space="preserve">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
</t>
        </r>
      </text>
    </comment>
    <comment ref="AA194" authorId="0" shapeId="0" xr:uid="{00000000-0006-0000-0000-000022030000}">
      <text>
        <r>
          <rPr>
            <b/>
            <sz val="9"/>
            <color rgb="FF000000"/>
            <rFont val="Tahoma"/>
            <family val="2"/>
            <charset val="1"/>
          </rPr>
          <t xml:space="preserve">VALOR ESTIMADO PREVISTO CONTRATO GESTÃO
</t>
        </r>
      </text>
    </comment>
    <comment ref="AD194" authorId="0" shapeId="0" xr:uid="{00000000-0006-0000-0000-0000EE050000}">
      <text>
        <r>
          <rPr>
            <sz val="11"/>
            <color rgb="FF000000"/>
            <rFont val="Calibri"/>
            <family val="2"/>
            <charset val="1"/>
          </rPr>
          <t xml:space="preserve">ENERGIA - REFERÊNCIA JUN/19 - LANÇADO PLANILHA PAGAMENTO GEFIC EM JUL/19
</t>
        </r>
      </text>
    </comment>
    <comment ref="AO194" authorId="0" shapeId="0" xr:uid="{00000000-0006-0000-0000-000051090000}">
      <text>
        <r>
          <rPr>
            <sz val="11"/>
            <color rgb="FF000000"/>
            <rFont val="Calibri"/>
            <family val="2"/>
            <charset val="1"/>
          </rPr>
          <t xml:space="preserve">DIFERENÇA GLOSA DE FOLHA JUL/19 LANÇADA NA PLANILHA DE PREVISÃO DE PAGAMENTO AGO/19 DA GEFIC (O PAGAMENTO PASSOU A SER REALIZADO DENTRO DO MÊS DE REFERÊNCIA POR ISSO FOI LANÇADA GLOSA ESTIMADA PREVISTA NO CONTRATO DE GESTÃO)
</t>
        </r>
      </text>
    </comment>
    <comment ref="AU194" authorId="0" shapeId="0" xr:uid="{00000000-0006-0000-0000-00009D090000}">
      <text>
        <r>
          <rPr>
            <b/>
            <sz val="9"/>
            <color rgb="FF000000"/>
            <rFont val="Tahoma"/>
            <family val="2"/>
            <charset val="1"/>
          </rPr>
          <t xml:space="preserve">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
</t>
        </r>
      </text>
    </comment>
    <comment ref="AA195" authorId="0" shapeId="0" xr:uid="{00000000-0006-0000-0000-000023030000}">
      <text>
        <r>
          <rPr>
            <b/>
            <sz val="9"/>
            <color rgb="FF000000"/>
            <rFont val="Tahoma"/>
            <family val="2"/>
            <charset val="1"/>
          </rPr>
          <t xml:space="preserve">VALOR ESTIMADO PREVISTO CONTRATO GESTÃO
</t>
        </r>
      </text>
    </comment>
    <comment ref="AD195" authorId="0" shapeId="0" xr:uid="{00000000-0006-0000-0000-0000EF050000}">
      <text>
        <r>
          <rPr>
            <sz val="11"/>
            <color rgb="FF000000"/>
            <rFont val="Calibri"/>
            <family val="2"/>
            <charset val="1"/>
          </rPr>
          <t xml:space="preserve">ENERGIA - 
R$ 117.978,73 REFERÊNCIA JUL/19 - LANÇADO PLANILHA PAGAMENTO GEFIC EM AGO/19;
.
R$ 131.601,17 REFERÊNCIA AGO/19 - LANÇADO PLANILHA PAGAMENTO GEFIC EM SET/19.
</t>
        </r>
        <r>
          <rPr>
            <sz val="9"/>
            <color rgb="FF000000"/>
            <rFont val="Tahoma"/>
            <family val="2"/>
            <charset val="1"/>
          </rPr>
          <t xml:space="preserve">
</t>
        </r>
      </text>
    </comment>
    <comment ref="AA196" authorId="0" shapeId="0" xr:uid="{00000000-0006-0000-0000-000024030000}">
      <text>
        <r>
          <rPr>
            <b/>
            <sz val="9"/>
            <color rgb="FF000000"/>
            <rFont val="Tahoma"/>
            <family val="2"/>
            <charset val="1"/>
          </rPr>
          <t xml:space="preserve">VALOR ESTIMADO PREVISTO CONTRATO GESTÃO
</t>
        </r>
      </text>
    </comment>
    <comment ref="AO196" authorId="0" shapeId="0" xr:uid="{00000000-0006-0000-0000-000052090000}">
      <text>
        <r>
          <rPr>
            <sz val="11"/>
            <color rgb="FF000000"/>
            <rFont val="Calibri"/>
            <family val="2"/>
            <charset val="1"/>
          </rPr>
          <t xml:space="preserve">
.
R$ 6.029,02 AJUSTE DIFERENÇA FOLHA , REFERÊNCIA AGO/19 - LANÇADO PLANILHA PAGAMENTO GEFIC EM OUT/19, CONF.MEMO 409/19 - PROC.201900010033219
</t>
        </r>
      </text>
    </comment>
    <comment ref="AU196" authorId="0" shapeId="0" xr:uid="{00000000-0006-0000-0000-00009E090000}">
      <text>
        <r>
          <rPr>
            <b/>
            <sz val="9"/>
            <color rgb="FF000000"/>
            <rFont val="Tahoma"/>
            <family val="2"/>
            <charset val="1"/>
          </rPr>
          <t>R$ 140.991,60 RESSARCIMENTO DE VALORES PAGOS AOS PROFISSIONAIS DO HOSPITAL ESTADUAL GERAL DE GOIÂNIA DR. ALBERTO RASSI - HGG, REFERENTE AO MÊS DE AGOSTO DE 2018, PROC.201900010038391.
.
R$ 12.864,08 PROCESSO 201800010032637 - RESSARCIMENTO DE VALORES COM ENCARGOS DE RESCISÕES TRABALHISTAS DO HGG, MÊS 07/2018.</t>
        </r>
      </text>
    </comment>
    <comment ref="AA197" authorId="0" shapeId="0" xr:uid="{00000000-0006-0000-0000-000025030000}">
      <text>
        <r>
          <rPr>
            <b/>
            <sz val="9"/>
            <color rgb="FF000000"/>
            <rFont val="Tahoma"/>
            <family val="2"/>
            <charset val="1"/>
          </rPr>
          <t xml:space="preserve">VALOR ESTIMADO PREVISTO CONTRATO GESTÃO
</t>
        </r>
      </text>
    </comment>
    <comment ref="AD197" authorId="0" shapeId="0" xr:uid="{00000000-0006-0000-0000-0000F0050000}">
      <text>
        <r>
          <rPr>
            <sz val="11"/>
            <color rgb="FF000000"/>
            <rFont val="Calibri"/>
            <family val="2"/>
            <charset val="1"/>
          </rPr>
          <t xml:space="preserve">ENERGIA - REFERÊNCIA SET/19 - LANÇADO PLANILHA PAGAMENTO GEFIC EM OUT/19
</t>
        </r>
      </text>
    </comment>
    <comment ref="AO197" authorId="0" shapeId="0" xr:uid="{00000000-0006-0000-0000-000053090000}">
      <text>
        <r>
          <rPr>
            <sz val="11"/>
            <color rgb="FF000000"/>
            <rFont val="Calibri"/>
            <family val="2"/>
            <charset val="1"/>
          </rPr>
          <t xml:space="preserve">R$ 56.236,09 DIFERENÇA GLOSA DE FOLHA OUT/19 LANÇADA NA PLANILHA DE PREVISÃO DE PAGAMENTO NOV/19 DA GEFIC (O PAGAMENTO PASSOU A SER REALIZADO DENTRO DO MÊS DE REFERÊNCIA POR ISSO FOI LANÇADA GLOSA ESTIMADA PREVISTA NO CONTRATO DE GESTÃO).
</t>
        </r>
      </text>
    </comment>
    <comment ref="AU197" authorId="0" shapeId="0" xr:uid="{00000000-0006-0000-0000-00009F090000}">
      <text>
        <r>
          <rPr>
            <sz val="11"/>
            <color rgb="FF000000"/>
            <rFont val="Calibri"/>
            <family val="2"/>
            <charset val="1"/>
          </rPr>
          <t xml:space="preserve">RESSARCIMENTO DE VALORES DESPENDIDOS PARA A REALIZAÇÃO DE TRANSPLANTES DE RIM E FÍGADO NO HOSPITAL ESTADUAL GERAL DE GOIÂNIA DR. ALBERTO RASSI (HGG), REF. AO PERÍODO DE 01/08/2019 À 30/09/2019. PROCESSO SEI Nº201900010038188
</t>
        </r>
      </text>
    </comment>
    <comment ref="AA198" authorId="0" shapeId="0" xr:uid="{00000000-0006-0000-0000-000026030000}">
      <text>
        <r>
          <rPr>
            <b/>
            <sz val="9"/>
            <color rgb="FF000000"/>
            <rFont val="Tahoma"/>
            <family val="2"/>
            <charset val="1"/>
          </rPr>
          <t xml:space="preserve">VALOR ESTIMADO PREVISTO CONTRATO GESTÃO
</t>
        </r>
      </text>
    </comment>
    <comment ref="AD198" authorId="0" shapeId="0" xr:uid="{00000000-0006-0000-0000-0000F1050000}">
      <text>
        <r>
          <rPr>
            <b/>
            <sz val="9"/>
            <color rgb="FF000000"/>
            <rFont val="Tahoma"/>
            <family val="2"/>
            <charset val="1"/>
          </rPr>
          <t xml:space="preserve">
R$ 154.699,81 - ENERGIA - REFERÊNCIA SET/19 - LANÇADO PLANILHA PAGAMENTO GEFIC EM OUT/19.
.
R$ 141.675,98 - ENERGIA - REFERÊNCIA NOV/19 - LANÇADO PLANILHA PAGAMENTO GEFIC EM DEZ/19</t>
        </r>
      </text>
    </comment>
    <comment ref="AO198" authorId="0" shapeId="0" xr:uid="{00000000-0006-0000-0000-000054090000}">
      <text>
        <r>
          <rPr>
            <sz val="11"/>
            <color rgb="FF000000"/>
            <rFont val="Calibri"/>
            <family val="2"/>
            <charset val="1"/>
          </rPr>
          <t xml:space="preserve">R$ 378.328,98 DIFERENÇA GLOSA DE FOLHANOV/19 LANÇADA NA PLANILHA DE PREVISÃO DE PAGAMENTO DEZ/19 DA GEFIC (O PAGAMENTO PASSOU A SER REALIZADO DENTRO DO MÊS DE REFERÊNCIA POR ISSO FOI LANÇADA GLOSA ESTIMADA PREVISTA NO CONTRATO DE GESTÃO)
.
R$ 770.690,36 - ressarcimento de valores glosados da equipe de médicos transplantadores lotada no Hospital Estadual Geral de Goiânia Dr. Alberto Rassi (HGG),  referentes ao período de 13/03/2019 à 30/09/2019, Processo nº 201900010040989.
</t>
        </r>
      </text>
    </comment>
    <comment ref="AU198" authorId="0" shapeId="0" xr:uid="{00000000-0006-0000-0000-0000A0090000}">
      <text>
        <r>
          <rPr>
            <sz val="11"/>
            <color rgb="FF000000"/>
            <rFont val="Calibri"/>
            <family val="2"/>
            <charset val="1"/>
          </rPr>
          <t xml:space="preserve">R$ 754.320,80-Processo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r>
        <r>
          <rPr>
            <sz val="9"/>
            <color rgb="FF000000"/>
            <rFont val="Tahoma"/>
            <family val="2"/>
            <charset val="1"/>
          </rPr>
          <t xml:space="preserve">
</t>
        </r>
      </text>
    </comment>
    <comment ref="AA199" authorId="0" shapeId="0" xr:uid="{00000000-0006-0000-0000-000027030000}">
      <text>
        <r>
          <rPr>
            <b/>
            <sz val="9"/>
            <color rgb="FF000000"/>
            <rFont val="Tahoma"/>
            <family val="2"/>
            <charset val="1"/>
          </rPr>
          <t xml:space="preserve">VALOR ESTIMADO PREVISTO CONTRATO GESTÃO
</t>
        </r>
      </text>
    </comment>
    <comment ref="AD199" authorId="0" shapeId="0" xr:uid="{00000000-0006-0000-0000-0000F2050000}">
      <text>
        <r>
          <rPr>
            <sz val="11"/>
            <color rgb="FF000000"/>
            <rFont val="Calibri"/>
            <family val="2"/>
            <charset val="1"/>
          </rPr>
          <t xml:space="preserve">ENERGIA - REFERÊNCIA DEZ/19 - LANÇADO PLANILHA PAGAMENTO GEFIC EM JAN/20
</t>
        </r>
      </text>
    </comment>
    <comment ref="U200" authorId="0" shapeId="0" xr:uid="{00000000-0006-0000-0000-00000E020000}">
      <text>
        <r>
          <rPr>
            <sz val="11"/>
            <color rgb="FF000000"/>
            <rFont val="Calibri"/>
            <family val="2"/>
            <charset val="1"/>
          </rPr>
          <t xml:space="preserve">SERVIÇOS DE IMAGINOLIGIA
</t>
        </r>
      </text>
    </comment>
    <comment ref="AA200" authorId="0" shapeId="0" xr:uid="{00000000-0006-0000-0000-000028030000}">
      <text>
        <r>
          <rPr>
            <b/>
            <sz val="9"/>
            <color rgb="FF000000"/>
            <rFont val="Tahoma"/>
            <family val="2"/>
            <charset val="1"/>
          </rPr>
          <t xml:space="preserve">VALOR ESTIMADO PREVISTO CONTRATO GESTÃO
</t>
        </r>
      </text>
    </comment>
    <comment ref="AD200" authorId="0" shapeId="0" xr:uid="{00000000-0006-0000-0000-0000F3050000}">
      <text>
        <r>
          <rPr>
            <sz val="11"/>
            <color rgb="FF000000"/>
            <rFont val="Calibri"/>
            <family val="2"/>
            <charset val="1"/>
          </rPr>
          <t xml:space="preserve">ENERGIA - REFERÊNCIA JAN/20 - LANÇADO PLANILHA PAGAMENTO GEFIC EM FEV/20
</t>
        </r>
      </text>
    </comment>
    <comment ref="AO200" authorId="0" shapeId="0" xr:uid="{00000000-0006-0000-0000-000055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200" authorId="0" shapeId="0" xr:uid="{00000000-0006-0000-0000-0000A1090000}">
      <text>
        <r>
          <rPr>
            <sz val="11"/>
            <color rgb="FF000000"/>
            <rFont val="Calibri"/>
            <family val="2"/>
            <charset val="1"/>
          </rPr>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r>
        <r>
          <rPr>
            <sz val="9"/>
            <color rgb="FF000000"/>
            <rFont val="Tahoma"/>
            <family val="2"/>
            <charset val="1"/>
          </rPr>
          <t xml:space="preserve">
</t>
        </r>
      </text>
    </comment>
    <comment ref="S201" authorId="0" shapeId="0" xr:uid="{00000000-0006-0000-0000-0000E9010000}">
      <text>
        <r>
          <rPr>
            <b/>
            <sz val="9"/>
            <color rgb="FF000000"/>
            <rFont val="Tahoma"/>
            <family val="2"/>
            <charset val="1"/>
          </rPr>
          <t xml:space="preserve">Até 12/03/2020
</t>
        </r>
      </text>
    </comment>
    <comment ref="U201" authorId="0" shapeId="0" xr:uid="{00000000-0006-0000-0000-00000F020000}">
      <text>
        <r>
          <rPr>
            <sz val="11"/>
            <color rgb="FF000000"/>
            <rFont val="Calibri"/>
            <family val="2"/>
            <charset val="1"/>
          </rPr>
          <t xml:space="preserve">SERVIÇOS DE IMAGINOLIGIA
</t>
        </r>
        <r>
          <rPr>
            <sz val="9"/>
            <color rgb="FF000000"/>
            <rFont val="Segoe UI"/>
            <family val="2"/>
            <charset val="1"/>
          </rPr>
          <t xml:space="preserve">
</t>
        </r>
      </text>
    </comment>
    <comment ref="V201" authorId="0" shapeId="0" xr:uid="{00000000-0006-0000-0000-00001D020000}">
      <text>
        <r>
          <rPr>
            <sz val="11"/>
            <color rgb="FF000000"/>
            <rFont val="Calibri"/>
            <family val="2"/>
            <charset val="1"/>
          </rPr>
          <t xml:space="preserve">a partir 13/03/20 a 12/03/21
</t>
        </r>
        <r>
          <rPr>
            <sz val="9"/>
            <color rgb="FF000000"/>
            <rFont val="Segoe UI"/>
            <family val="2"/>
            <charset val="1"/>
          </rPr>
          <t>.
CUSTEIO....................R$ 7.363.170,31
RES.MED....................R$ 207.662,79</t>
        </r>
      </text>
    </comment>
    <comment ref="Y201" authorId="0" shapeId="0" xr:uid="{00000000-0006-0000-0000-00002F020000}">
      <text>
        <r>
          <rPr>
            <b/>
            <sz val="9"/>
            <color rgb="FF000000"/>
            <rFont val="Tahoma"/>
            <family val="2"/>
            <charset val="1"/>
          </rPr>
          <t>ATÉ 12/03/20</t>
        </r>
      </text>
    </comment>
    <comment ref="AA201" authorId="0" shapeId="0" xr:uid="{00000000-0006-0000-0000-000029030000}">
      <text>
        <r>
          <rPr>
            <b/>
            <sz val="9"/>
            <color rgb="FF000000"/>
            <rFont val="Tahoma"/>
            <family val="2"/>
            <charset val="1"/>
          </rPr>
          <t>VALOR ESTIMADO PREVISTO CONTRATO GESTÃO
(12 DIAS)</t>
        </r>
      </text>
    </comment>
    <comment ref="AD201" authorId="0" shapeId="0" xr:uid="{00000000-0006-0000-0000-0000F4050000}">
      <text>
        <r>
          <rPr>
            <sz val="11"/>
            <color rgb="FF000000"/>
            <rFont val="Calibri"/>
            <family val="2"/>
            <charset val="1"/>
          </rPr>
          <t xml:space="preserve">ENERGIA - REFERÊNCIA FEV20 - LANÇADO PLANILHA PAGAMENTO GEFIC EM MAR/20
</t>
        </r>
      </text>
    </comment>
    <comment ref="AU201" authorId="0" shapeId="0" xr:uid="{00000000-0006-0000-0000-0000A2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2" authorId="0" shapeId="0" xr:uid="{00000000-0006-0000-0000-00001E020000}">
      <text>
        <r>
          <rPr>
            <sz val="11"/>
            <color rgb="FF000000"/>
            <rFont val="Calibri"/>
            <family val="2"/>
            <charset val="1"/>
          </rPr>
          <t xml:space="preserve">
CUSTEIO....................R$ 12.271.950,52
RES.MED....................R$346.104,65
</t>
        </r>
      </text>
    </comment>
    <comment ref="AD202" authorId="0" shapeId="0" xr:uid="{00000000-0006-0000-0000-0000F5050000}">
      <text>
        <r>
          <rPr>
            <sz val="11"/>
            <color rgb="FF000000"/>
            <rFont val="Calibri"/>
            <family val="2"/>
            <charset val="1"/>
          </rPr>
          <t xml:space="preserve">ENERGIA - REFERÊNCIA MAR/20 - LANÇADO PLANILHA PAGAMENTO GEFIC EM ABR/20
</t>
        </r>
      </text>
    </comment>
    <comment ref="AU202" authorId="0" shapeId="0" xr:uid="{00000000-0006-0000-0000-0000A3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3" authorId="0" shapeId="0" xr:uid="{00000000-0006-0000-0000-00001F020000}">
      <text>
        <r>
          <rPr>
            <sz val="11"/>
            <color rgb="FF000000"/>
            <rFont val="Calibri"/>
            <family val="2"/>
            <charset val="1"/>
          </rPr>
          <t xml:space="preserve">
CUSTEIO....................R$ 12.271.950,52
RES.MED....................R$346.104,65
</t>
        </r>
      </text>
    </comment>
    <comment ref="Z203" authorId="0" shapeId="0" xr:uid="{00000000-0006-0000-0000-000041020000}">
      <text>
        <r>
          <rPr>
            <sz val="11"/>
            <color rgb="FF000000"/>
            <rFont val="Calibri"/>
            <family val="2"/>
            <charset val="1"/>
          </rPr>
          <t xml:space="preserve">R$ 3.443.532,77 - GLOSA DE FOLHA ABR/20 LANÇADA NA PLANILHA DE PREVISÃO DE PAGAMENTO MAI/20 DA GEFIC
</t>
        </r>
        <r>
          <rPr>
            <sz val="9"/>
            <color rgb="FF000000"/>
            <rFont val="Segoe UI"/>
            <family val="2"/>
            <charset val="1"/>
          </rPr>
          <t>.
R$ 44.518,56 - FOLHA IMAGINOLOGIA</t>
        </r>
      </text>
    </comment>
    <comment ref="AD203" authorId="0" shapeId="0" xr:uid="{00000000-0006-0000-0000-0000F6050000}">
      <text>
        <r>
          <rPr>
            <sz val="11"/>
            <color rgb="FF000000"/>
            <rFont val="Calibri"/>
            <family val="2"/>
            <charset val="1"/>
          </rPr>
          <t xml:space="preserve">ENERGIA - REFERÊNCIA ABR/20 - LANÇADO PLANILHA PAGAMENTO GEFIC EM MAI/20
</t>
        </r>
      </text>
    </comment>
    <comment ref="AU203" authorId="0" shapeId="0" xr:uid="{00000000-0006-0000-0000-0000A4090000}">
      <text>
        <r>
          <rPr>
            <b/>
            <sz val="9"/>
            <color rgb="FF000000"/>
            <rFont val="Segoe UI"/>
            <family val="2"/>
            <charset val="1"/>
          </rPr>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3" authorId="0" shapeId="0" xr:uid="{00000000-0006-0000-0000-00000B0A0000}">
      <text>
        <r>
          <rPr>
            <b/>
            <sz val="9"/>
            <color rgb="FF000000"/>
            <rFont val="Segoe UI"/>
            <family val="2"/>
            <charset val="1"/>
          </rPr>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
.
R$ 20.387,80 valor referente ao investimento acima, devolvido pela OS, conf.DARE Número do DARE: 12100000027401254 - e guia de recolhimento 2020.2850.055.00022.001.01 Devolução do valor de R$ 20.387,80 (vinte mil, trezentos e oitenta e sete reais e oitenta centavos) resultante da diferença entre o valor que foi repassado pela SES (000013012543) à título de investimento e o valor efetivamente empregado na aquisição dos microcomputadores, processo: 20200001002487.
</t>
        </r>
      </text>
    </comment>
    <comment ref="V204" authorId="0" shapeId="0" xr:uid="{00000000-0006-0000-0000-000020020000}">
      <text>
        <r>
          <rPr>
            <sz val="11"/>
            <color rgb="FF000000"/>
            <rFont val="Calibri"/>
            <family val="2"/>
            <charset val="1"/>
          </rPr>
          <t xml:space="preserve">
CUSTEIO....................R$ 12.271.950,52
RES.MED....................R$346.104,65
</t>
        </r>
      </text>
    </comment>
    <comment ref="AA204" authorId="0" shapeId="0" xr:uid="{00000000-0006-0000-0000-00002A030000}">
      <text>
        <r>
          <rPr>
            <sz val="11"/>
            <color rgb="FF000000"/>
            <rFont val="Calibri"/>
            <family val="2"/>
            <charset val="1"/>
          </rPr>
          <t xml:space="preserve">ESTIMADO
</t>
        </r>
      </text>
    </comment>
    <comment ref="AD204" authorId="0" shapeId="0" xr:uid="{00000000-0006-0000-0000-0000F7050000}">
      <text>
        <r>
          <rPr>
            <sz val="11"/>
            <color rgb="FF000000"/>
            <rFont val="Calibri"/>
            <family val="2"/>
            <charset val="1"/>
          </rPr>
          <t xml:space="preserve">ENERGIA - REFERÊNCIA MAI/20 - LANÇADO PLANILHA PAGAMENTO GEFIC EM JUN/20
</t>
        </r>
      </text>
    </comment>
    <comment ref="AU204" authorId="0" shapeId="0" xr:uid="{00000000-0006-0000-0000-0000A5090000}">
      <text>
        <r>
          <rPr>
            <sz val="11"/>
            <color rgb="FF000000"/>
            <rFont val="Calibri"/>
            <family val="2"/>
            <charset val="1"/>
          </rPr>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t>
        </r>
        <r>
          <rPr>
            <sz val="9"/>
            <color rgb="FF000000"/>
            <rFont val="Segoe UI"/>
            <family val="2"/>
            <charset val="1"/>
          </rPr>
          <t xml:space="preserve">.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5" authorId="0" shapeId="0" xr:uid="{00000000-0006-0000-0000-000021020000}">
      <text>
        <r>
          <rPr>
            <sz val="11"/>
            <color rgb="FF000000"/>
            <rFont val="Calibri"/>
            <family val="2"/>
            <charset val="1"/>
          </rPr>
          <t xml:space="preserve">
CUSTEIO....................R$ 12.271.950,52
RES.MED....................R$346.104,65
</t>
        </r>
      </text>
    </comment>
    <comment ref="AA205" authorId="0" shapeId="0" xr:uid="{00000000-0006-0000-0000-00002B030000}">
      <text>
        <r>
          <rPr>
            <sz val="11"/>
            <color rgb="FF000000"/>
            <rFont val="Calibri"/>
            <family val="2"/>
            <charset val="1"/>
          </rPr>
          <t xml:space="preserve">ESTIMADO
</t>
        </r>
      </text>
    </comment>
    <comment ref="AD205" authorId="0" shapeId="0" xr:uid="{00000000-0006-0000-0000-0000F8050000}">
      <text>
        <r>
          <rPr>
            <sz val="11"/>
            <color rgb="FF000000"/>
            <rFont val="Calibri"/>
            <family val="2"/>
            <charset val="1"/>
          </rPr>
          <t xml:space="preserve">ENERGIA - REFERÊNCIA JUN/20 - LANÇADO PLANILHA PAGAMENTO GEFIC EM JUL/20
</t>
        </r>
      </text>
    </comment>
    <comment ref="AU205" authorId="0" shapeId="0" xr:uid="{00000000-0006-0000-0000-0000A6090000}">
      <text>
        <r>
          <rPr>
            <sz val="11"/>
            <color rgb="FF000000"/>
            <rFont val="Calibri"/>
            <family val="2"/>
            <charset val="1"/>
          </rPr>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t>
        </r>
        <r>
          <rPr>
            <sz val="9"/>
            <color rgb="FF000000"/>
            <rFont val="Segoe UI"/>
            <family val="2"/>
            <charset val="1"/>
          </rPr>
          <t xml:space="preserve">.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6" authorId="0" shapeId="0" xr:uid="{00000000-0006-0000-0000-000022020000}">
      <text>
        <r>
          <rPr>
            <sz val="11"/>
            <color rgb="FF000000"/>
            <rFont val="Calibri"/>
            <family val="2"/>
            <charset val="1"/>
          </rPr>
          <t xml:space="preserve">
CUSTEIO....................R$ 12.271.950,52
RES.MED....................R$346.104,65
</t>
        </r>
      </text>
    </comment>
    <comment ref="Z206" authorId="0" shapeId="0" xr:uid="{00000000-0006-0000-0000-000042020000}">
      <text>
        <r>
          <rPr>
            <b/>
            <sz val="9"/>
            <color rgb="FF000000"/>
            <rFont val="Segoe UI"/>
            <family val="2"/>
            <charset val="1"/>
          </rPr>
          <t xml:space="preserve">FOLHA - REFERÊNCIA JUL/20 - LANÇADO PLANILHA PAGAMENTO GEFIC EM AGO/20.
</t>
        </r>
      </text>
    </comment>
    <comment ref="AA206" authorId="0" shapeId="0" xr:uid="{00000000-0006-0000-0000-00002C030000}">
      <text>
        <r>
          <rPr>
            <b/>
            <sz val="9"/>
            <color rgb="FF000000"/>
            <rFont val="Segoe UI"/>
            <family val="2"/>
            <charset val="1"/>
          </rPr>
          <t xml:space="preserve">FOLHA - REFERÊNCIA JUL/20 - LANÇADO PLANILHA PAGAMENTO GEFIC EM AGO/20.
</t>
        </r>
      </text>
    </comment>
    <comment ref="AD206" authorId="0" shapeId="0" xr:uid="{00000000-0006-0000-0000-0000F9050000}">
      <text>
        <r>
          <rPr>
            <sz val="11"/>
            <color rgb="FF000000"/>
            <rFont val="Calibri"/>
            <family val="2"/>
            <charset val="1"/>
          </rPr>
          <t xml:space="preserve">ENERGIA - REFERÊNCIA JUL/20 - LANÇADO PLANILHA PAGAMENTO GEFIC EM AGO/20
</t>
        </r>
      </text>
    </comment>
    <comment ref="AU206" authorId="0" shapeId="0" xr:uid="{00000000-0006-0000-0000-0000A7090000}">
      <text>
        <r>
          <rPr>
            <sz val="11"/>
            <color rgb="FF000000"/>
            <rFont val="Calibri"/>
            <family val="2"/>
            <charset val="1"/>
          </rPr>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t>
        </r>
        <r>
          <rPr>
            <sz val="9"/>
            <color rgb="FF000000"/>
            <rFont val="Tahoma"/>
            <family val="2"/>
            <charset val="1"/>
          </rPr>
          <t xml:space="preserve">.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6" authorId="0" shapeId="0" xr:uid="{00000000-0006-0000-0000-00000C0A0000}">
      <text>
        <r>
          <rPr>
            <sz val="11"/>
            <color rgb="FF000000"/>
            <rFont val="Calibri"/>
            <family val="2"/>
            <charset val="1"/>
          </rPr>
          <t xml:space="preserve">PROC.202000010003412 - AQUISIÇÃO DE 1 (UM) APARELHO DE MAMOGRAFIA E DE 1 (UMA) IMPRESSORA DRY, PARA HGG
</t>
        </r>
      </text>
    </comment>
    <comment ref="V207" authorId="0" shapeId="0" xr:uid="{00000000-0006-0000-0000-000023020000}">
      <text>
        <r>
          <rPr>
            <sz val="11"/>
            <color rgb="FF000000"/>
            <rFont val="Calibri"/>
            <family val="2"/>
            <charset val="1"/>
          </rPr>
          <t xml:space="preserve">
CUSTEIO....................R$ 12.271.950,52
RES.MED....................R$346.104,65
</t>
        </r>
      </text>
    </comment>
    <comment ref="Z207" authorId="0" shapeId="0" xr:uid="{00000000-0006-0000-0000-000043020000}">
      <text>
        <r>
          <rPr>
            <b/>
            <sz val="9"/>
            <color rgb="FF000000"/>
            <rFont val="Segoe UI"/>
            <family val="2"/>
            <charset val="1"/>
          </rPr>
          <t xml:space="preserve">FOLHA - REFERÊNCIA AGO/20 - LANÇADO PLANILHA PAGAMENTO GEFIC EM SET/20.
</t>
        </r>
      </text>
    </comment>
    <comment ref="AA207" authorId="0" shapeId="0" xr:uid="{00000000-0006-0000-0000-00002D030000}">
      <text>
        <r>
          <rPr>
            <b/>
            <sz val="9"/>
            <color rgb="FF000000"/>
            <rFont val="Segoe UI"/>
            <family val="2"/>
            <charset val="1"/>
          </rPr>
          <t xml:space="preserve">FOLHA - REFERÊNCIA AGO/20 - LANÇADO PLANILHA PAGAMENTO GEFIC EM SET/20.
</t>
        </r>
      </text>
    </comment>
    <comment ref="AD207" authorId="0" shapeId="0" xr:uid="{00000000-0006-0000-0000-0000FA050000}">
      <text>
        <r>
          <rPr>
            <sz val="11"/>
            <color rgb="FF000000"/>
            <rFont val="Calibri"/>
            <family val="2"/>
            <charset val="1"/>
          </rPr>
          <t xml:space="preserve">ENERGIA - REFERÊNCIA AGO/20 - LANÇADO PLANILHA PAGAMENTO GEFIC EM SET/20
</t>
        </r>
      </text>
    </comment>
    <comment ref="AU207" authorId="0" shapeId="0" xr:uid="{00000000-0006-0000-0000-0000A8090000}">
      <text>
        <r>
          <rPr>
            <sz val="11"/>
            <color rgb="FF000000"/>
            <rFont val="Calibri"/>
            <family val="2"/>
            <charset val="1"/>
          </rPr>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t>
        </r>
        <r>
          <rPr>
            <sz val="9"/>
            <color rgb="FF000000"/>
            <rFont val="Segoe UI"/>
            <family val="2"/>
            <charset val="1"/>
          </rPr>
          <t xml:space="preserve">.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7" authorId="0" shapeId="0" xr:uid="{00000000-0006-0000-0000-00000D0A0000}">
      <text>
        <r>
          <rPr>
            <sz val="11"/>
            <color rgb="FF000000"/>
            <rFont val="Calibri"/>
            <family val="2"/>
            <charset val="1"/>
          </rPr>
          <t xml:space="preserve">PROCESSO: 202000010020001 . OBJETO: REPASSE DE RECURSOS FINANCEIROS À ORGANIZAÇÃO SOCIAL INSTITUTO DE DESENVOLVIMENTO TECNOLÓGICO E HUMANO - IDTECH, A TÍTULO DE INVESTIMENTO PARA AQUISIÇÃO DE 2 (DUAS) AMBULÂNCIAS
</t>
        </r>
      </text>
    </comment>
    <comment ref="V208" authorId="0" shapeId="0" xr:uid="{00000000-0006-0000-0000-000024020000}">
      <text>
        <r>
          <rPr>
            <sz val="11"/>
            <color rgb="FF000000"/>
            <rFont val="Calibri"/>
            <family val="2"/>
            <charset val="1"/>
          </rPr>
          <t xml:space="preserve">
CUSTEIO....................R$ 12.271.950,52
RES.MED....................R$346.104,65
</t>
        </r>
      </text>
    </comment>
    <comment ref="Z208" authorId="0" shapeId="0" xr:uid="{00000000-0006-0000-0000-000044020000}">
      <text>
        <r>
          <rPr>
            <b/>
            <sz val="9"/>
            <color rgb="FF000000"/>
            <rFont val="Segoe UI"/>
            <family val="2"/>
            <charset val="1"/>
          </rPr>
          <t xml:space="preserve">FOLHA - REFERÊNCIA SET/20 - LANÇADO PLANILHA PAGAMENTO GEFIC EM OUT/20.
</t>
        </r>
      </text>
    </comment>
    <comment ref="AA208" authorId="0" shapeId="0" xr:uid="{00000000-0006-0000-0000-00002E030000}">
      <text>
        <r>
          <rPr>
            <b/>
            <sz val="9"/>
            <color rgb="FF000000"/>
            <rFont val="Segoe UI"/>
            <family val="2"/>
            <charset val="1"/>
          </rPr>
          <t xml:space="preserve">FOLHA - REFERÊNCIA SET/20 - LANÇADO PLANILHA PAGAMENTO GEFIC EM OUT/20.
</t>
        </r>
      </text>
    </comment>
    <comment ref="AD208" authorId="0" shapeId="0" xr:uid="{00000000-0006-0000-0000-0000FB050000}">
      <text>
        <r>
          <rPr>
            <sz val="11"/>
            <color rgb="FF000000"/>
            <rFont val="Calibri"/>
            <family val="2"/>
            <charset val="1"/>
          </rPr>
          <t xml:space="preserve">ENERGIA - REFERÊNCIA SET/20 - LANÇADO PLANILHA PAGAMENTO GEFIC EM OUT/20
</t>
        </r>
      </text>
    </comment>
    <comment ref="AU208" authorId="0" shapeId="0" xr:uid="{00000000-0006-0000-0000-0000A9090000}">
      <text>
        <r>
          <rPr>
            <sz val="11"/>
            <color rgb="FF000000"/>
            <rFont val="Calibri"/>
            <family val="2"/>
            <charset val="1"/>
          </rPr>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t>
        </r>
        <r>
          <rPr>
            <sz val="9"/>
            <color rgb="FF000000"/>
            <rFont val="Segoe UI"/>
            <family val="2"/>
            <charset val="1"/>
          </rPr>
          <t xml:space="preserve">.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9" authorId="0" shapeId="0" xr:uid="{00000000-0006-0000-0000-000025020000}">
      <text>
        <r>
          <rPr>
            <sz val="11"/>
            <color rgb="FF000000"/>
            <rFont val="Calibri"/>
            <family val="2"/>
            <charset val="1"/>
          </rPr>
          <t xml:space="preserve">
CUSTEIO....................R$ 12.271.950,52
RES.MED....................R$346.104,65
</t>
        </r>
      </text>
    </comment>
    <comment ref="Z209" authorId="0" shapeId="0" xr:uid="{00000000-0006-0000-0000-000045020000}">
      <text>
        <r>
          <rPr>
            <b/>
            <sz val="9"/>
            <color rgb="FF000000"/>
            <rFont val="Segoe UI"/>
            <family val="2"/>
            <charset val="1"/>
          </rPr>
          <t xml:space="preserve">FOLHA - REFERÊNCIA OUT/20 - LANÇADO PLANILHA PAGAMENTO GEFIC EM NOV/20.
</t>
        </r>
      </text>
    </comment>
    <comment ref="AA209" authorId="0" shapeId="0" xr:uid="{00000000-0006-0000-0000-00002F030000}">
      <text>
        <r>
          <rPr>
            <b/>
            <sz val="9"/>
            <color rgb="FF000000"/>
            <rFont val="Segoe UI"/>
            <family val="2"/>
            <charset val="1"/>
          </rPr>
          <t xml:space="preserve">FOLHA - REFERÊNCIA OUT/20 - LANÇADO PLANILHA PAGAMENTO GEFIC EM NOV/20.
</t>
        </r>
      </text>
    </comment>
    <comment ref="AD209" authorId="0" shapeId="0" xr:uid="{00000000-0006-0000-0000-0000FC050000}">
      <text>
        <r>
          <rPr>
            <sz val="11"/>
            <color rgb="FF000000"/>
            <rFont val="Calibri"/>
            <family val="2"/>
            <charset val="1"/>
          </rPr>
          <t xml:space="preserve">ENERGIA - REFERÊNCIA OUT/20 - LANÇADO PLANILHA PAGAMENTO GEFIC EM NOV/20
</t>
        </r>
      </text>
    </comment>
    <comment ref="AU209" authorId="0" shapeId="0" xr:uid="{00000000-0006-0000-0000-0000AA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10" authorId="0" shapeId="0" xr:uid="{00000000-0006-0000-0000-000026020000}">
      <text>
        <r>
          <rPr>
            <sz val="11"/>
            <color rgb="FF000000"/>
            <rFont val="Calibri"/>
            <family val="2"/>
            <charset val="1"/>
          </rPr>
          <t xml:space="preserve">
CUSTEIO....................R$ 12.271.950,52
RES.MED....................R$346.104,65
</t>
        </r>
      </text>
    </comment>
    <comment ref="Z210" authorId="0" shapeId="0" xr:uid="{00000000-0006-0000-0000-000046020000}">
      <text>
        <r>
          <rPr>
            <b/>
            <sz val="9"/>
            <color rgb="FF000000"/>
            <rFont val="Segoe UI"/>
            <family val="2"/>
            <charset val="1"/>
          </rPr>
          <t xml:space="preserve">FOLHA - REFERÊNCIA NOV/20 - LANÇADO PLANILHA PAGAMENTO GEFIC EM DEZ/20.
</t>
        </r>
      </text>
    </comment>
    <comment ref="AA210" authorId="0" shapeId="0" xr:uid="{00000000-0006-0000-0000-000030030000}">
      <text>
        <r>
          <rPr>
            <b/>
            <sz val="9"/>
            <color rgb="FF000000"/>
            <rFont val="Segoe UI"/>
            <family val="2"/>
            <charset val="1"/>
          </rPr>
          <t xml:space="preserve">FOLHA - REFERÊNCIA NOV/20 - LANÇADO PLANILHA PAGAMENTO GEFIC EM DEZ/20.
</t>
        </r>
      </text>
    </comment>
    <comment ref="AD210" authorId="0" shapeId="0" xr:uid="{00000000-0006-0000-0000-0000FD050000}">
      <text>
        <r>
          <rPr>
            <sz val="11"/>
            <color rgb="FF000000"/>
            <rFont val="Calibri"/>
            <family val="2"/>
            <charset val="1"/>
          </rPr>
          <t xml:space="preserve">ENERGIA - LANÇADO PLANILHA PAGAMENTO GEFIC EM DEZ/20
.
NOV/20..........................R$ 119.328,26
DEZ/20..........................R$ 138.208,11
</t>
        </r>
        <r>
          <rPr>
            <sz val="9"/>
            <color rgb="FF000000"/>
            <rFont val="Segoe UI"/>
            <family val="2"/>
            <charset val="1"/>
          </rPr>
          <t xml:space="preserve">
</t>
        </r>
      </text>
    </comment>
    <comment ref="AU210" authorId="0" shapeId="0" xr:uid="{00000000-0006-0000-0000-0000AB090000}">
      <text>
        <r>
          <rPr>
            <sz val="11"/>
            <color rgb="FF000000"/>
            <rFont val="Calibri"/>
            <family val="2"/>
            <charset val="1"/>
          </rPr>
          <t xml:space="preserve">.R$ 413.496,29 -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t>
        </r>
        <r>
          <rPr>
            <sz val="9"/>
            <color rgb="FF000000"/>
            <rFont val="Tahoma"/>
            <family val="2"/>
            <charset val="1"/>
          </rPr>
          <t>.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r>
      </text>
    </comment>
    <comment ref="AW210" authorId="0" shapeId="0" xr:uid="{00000000-0006-0000-0000-00000E0A0000}">
      <text>
        <r>
          <rPr>
            <sz val="11"/>
            <color rgb="FF000000"/>
            <rFont val="Calibri"/>
            <family val="2"/>
            <charset val="1"/>
          </rPr>
          <t xml:space="preserve">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
</t>
        </r>
      </text>
    </comment>
    <comment ref="V211" authorId="0" shapeId="0" xr:uid="{00000000-0006-0000-0000-000027020000}">
      <text>
        <r>
          <rPr>
            <sz val="11"/>
            <color rgb="FF000000"/>
            <rFont val="Calibri"/>
            <family val="2"/>
            <charset val="1"/>
          </rPr>
          <t xml:space="preserve">
CUSTEIO....................R$ 12.271.950,52
RES.MED....................R$346.104,65
</t>
        </r>
      </text>
    </comment>
    <comment ref="Z211" authorId="0" shapeId="0" xr:uid="{00000000-0006-0000-0000-000047020000}">
      <text>
        <r>
          <rPr>
            <sz val="11"/>
            <color rgb="FF000000"/>
            <rFont val="Calibri"/>
            <family val="2"/>
            <charset val="1"/>
          </rPr>
          <t xml:space="preserve">FOLHA - REFERÊNCIA DEZ/20- LANÇADO PLANILHA PAGAMENTO GEFIC EM JAN/21.
</t>
        </r>
      </text>
    </comment>
    <comment ref="AA211" authorId="0" shapeId="0" xr:uid="{00000000-0006-0000-0000-000031030000}">
      <text>
        <r>
          <rPr>
            <sz val="11"/>
            <color rgb="FF000000"/>
            <rFont val="Calibri"/>
            <family val="2"/>
            <charset val="1"/>
          </rPr>
          <t xml:space="preserve">FOLHA - REFERÊNCIA DEZ/20- LANÇADO PLANILHA PAGAMENTO GEFIC EM JAN/21.
</t>
        </r>
      </text>
    </comment>
    <comment ref="AO211" authorId="0" shapeId="0" xr:uid="{00000000-0006-0000-0000-000056090000}">
      <text>
        <r>
          <rPr>
            <sz val="9"/>
            <color rgb="FF000000"/>
            <rFont val="Tahoma"/>
            <family val="2"/>
            <charset val="1"/>
          </rPr>
          <t xml:space="preserve">RESTITUIÇÃO REF.A  GLOSA INDEVIDA ATINENTE A SERVIDORES QUE ATUAM NA C.ESTAD. NOTIFICAÇÃO, CAPTAÇÃO E DISTRIBUIÇÃO DE ORGÃOS DE GOIÁS (CNCDO-GO), CONFORME DESPACHO 203/2021 SGI - PROC.202000010019868 E DESPACHO 205/2021 SGI PROC.202000010019888
</t>
        </r>
      </text>
    </comment>
    <comment ref="AU211" authorId="0" shapeId="0" xr:uid="{00000000-0006-0000-0000-0000AC090000}">
      <text>
        <r>
          <rPr>
            <sz val="11"/>
            <color rgb="FF000000"/>
            <rFont val="Calibri"/>
            <family val="2"/>
            <charset val="1"/>
          </rPr>
          <t xml:space="preserve">PROCESSO: 202000010006118 - RESSARCIMENTO DE RECURSOS REFERENTE AO CUSTEIO DE TRANSPLANTES DO HOSPITAL GERAL DE GOIÂNIA DR.ALBERTO RASSI - HGG DE JANEIRO DE 2021.................................R$ 379.569,05
.
DOCUMENTAÇÃO: REQUISIÇÃO DE DESPESA N° 115/2021 GAOS, DESPACHO Nº 2299/202
1 SGI, ANEXO II.
</t>
        </r>
        <r>
          <rPr>
            <sz val="9"/>
            <color rgb="FF000000"/>
            <rFont val="Tahoma"/>
            <family val="2"/>
            <charset val="1"/>
          </rPr>
          <t xml:space="preserve">
</t>
        </r>
      </text>
    </comment>
    <comment ref="V212" authorId="0" shapeId="0" xr:uid="{00000000-0006-0000-0000-000028020000}">
      <text>
        <r>
          <rPr>
            <sz val="11"/>
            <color rgb="FF000000"/>
            <rFont val="Calibri"/>
            <family val="2"/>
            <charset val="1"/>
          </rPr>
          <t xml:space="preserve">
CUSTEIO....................R$ 12.271.950,52
RES.MED....................R$346.104,65
</t>
        </r>
      </text>
    </comment>
    <comment ref="Z212" authorId="0" shapeId="0" xr:uid="{00000000-0006-0000-0000-000048020000}">
      <text>
        <r>
          <rPr>
            <sz val="11"/>
            <color rgb="FF000000"/>
            <rFont val="Calibri"/>
            <family val="2"/>
            <charset val="1"/>
          </rPr>
          <t xml:space="preserve">FOLHA - REFERÊNCIA JAN/21- LANÇADO PLANILHA PAGAMENTO GEFIC EM FEV/21.
</t>
        </r>
      </text>
    </comment>
    <comment ref="AA212" authorId="0" shapeId="0" xr:uid="{00000000-0006-0000-0000-000032030000}">
      <text>
        <r>
          <rPr>
            <sz val="11"/>
            <color rgb="FF000000"/>
            <rFont val="Calibri"/>
            <family val="2"/>
            <charset val="1"/>
          </rPr>
          <t xml:space="preserve">FOLHA - REFERÊNCIA JAN/21- LANÇADO PLANILHA PAGAMENTO GEFIC EM FEV/21.
</t>
        </r>
      </text>
    </comment>
    <comment ref="AD212" authorId="0" shapeId="0" xr:uid="{00000000-0006-0000-0000-0000FE050000}">
      <text>
        <r>
          <rPr>
            <sz val="11"/>
            <color rgb="FF000000"/>
            <rFont val="Calibri"/>
            <family val="2"/>
            <charset val="1"/>
          </rPr>
          <t xml:space="preserve">CELG JAN/21 LANÇADO NA PLANILHA DE FEV/21
</t>
        </r>
      </text>
    </comment>
    <comment ref="AO212" authorId="0" shapeId="0" xr:uid="{00000000-0006-0000-0000-000057090000}">
      <text>
        <r>
          <rPr>
            <sz val="9"/>
            <color rgb="FF000000"/>
            <rFont val="Tahoma"/>
            <family val="2"/>
            <charset val="1"/>
          </rPr>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r>
      </text>
    </comment>
    <comment ref="AU212" authorId="0" shapeId="0" xr:uid="{00000000-0006-0000-0000-0000AD090000}">
      <text>
        <r>
          <rPr>
            <sz val="11"/>
            <color rgb="FF000000"/>
            <rFont val="Calibri"/>
            <family val="2"/>
            <charset val="1"/>
          </rPr>
          <t xml:space="preserve">PROCESSO: 202000010006118 - RESSARCIMENTO DE RECURSOS REFERENTE AO CUSTEIO DE TRANSPLANTES DO HOSPITAL GERAL DE GOIÂNIA DR.ALBERTO RASSI - HGG DE FEVEREIRO DE 2021.................................R$ 499.175,08
.
DOCUMENTAÇÃO: REQUISIÇÃO DE DESPESA N° 115/2021 GAOS, DESPACHO Nº 2299/202
1 SGI, ANEXO II.
</t>
        </r>
      </text>
    </comment>
    <comment ref="V213" authorId="0" shapeId="0" xr:uid="{00000000-0006-0000-0000-000029020000}">
      <text>
        <r>
          <rPr>
            <sz val="11"/>
            <color rgb="FF000000"/>
            <rFont val="Calibri"/>
            <family val="2"/>
            <charset val="1"/>
          </rPr>
          <t>a partir 13/03/20 a 12/03/21
CUSTEIO</t>
        </r>
        <r>
          <rPr>
            <sz val="9"/>
            <color rgb="FF000000"/>
            <rFont val="Segoe UI"/>
            <family val="2"/>
            <charset val="1"/>
          </rPr>
          <t>..................R$ 4.908.780,21
.
RES.MED..................R$ 138.441,86</t>
        </r>
      </text>
    </comment>
    <comment ref="Z213" authorId="0" shapeId="0" xr:uid="{00000000-0006-0000-0000-000049020000}">
      <text>
        <r>
          <rPr>
            <sz val="11"/>
            <color rgb="FF000000"/>
            <rFont val="Calibri"/>
            <family val="2"/>
            <charset val="1"/>
          </rPr>
          <t xml:space="preserve">FOLHA - REFERÊNCIA FEV/21- LANÇADO PLANILHA PAGAMENTO GEFIC EM MAR/21.
</t>
        </r>
      </text>
    </comment>
    <comment ref="AA213" authorId="0" shapeId="0" xr:uid="{00000000-0006-0000-0000-000033030000}">
      <text>
        <r>
          <rPr>
            <sz val="11"/>
            <color rgb="FF000000"/>
            <rFont val="Calibri"/>
            <family val="2"/>
            <charset val="1"/>
          </rPr>
          <t xml:space="preserve">FOLHA - REFERÊNCIA FEV/21- LANÇADO PLANILHA PAGAMENTO GEFIC EM MAR/21.
</t>
        </r>
      </text>
    </comment>
    <comment ref="AD213" authorId="0" shapeId="0" xr:uid="{00000000-0006-0000-0000-0000FF050000}">
      <text>
        <r>
          <rPr>
            <sz val="11"/>
            <color rgb="FF000000"/>
            <rFont val="Calibri"/>
            <family val="2"/>
            <charset val="1"/>
          </rPr>
          <t xml:space="preserve">CELG FEV/21 LANÇADO NA PLANILHA DE MAR/21
</t>
        </r>
      </text>
    </comment>
    <comment ref="AU213" authorId="0" shapeId="0" xr:uid="{00000000-0006-0000-0000-0000AE090000}">
      <text>
        <r>
          <rPr>
            <sz val="11"/>
            <color rgb="FF000000"/>
            <rFont val="Calibri"/>
            <family val="2"/>
            <charset val="1"/>
          </rPr>
          <t xml:space="preserve">PROCESSO: 202000010006118 - RESSARCIMENTO DE RECURSOS REFERENTE AO CUSTEIO DE TRANSPLANTES DO HOSPITAL GERAL DE GOIÂNIA DR.ALBERTO RASSI - HGG DE 01 A 12/03 DE 2021.................................R$ 101.405,46
.
DOCUMENTAÇÃO: REQUISIÇÃO DE DESPESA N° 115/2021 GAOS, DESPACHO Nº 2299/202
1 SGI, ANEXO II.
</t>
        </r>
      </text>
    </comment>
    <comment ref="AW213" authorId="0" shapeId="0" xr:uid="{00000000-0006-0000-0000-00000F0A0000}">
      <text>
        <r>
          <rPr>
            <sz val="11"/>
            <color rgb="FF000000"/>
            <rFont val="Calibri"/>
            <family val="2"/>
            <charset val="1"/>
          </rPr>
          <t xml:space="preserve">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t>
        </r>
        <r>
          <rPr>
            <sz val="9"/>
            <color rgb="FF000000"/>
            <rFont val="Segoe UI"/>
            <family val="2"/>
            <charset val="1"/>
          </rPr>
          <t xml:space="preserve">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
</t>
        </r>
      </text>
    </comment>
    <comment ref="AX213" authorId="0" shapeId="0" xr:uid="{00000000-0006-0000-0000-0000830A0000}">
      <text>
        <r>
          <rPr>
            <sz val="11"/>
            <color rgb="FF000000"/>
            <rFont val="Calibri"/>
            <family val="2"/>
            <charset val="1"/>
          </rPr>
          <t xml:space="preserve">R$ 7.896.238,31 - REGULARIZAÇÃO DE DESPESA PARA REPASSE DO CUSTEIO E REDIDÊNCIA MÉDICA PELO PERÍODO DE 013/03/2021 A 07/04/2021, proc.202100010014480
</t>
        </r>
        <r>
          <rPr>
            <sz val="9"/>
            <color rgb="FF000000"/>
            <rFont val="Segoe UI"/>
            <family val="2"/>
            <charset val="1"/>
          </rPr>
          <t>.
R$ 202.325,21 -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SGI..REPASSE - MARÇO 2021 (13/03
/2021 a 31/03/2021)- TRANSPLANTES.</t>
        </r>
      </text>
    </comment>
    <comment ref="AB214" authorId="0" shapeId="0" xr:uid="{00000000-0006-0000-0000-000084040000}">
      <text>
        <r>
          <rPr>
            <sz val="11"/>
            <color rgb="FF000000"/>
            <rFont val="Calibri"/>
            <family val="2"/>
            <charset val="1"/>
          </rPr>
          <t xml:space="preserve">DIFERENÇA - FOLHA - REFERÊNCIA FEV/21- LANÇADO PLANILHA PAGAMENTO GEFIC EM MAR/21.
</t>
        </r>
      </text>
    </comment>
    <comment ref="AX214" authorId="0" shapeId="0" xr:uid="{00000000-0006-0000-0000-0000840A0000}">
      <text>
        <r>
          <rPr>
            <sz val="11"/>
            <color rgb="FF000000"/>
            <rFont val="Calibri"/>
            <family val="2"/>
            <charset val="1"/>
          </rPr>
          <t xml:space="preserve">R$ 2.909.140,43 - REGULARIZAÇÃO DE DESPESA PARA REPASSE DO CUSTEIO E REDIDÊNCIA MÉDICA PELO PERÍODO DE 13/03/2021 A 31/03/2021, proc.202100010014480
</t>
        </r>
        <r>
          <rPr>
            <sz val="9"/>
            <color rgb="FF000000"/>
            <rFont val="Segoe UI"/>
            <family val="2"/>
            <charset val="1"/>
          </rPr>
          <t xml:space="preserve">.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SGI..ABRIL/2021, TRANSPLANTES DE
RINS.............................R$ 591.516,24ABRIL/2021, TRANSPLANTES DE F
ÍGADO...........................R$ 202.945,89
</t>
        </r>
      </text>
    </comment>
    <comment ref="AX215" authorId="0" shapeId="0" xr:uid="{00000000-0006-0000-0000-0000850A0000}">
      <text>
        <r>
          <rPr>
            <sz val="11"/>
            <color rgb="FF000000"/>
            <rFont val="Calibri"/>
            <family val="2"/>
            <charset val="1"/>
          </rPr>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ESTIMATIVA DE DIÁRIA :…………R$ 403.682,58 .
</t>
        </r>
        <r>
          <rPr>
            <sz val="9"/>
            <color rgb="FF000000"/>
            <rFont val="Tahoma"/>
            <family val="2"/>
            <charset val="1"/>
          </rPr>
          <t xml:space="preserve">.
.R$ 362.031,10 - REPASSE DE RECURSOS FINANCEIROS REFERENTE AO CUSTEIO DOS PROGRAMAS D
E RESIDÊNCIA MÉDICA E EM ÁREA DE SAÚDE DO HGG PELO PERÍODO DE 01/05/2021 A 3
1/05/2021, RELATIVA AO 14º TERMO ADITIVO AO CONTRATO DE GESTÃO Nº 024/2012 -
 SES/GO A PARTIR DE 13/03/2021, A SER FIRMADO ENTRE O ESTADO DE GOIÁS, ATRAV
ÉS DA SECRETARIA DE ESTADO DA SAÚDE - SES/GO E O INSTITUTO DE DESENVOLVIMENT
O TECNOLÓGICO E HUMANO - IDETECH, REFERENTE AO CUSTEIO DOS PROGRAMAS DE RESI
DÊNCIA MÉDICA E EM ÁREA DE SAÚDE NO HOSPITAL GERAL DE GOIÂNIA DR. ALBERTO RA
SSI - HGG.
REPASSE REG.DESPESA RES.MEDICA - HGG - PERÍODO DE 01/05/2021 A 31/05/2021.
.
R$ 276.089,69 - REGULARIZAÇÃO DE DESPESA DESTINADOS AO INSTITUT
O DE DESENVOLVIMENTOTECNOLÓGICO E HUMANO - IDTECH, ORGANIZAÇÃO SOCIAL RESPON
SÁVEL PELA GESTÃODO HOSPITAL GERAL DE GOIÂNIA DR.ALBERTO RASSI - HGG PARA RE
SSARCIMENTO DETRANSPLANTES DE RINS REFERENTE AO MÊS DE MAIO DE 2021.REGULARI
ZAÇÃO DE MAIO/2021.............R$ 276.089,69.DOCUMENTAÇÃO: REQUISIÇÃO DE DES
PESA 169/2021 - GAOS, DESPACHO Nº 3816/2021- SGI, DESPACHO Nº 1406/2021 - SU
PER, DESPACHO Nº 3890/2021 - SGI.
.
R$ 101.945,45 - REGULARIZAÇÃO DE DESPESA AO INSTITUTO DE DESENV
OLVIMENTO TECNOLÓGICO E HUMANO - IDTECH, ORGANIZAÇÃO SOCIAL RESPONSÁVEL PELA
GESTÃO DO HOSPITAL GERAL DE GOIÂNIA DR.ALBERTO RASSI - HGG PARA RESSARCIMEN
TO DE TRANSPLANTES DE FÍGADO REFERENTE AO MÊS DE MAIO DE 2021. REGULARIZAÇÃO
DE MAIO/2021.....R$ 101.945,45.DOCUMENTOS: REQUISIÇÃO DE DESPESA Nº 170/202
1 - GAOS, DESPACHO Nº 1410/2021-SUPER, DESPACHO Nº 3911/2021 - SGI
</t>
        </r>
      </text>
    </comment>
    <comment ref="BL215" authorId="0" shapeId="0" xr:uid="{00000000-0006-0000-0000-0000EE0A0000}">
      <text>
        <r>
          <rPr>
            <sz val="11"/>
            <color rgb="FF000000"/>
            <rFont val="Calibri"/>
            <family val="2"/>
            <charset val="1"/>
          </rPr>
          <t xml:space="preserve">
R$ -12.271.950,52 - REGULARIZAÇÃO DE DESPESA, CUSTEIO AREAS DE SAÚDE PELO PERÍODO DE 01/05/2021 A 31/05/2021, REFERENTE AO CONTRATO DE GESTÃO  HGG. . REQUISIÇÃO DE DESPESA N° 99/2021 – SUPER,TERMO DE RECONHECIMENTO DE DÍVIDA ANEXO II DESPACHO Nº 01008/2021, DESPACHO Nº 3298/2021 - SGI, PROC.202100010014480
</t>
        </r>
        <r>
          <rPr>
            <sz val="9"/>
            <color rgb="FF000000"/>
            <rFont val="Tahoma"/>
            <family val="2"/>
            <charset val="1"/>
          </rPr>
          <t xml:space="preserve">.
R$ 362.031,10 - REGULARIZAÇÃO DE DESPESA,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 . DOCUMENTOS: REQUISIÇÃO DE DESPESA N° 99/2021 – SUPER,DESPACHO Nº 3298/2021 - SGI,ANEXO II DESPACHO Nº 01008/2021,TERMO DE RECONHECIMENTO DE DÍVIDA, 202100010014480
</t>
        </r>
      </text>
    </comment>
    <comment ref="AX216" authorId="0" shapeId="0" xr:uid="{00000000-0006-0000-0000-0000860A0000}">
      <text>
        <r>
          <rPr>
            <b/>
            <sz val="9"/>
            <color rgb="FF000000"/>
            <rFont val="Tahoma"/>
            <family val="2"/>
            <charset val="1"/>
          </rPr>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
.</t>
        </r>
      </text>
    </comment>
    <comment ref="AX217" authorId="0" shapeId="0" xr:uid="{00000000-0006-0000-0000-0000870A0000}">
      <text>
        <r>
          <rPr>
            <sz val="9"/>
            <color rgb="FF000000"/>
            <rFont val="Tahoma"/>
            <family val="2"/>
            <charset val="1"/>
          </rPr>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r>
      </text>
    </comment>
    <comment ref="AX218" authorId="0" shapeId="0" xr:uid="{00000000-0006-0000-0000-0000880A0000}">
      <text>
        <r>
          <rPr>
            <sz val="11"/>
            <color rgb="FF000000"/>
            <rFont val="Calibri"/>
            <family val="2"/>
            <charset val="1"/>
          </rPr>
          <t xml:space="preserve">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
</t>
        </r>
      </text>
    </comment>
    <comment ref="AX219" authorId="0" shapeId="0" xr:uid="{00000000-0006-0000-0000-0000890A0000}">
      <text>
        <r>
          <rPr>
            <sz val="11"/>
            <color rgb="FF000000"/>
            <rFont val="Calibri"/>
            <family val="2"/>
            <charset val="1"/>
          </rPr>
          <t xml:space="preserve">.R$ 6.564.280,88 -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
</t>
        </r>
      </text>
    </comment>
    <comment ref="AW225" authorId="0" shapeId="0" xr:uid="{00000000-0006-0000-0000-0000100A0000}">
      <text>
        <r>
          <rPr>
            <b/>
            <sz val="9"/>
            <color rgb="FF000000"/>
            <rFont val="Tahoma"/>
            <family val="2"/>
            <charset val="1"/>
          </rPr>
          <t xml:space="preserve">1ª MEDIÇÃO ABR/17 - OBRAS E CUSTEIO DE REFORMAS E ADEQUAÇÕES RECOMENDADAS PELO CORPO DE BOMBEIROS MILITAR DO ESTADO DE GOIÁS NO HMI E REFORMAS E ADEQUAÇÕES RECOMENDADAS PELO CORPO DE BOMBEIROS MILITAR DO ESTADO
</t>
        </r>
      </text>
    </comment>
    <comment ref="AW226" authorId="0" shapeId="0" xr:uid="{00000000-0006-0000-0000-0000110A0000}">
      <text>
        <r>
          <rPr>
            <b/>
            <sz val="9"/>
            <color rgb="FF000000"/>
            <rFont val="Tahoma"/>
            <family val="2"/>
            <charset val="1"/>
          </rPr>
          <t xml:space="preserve">2ª MEDIÇÃO MAI/17 - OBRAS E CUSTEIO DE REFORMAS E ADEQUAÇÕES RECOMENDADAS PELO CORPO DE BOMBEIROS MILITAR DO ESTADO DE GOIÁS NO HMI E REFORMAS E ADEQUAÇÕES RECOMENDADAS PELO CORPO DE BOMBEIROS MILITAR DO ESTADO
</t>
        </r>
      </text>
    </comment>
    <comment ref="AW227" authorId="0" shapeId="0" xr:uid="{00000000-0006-0000-0000-0000120A0000}">
      <text>
        <r>
          <rPr>
            <b/>
            <sz val="9"/>
            <color rgb="FF000000"/>
            <rFont val="Tahoma"/>
            <family val="2"/>
            <charset val="1"/>
          </rPr>
          <t xml:space="preserve">
3ª MEDIÇÃO JUN/17 - OBRAS E CUSTEIO DE REFORMAS E ADEQUAÇÕES RECOMENDADAS PELO CORPO DE BOMBEIROS MILITAR DO ESTADO DE GOIÁS NO HMI E REFORMAS E ADEQUAÇÕES RECOMENDADAS PELO CORPO DE BOMBEIROS MILITAR DO ESTADO
</t>
        </r>
      </text>
    </comment>
    <comment ref="AF228" authorId="0" shapeId="0" xr:uid="{00000000-0006-0000-0000-0000FB08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r>
      </text>
    </comment>
    <comment ref="AW228" authorId="0" shapeId="0" xr:uid="{00000000-0006-0000-0000-0000130A0000}">
      <text>
        <r>
          <rPr>
            <b/>
            <sz val="9"/>
            <color rgb="FF000000"/>
            <rFont val="Tahoma"/>
            <family val="2"/>
            <charset val="1"/>
          </rPr>
          <t xml:space="preserve">4ª MEDIÇÃO JUL/17 - OBRAS E CUSTEIO DE REFORMAS E ADEQUAÇÕES RECOMENDADAS PELO CORPO DE BOMBEIROS MILITAR DO ESTADO DE GOIÁS NO HMI E REFORMAS E ADEQUAÇÕES RECOMENDADAS PELO CORPO DE BOMBEIROS MILITAR DO ESTADO
</t>
        </r>
      </text>
    </comment>
    <comment ref="AD232" authorId="0" shapeId="0" xr:uid="{00000000-0006-0000-0000-000000060000}">
      <text>
        <r>
          <rPr>
            <b/>
            <sz val="9"/>
            <color rgb="FF000000"/>
            <rFont val="Tahoma"/>
            <family val="2"/>
            <charset val="1"/>
          </rPr>
          <t>GLOSA REF.AO FORNECIMENTO EM SET/17.</t>
        </r>
      </text>
    </comment>
    <comment ref="AD233" authorId="0" shapeId="0" xr:uid="{00000000-0006-0000-0000-000001060000}">
      <text>
        <r>
          <rPr>
            <b/>
            <sz val="9"/>
            <color rgb="FF000000"/>
            <rFont val="Tahoma"/>
            <family val="2"/>
            <charset val="1"/>
          </rPr>
          <t>GLOSA REF.AO FORNECIMENTO EM OUT/17.R$ 52.913,31 E NOV/17 12.433,26</t>
        </r>
      </text>
    </comment>
    <comment ref="AF233" authorId="0" shapeId="0" xr:uid="{00000000-0006-0000-0000-0000FC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r>
      </text>
    </comment>
    <comment ref="AW233" authorId="0" shapeId="0" xr:uid="{00000000-0006-0000-0000-0000140A0000}">
      <text>
        <r>
          <rPr>
            <b/>
            <sz val="9"/>
            <color rgb="FF000000"/>
            <rFont val="Tahoma"/>
            <family val="2"/>
            <charset val="1"/>
          </rPr>
          <t xml:space="preserve">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
</t>
        </r>
      </text>
    </comment>
    <comment ref="AD235" authorId="0" shapeId="0" xr:uid="{00000000-0006-0000-0000-000002060000}">
      <text>
        <r>
          <rPr>
            <b/>
            <sz val="9"/>
            <color rgb="FF000000"/>
            <rFont val="Tahoma"/>
            <family val="2"/>
            <charset val="1"/>
          </rPr>
          <t xml:space="preserve">CELG - JANEIRO/18
</t>
        </r>
      </text>
    </comment>
    <comment ref="AF235" authorId="0" shapeId="0" xr:uid="{00000000-0006-0000-0000-0000FD080000}">
      <text>
        <r>
          <rPr>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r>
      </text>
    </comment>
    <comment ref="AW235" authorId="0" shapeId="0" xr:uid="{00000000-0006-0000-0000-0000150A0000}">
      <text>
        <r>
          <rPr>
            <sz val="9"/>
            <color rgb="FF000000"/>
            <rFont val="Tahoma"/>
            <family val="2"/>
            <charset val="1"/>
          </rPr>
          <t xml:space="preserve">
R$ 35.500,00 INVESTIMENTO, PARA A AQUISIÇÃO DE 01 (UM) EQUIPAMENTO CÂMARA FRIA (PROCESSO 201700010025218) A SER DESTINADO AO CENTRO DE REFERÊNCIA 
PARA IMUNOBIOLÓGICOS ESPECIAIS- CRIE/ HMI</t>
        </r>
      </text>
    </comment>
    <comment ref="AD237" authorId="0" shapeId="0" xr:uid="{00000000-0006-0000-0000-000003060000}">
      <text>
        <r>
          <rPr>
            <b/>
            <sz val="9"/>
            <color rgb="FF000000"/>
            <rFont val="Tahoma"/>
            <family val="2"/>
            <charset val="1"/>
          </rPr>
          <t xml:space="preserve">CELG - MAR/18
</t>
        </r>
      </text>
    </comment>
    <comment ref="P238" authorId="0" shapeId="0" xr:uid="{00000000-0006-0000-0000-00005A010000}">
      <text>
        <r>
          <rPr>
            <sz val="9"/>
            <color rgb="FF000000"/>
            <rFont val="Tahoma"/>
            <family val="2"/>
            <charset val="1"/>
          </rPr>
          <t xml:space="preserve">
240.228,64  APORTE  RECURSO FINANCEIRO OPERACIONALIZAÇÃO  DO PROJETO ESPECIAL MAIS SAUDE PARA TODOS OS GOIANOS.
</t>
        </r>
      </text>
    </comment>
    <comment ref="AD238" authorId="0" shapeId="0" xr:uid="{00000000-0006-0000-0000-000004060000}">
      <text>
        <r>
          <rPr>
            <b/>
            <sz val="9"/>
            <color rgb="FF000000"/>
            <rFont val="Tahoma"/>
            <family val="2"/>
            <charset val="1"/>
          </rPr>
          <t xml:space="preserve">CELG - ABRIL/2018
</t>
        </r>
      </text>
    </comment>
    <comment ref="P239" authorId="0" shapeId="0" xr:uid="{00000000-0006-0000-0000-00005B010000}">
      <text>
        <r>
          <rPr>
            <sz val="11"/>
            <color rgb="FF000000"/>
            <rFont val="Calibri"/>
            <family val="2"/>
            <charset val="1"/>
          </rPr>
          <t xml:space="preserve">A PARTIR DE 29/06/18
</t>
        </r>
        <r>
          <rPr>
            <sz val="9"/>
            <color rgb="FF000000"/>
            <rFont val="Tahoma"/>
            <family val="2"/>
            <charset val="1"/>
          </rPr>
          <t>817.695,69  PRORROGAÇÃO; APORTE COBRIR ESTIMATIVA GLOSA DE FOLHA;
APORTE RESIDÊNCIA MÉDICA;
E 240.228,64   APORTE  RECURSO FINANCEIRO OPERACIONALIZAÇÃO  DO PROJETO ESPECIAL MAIS SAUDE PARA TODOS OS GOIANOS.</t>
        </r>
      </text>
    </comment>
    <comment ref="AD239" authorId="0" shapeId="0" xr:uid="{00000000-0006-0000-0000-000005060000}">
      <text>
        <r>
          <rPr>
            <b/>
            <sz val="9"/>
            <color rgb="FF000000"/>
            <rFont val="Tahoma"/>
            <family val="2"/>
            <charset val="1"/>
          </rPr>
          <t xml:space="preserve">CELG - MAI/18
</t>
        </r>
      </text>
    </comment>
    <comment ref="AU239" authorId="0" shapeId="0" xr:uid="{00000000-0006-0000-0000-0000AF090000}">
      <text>
        <r>
          <rPr>
            <b/>
            <sz val="9"/>
            <color rgb="FF000000"/>
            <rFont val="Tahoma"/>
            <family val="2"/>
            <charset val="1"/>
          </rPr>
          <t>PROC.201700010020682 DAS RESCISÕES TRABALHISTA 
S DO - HMI, REFERENTE AOS MESES DE MAIO E JUNHO DE 2017</t>
        </r>
      </text>
    </comment>
    <comment ref="P240" authorId="0" shapeId="0" xr:uid="{00000000-0006-0000-0000-00005C010000}">
      <text>
        <r>
          <rPr>
            <sz val="9"/>
            <color rgb="FF000000"/>
            <rFont val="Tahoma"/>
            <family val="2"/>
            <charset val="1"/>
          </rPr>
          <t>8.734.973,71  PRORROGAÇÃO;
3.458.505,44 APORTE COBRIR ESTIMATIVA GLOSA DE FOLHA;
71.956,27  APORTE RESIDÊNCIA MÉDICA;
240.228,64  APORTE  RECURSO FINANCEIRO OPERACIONALIZAÇÃO  DO PROJETO ESPECIAL MAIS SAUDE PARA TODOS OS GOIANOS.
3.509.621,57 RECOMPOSIÇÃO DE DESEQUILIBRIO FINANCEIRO ACUMULADO</t>
        </r>
      </text>
    </comment>
    <comment ref="AD240" authorId="0" shapeId="0" xr:uid="{00000000-0006-0000-0000-000006060000}">
      <text>
        <r>
          <rPr>
            <b/>
            <sz val="9"/>
            <color rgb="FF000000"/>
            <rFont val="Tahoma"/>
            <family val="2"/>
            <charset val="1"/>
          </rPr>
          <t>CELG - JUN/18</t>
        </r>
      </text>
    </comment>
    <comment ref="AF240" authorId="0" shapeId="0" xr:uid="{00000000-0006-0000-0000-0000FE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r>
      </text>
    </comment>
    <comment ref="P241" authorId="0" shapeId="0" xr:uid="{00000000-0006-0000-0000-00005D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1" authorId="0" shapeId="0" xr:uid="{00000000-0006-0000-0000-000007060000}">
      <text>
        <r>
          <rPr>
            <b/>
            <sz val="9"/>
            <color rgb="FF000000"/>
            <rFont val="Tahoma"/>
            <family val="2"/>
            <charset val="1"/>
          </rPr>
          <t xml:space="preserve">CELG - JUL/2018
</t>
        </r>
      </text>
    </comment>
    <comment ref="P242" authorId="0" shapeId="0" xr:uid="{00000000-0006-0000-0000-00005E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2" authorId="0" shapeId="0" xr:uid="{00000000-0006-0000-0000-000008060000}">
      <text>
        <r>
          <rPr>
            <b/>
            <sz val="9"/>
            <color rgb="FF000000"/>
            <rFont val="Tahoma"/>
            <family val="2"/>
            <charset val="1"/>
          </rPr>
          <t xml:space="preserve">CELG - AGO/18
</t>
        </r>
      </text>
    </comment>
    <comment ref="AE242" authorId="0" shapeId="0" xr:uid="{00000000-0006-0000-0000-00005E080000}">
      <text>
        <r>
          <rPr>
            <b/>
            <sz val="9"/>
            <color rgb="FF000000"/>
            <rFont val="Tahoma"/>
            <family val="2"/>
            <charset val="1"/>
          </rPr>
          <t xml:space="preserve">REDUÇÃO EFETUADA VISTO QUE NÃO HOUVE PRODUÇÃO NO MÊS DE SET/18 REFERENTE AO PROJETO SAÚDE PARA TODOS  OS GOIANOS CONFORME:
PROC. 201900010013494 - Memorando nº: 82/2019 - COGER- 06518
</t>
        </r>
      </text>
    </comment>
    <comment ref="P243" authorId="0" shapeId="0" xr:uid="{00000000-0006-0000-0000-00005F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3" authorId="0" shapeId="0" xr:uid="{00000000-0006-0000-0000-000009060000}">
      <text>
        <r>
          <rPr>
            <b/>
            <sz val="9"/>
            <color rgb="FF000000"/>
            <rFont val="Tahoma"/>
            <family val="2"/>
            <charset val="1"/>
          </rPr>
          <t xml:space="preserve">CELG - SET/18
</t>
        </r>
      </text>
    </comment>
    <comment ref="AE243" authorId="0" shapeId="0" xr:uid="{00000000-0006-0000-0000-00005F080000}">
      <text>
        <r>
          <rPr>
            <sz val="11"/>
            <color rgb="FF000000"/>
            <rFont val="Calibri"/>
            <family val="2"/>
            <charset val="1"/>
          </rPr>
          <t xml:space="preserve">R$ 240.228,64 REDUÇÃO EFETUADA VISTO QUE NÃO HOUVE PRODUÇÃO NO MÊS DE OUT/18 REFERENTE AO PROJETO SAÚDE PARA TODOS  OS GOIANOS CONFORME:
PROC. 201800010046837 - Despacho nº: 86/2019 - CER- 03099
</t>
        </r>
        <r>
          <rPr>
            <sz val="9"/>
            <color rgb="FF000000"/>
            <rFont val="Tahoma"/>
            <family val="2"/>
            <charset val="1"/>
          </rPr>
          <t>.
R$ 1.316.895,75  GLOSA PELO NÃO CUMPRIMENTO DE METAS NO PERÍODO AVALIADO DE 01/07 A 31/12/18, CONF.PARECER COMFIC- 03854 Nº 3/2019 E Memorando nº: 1211/2019 - SGPF- 03079 NO PROC.201900010014042.</t>
        </r>
      </text>
    </comment>
    <comment ref="AF243" authorId="0" shapeId="0" xr:uid="{00000000-0006-0000-0000-0000FF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r>
      </text>
    </comment>
    <comment ref="P244" authorId="0" shapeId="0" xr:uid="{00000000-0006-0000-0000-000060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4" authorId="0" shapeId="0" xr:uid="{00000000-0006-0000-0000-000034030000}">
      <text>
        <r>
          <rPr>
            <b/>
            <sz val="9"/>
            <color rgb="FF000000"/>
            <rFont val="Tahoma"/>
            <family val="2"/>
            <charset val="1"/>
          </rPr>
          <t xml:space="preserve">GLOSA ESTIMADA NÃO VEIO PLANILHA GEFIC - 14-12-18
</t>
        </r>
      </text>
    </comment>
    <comment ref="AD244" authorId="0" shapeId="0" xr:uid="{00000000-0006-0000-0000-00000A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4" authorId="0" shapeId="0" xr:uid="{00000000-0006-0000-0000-000060080000}">
      <text>
        <r>
          <rPr>
            <b/>
            <sz val="9"/>
            <color rgb="FF000000"/>
            <rFont val="Tahoma"/>
            <family val="2"/>
            <charset val="1"/>
          </rPr>
          <t xml:space="preserve">REDUÇÃO EFETUADA VISTO QUE NÃO HOUVE PRODUÇÃO NO MÊS DE NOV/18 REFERENTE AO PROJETO SAÚDE PARA TODOS  OS GOIANOS CONFORME:
PROC. 201800010046837 - Despacho nº: 86/2019 - CER- 03099
</t>
        </r>
      </text>
    </comment>
    <comment ref="AF244" authorId="0" shapeId="0" xr:uid="{00000000-0006-0000-0000-000000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r>
      </text>
    </comment>
    <comment ref="P245" authorId="0" shapeId="0" xr:uid="{00000000-0006-0000-0000-000061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5" authorId="0" shapeId="0" xr:uid="{00000000-0006-0000-0000-000035030000}">
      <text>
        <r>
          <rPr>
            <b/>
            <sz val="9"/>
            <color rgb="FF000000"/>
            <rFont val="Tahoma"/>
            <family val="2"/>
            <charset val="1"/>
          </rPr>
          <t xml:space="preserve">GLOSA ESTIMADA NÃO VEIO PLANILHA GEFIC - 14-12-18
</t>
        </r>
      </text>
    </comment>
    <comment ref="AD245" authorId="0" shapeId="0" xr:uid="{00000000-0006-0000-0000-00000B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5" authorId="0" shapeId="0" xr:uid="{00000000-0006-0000-0000-000061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t>
        </r>
        <r>
          <rPr>
            <sz val="9"/>
            <color rgb="FF000000"/>
            <rFont val="Tahoma"/>
            <family val="2"/>
            <charset val="1"/>
          </rPr>
          <t>.
REDUÇÃO EFETUADA VISTO QUE NÃO HOUVE PRODUÇÃO NO MÊS DE DEZ/18 REFERENTE AO PROJETO SAÚDE PARA TODOS  OS GOIANOS CONFORME:
PROC. 201800010046837 - Despacho nº: 86/2019 - CER- 03099</t>
        </r>
        <r>
          <rPr>
            <b/>
            <sz val="9"/>
            <color rgb="FF000000"/>
            <rFont val="Tahoma"/>
            <family val="2"/>
            <charset val="1"/>
          </rPr>
          <t xml:space="preserve">...............................................R$ 240.228,64
</t>
        </r>
        <r>
          <rPr>
            <sz val="9"/>
            <color rgb="FF000000"/>
            <rFont val="Tahoma"/>
            <family val="2"/>
            <charset val="1"/>
          </rPr>
          <t xml:space="preserve">.
</t>
        </r>
        <r>
          <rPr>
            <b/>
            <sz val="9"/>
            <color rgb="FF000000"/>
            <rFont val="Tahoma"/>
            <family val="2"/>
            <charset val="1"/>
          </rPr>
          <t xml:space="preserve">GLOSA DA DIFERENÇA NO VALOR DE R$ 858.048,68 </t>
        </r>
        <r>
          <rPr>
            <sz val="9"/>
            <color rgb="FF000000"/>
            <rFont val="Tahoma"/>
            <family val="2"/>
            <charset val="1"/>
          </rPr>
          <t>,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r>
      </text>
    </comment>
    <comment ref="AF245" authorId="0" shapeId="0" xr:uid="{00000000-0006-0000-0000-000001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r>
      </text>
    </comment>
    <comment ref="P246" authorId="0" shapeId="0" xr:uid="{00000000-0006-0000-0000-000062010000}">
      <text>
        <r>
          <rPr>
            <sz val="9"/>
            <color rgb="FF000000"/>
            <rFont val="Tahoma"/>
            <family val="2"/>
            <charset val="1"/>
          </rPr>
          <t xml:space="preserve">8.734.973,71  PRORROGAÇÃO;
3.458.505,44 APORTE COBRIR ESTIMATIVA GLOSA DE FOLHA;
71.956,27  APORTE RESIDÊNCIA MÉDICA;
</t>
        </r>
      </text>
    </comment>
    <comment ref="AD246" authorId="0" shapeId="0" xr:uid="{00000000-0006-0000-0000-00000C060000}">
      <text>
        <r>
          <rPr>
            <b/>
            <sz val="9"/>
            <color rgb="FF000000"/>
            <rFont val="Tahoma"/>
            <family val="2"/>
            <charset val="1"/>
          </rPr>
          <t xml:space="preserve">ENEL - DEZ/18
</t>
        </r>
      </text>
    </comment>
    <comment ref="P247" authorId="0" shapeId="0" xr:uid="{00000000-0006-0000-0000-000063010000}">
      <text>
        <r>
          <rPr>
            <sz val="9"/>
            <color rgb="FF000000"/>
            <rFont val="Tahoma"/>
            <family val="2"/>
            <charset val="1"/>
          </rPr>
          <t xml:space="preserve">8.734.973,71  PRORROGAÇÃO;
3.458.505,44 APORTE COBRIR ESTIMATIVA GLOSA DE FOLHA;
71.956,27  APORTE RESIDÊNCIA MÉDICA;
</t>
        </r>
      </text>
    </comment>
    <comment ref="P248" authorId="0" shapeId="0" xr:uid="{00000000-0006-0000-0000-000064010000}">
      <text>
        <r>
          <rPr>
            <sz val="9"/>
            <color rgb="FF000000"/>
            <rFont val="Tahoma"/>
            <family val="2"/>
            <charset val="1"/>
          </rPr>
          <t xml:space="preserve">8.734.973,71  PRORROGAÇÃO;
3.458.505,44 APORTE COBRIR ESTIMATIVA GLOSA DE FOLHA;
71.956,27  APORTE RESIDÊNCIA MÉDICA;
</t>
        </r>
      </text>
    </comment>
    <comment ref="AD248" authorId="0" shapeId="0" xr:uid="{00000000-0006-0000-0000-00000D060000}">
      <text>
        <r>
          <rPr>
            <b/>
            <sz val="9"/>
            <color rgb="FF000000"/>
            <rFont val="Tahoma"/>
            <family val="2"/>
            <charset val="1"/>
          </rPr>
          <t xml:space="preserve">REFERÊNCIA JAN/19 - LANÇADO PLANILHA GEFIC EM FEV/19
</t>
        </r>
      </text>
    </comment>
    <comment ref="P249" authorId="0" shapeId="0" xr:uid="{00000000-0006-0000-0000-000065010000}">
      <text>
        <r>
          <rPr>
            <sz val="9"/>
            <color rgb="FF000000"/>
            <rFont val="Tahoma"/>
            <family val="2"/>
            <charset val="1"/>
          </rPr>
          <t xml:space="preserve">8.734.973,71  PRORROGAÇÃO;
3.458.505,44 APORTE COBRIR ESTIMATIVA GLOSA DE FOLHA;
71.956,27  APORTE RESIDÊNCIA MÉDICA;
</t>
        </r>
      </text>
    </comment>
    <comment ref="AA249" authorId="0" shapeId="0" xr:uid="{00000000-0006-0000-0000-000036030000}">
      <text>
        <r>
          <rPr>
            <b/>
            <sz val="9"/>
            <color rgb="FF000000"/>
            <rFont val="Tahoma"/>
            <family val="2"/>
            <charset val="1"/>
          </rPr>
          <t xml:space="preserve">VALOR ESTIMADO PREVISTO CONTRATO GESTÃO. 
</t>
        </r>
      </text>
    </comment>
    <comment ref="AD249" authorId="0" shapeId="0" xr:uid="{00000000-0006-0000-0000-00000E060000}">
      <text>
        <r>
          <rPr>
            <b/>
            <sz val="9"/>
            <color rgb="FF000000"/>
            <rFont val="Tahoma"/>
            <family val="2"/>
            <charset val="1"/>
          </rPr>
          <t xml:space="preserve">REFERÊNCIA FEV/19 - LANÇADO PLANILHA GEFIC EM MAR19
</t>
        </r>
      </text>
    </comment>
    <comment ref="P250" authorId="0" shapeId="0" xr:uid="{00000000-0006-0000-0000-000066010000}">
      <text>
        <r>
          <rPr>
            <sz val="9"/>
            <color rgb="FF000000"/>
            <rFont val="Tahoma"/>
            <family val="2"/>
            <charset val="1"/>
          </rPr>
          <t xml:space="preserve">8.734.973,71  PRORROGAÇÃO;
3.458.505,44 APORTE COBRIR ESTIMATIVA GLOSA DE FOLHA;
71.956,27  APORTE RESIDÊNCIA MÉDICA;
</t>
        </r>
      </text>
    </comment>
    <comment ref="AA250" authorId="0" shapeId="0" xr:uid="{00000000-0006-0000-0000-000037030000}">
      <text>
        <r>
          <rPr>
            <b/>
            <sz val="9"/>
            <color rgb="FF000000"/>
            <rFont val="Tahoma"/>
            <family val="2"/>
            <charset val="1"/>
          </rPr>
          <t xml:space="preserve">VALOR ESTIMADO PREVISTO CONTRATO GESTÃO. 
</t>
        </r>
      </text>
    </comment>
    <comment ref="AD250" authorId="0" shapeId="0" xr:uid="{00000000-0006-0000-0000-00000F060000}">
      <text>
        <r>
          <rPr>
            <b/>
            <sz val="9"/>
            <color rgb="FF000000"/>
            <rFont val="Tahoma"/>
            <family val="2"/>
            <charset val="1"/>
          </rPr>
          <t xml:space="preserve">REFERÊNCIA MAR/19 - LANÇADO PLANILHA GEFIC EM ABR/19
</t>
        </r>
      </text>
    </comment>
    <comment ref="AE250" authorId="0" shapeId="0" xr:uid="{00000000-0006-0000-0000-000062080000}">
      <text>
        <r>
          <rPr>
            <sz val="9"/>
            <color rgb="FF000000"/>
            <rFont val="Tahoma"/>
            <family val="2"/>
            <charset val="1"/>
          </rPr>
          <t xml:space="preserve">DIFERENÇA APURADA ENTRE O VALOR PAGO E O PRODUZIDO DO PROJETO SAÚDE PARA TODOS PROC.201800010046837 (PRESTAÇÃO DE CONTAS)
GEROU UMA DIFERENÇA DE R$ 1.338.505,96 QUE FOI DIVIDIDO EM 3 PARCELAS DUAS DE R$ 446.168,65 E UMA DE  R$ 446.168,66.
</t>
        </r>
      </text>
    </comment>
    <comment ref="P251" authorId="0" shapeId="0" xr:uid="{00000000-0006-0000-0000-000067010000}">
      <text>
        <r>
          <rPr>
            <b/>
            <sz val="9"/>
            <color rgb="FF000000"/>
            <rFont val="Tahoma"/>
            <family val="2"/>
            <charset val="1"/>
          </rPr>
          <t xml:space="preserve">ATÉ 28/06/19
</t>
        </r>
      </text>
    </comment>
    <comment ref="Q251" authorId="0" shapeId="0" xr:uid="{00000000-0006-0000-0000-00009B010000}">
      <text>
        <r>
          <rPr>
            <sz val="9"/>
            <color rgb="FF000000"/>
            <rFont val="Tahoma"/>
            <family val="2"/>
            <charset val="1"/>
          </rPr>
          <t xml:space="preserve">A PARTIR 29/06/19
</t>
        </r>
      </text>
    </comment>
    <comment ref="AA251" authorId="0" shapeId="0" xr:uid="{00000000-0006-0000-0000-000038030000}">
      <text>
        <r>
          <rPr>
            <b/>
            <sz val="9"/>
            <color rgb="FF000000"/>
            <rFont val="Tahoma"/>
            <family val="2"/>
            <charset val="1"/>
          </rPr>
          <t xml:space="preserve">FOLHA VALOR ESTIMADO PREVISTO CONTRATO GESTÃO. R$ 3.458.505,44
.
AJUSTE FOI DEDUZIDO DO VALOR DA FOLHA VISTO QUE AINDA NÃO HOUVE OUTORGA DO ADITIVO:
CELG - R$ 53.241,86
</t>
        </r>
      </text>
    </comment>
    <comment ref="AD251" authorId="0" shapeId="0" xr:uid="{00000000-0006-0000-0000-000010060000}">
      <text>
        <r>
          <rPr>
            <b/>
            <sz val="9"/>
            <color rgb="FF000000"/>
            <rFont val="Tahoma"/>
            <family val="2"/>
            <charset val="1"/>
          </rPr>
          <t xml:space="preserve">R$ 56.674,66 - CELG - REFERÊNCIA ABR/19 - LANÇADO PLANILHA GEFIC EM MAI/19;
.
R$ 53.241,86 CELG - REFERÊNCIA MAI/19 - LANÇADO PLANILHA GEFIC EM JUN/19
</t>
        </r>
      </text>
    </comment>
    <comment ref="AE251" authorId="0" shapeId="0" xr:uid="{00000000-0006-0000-0000-000063080000}">
      <text>
        <r>
          <rPr>
            <b/>
            <sz val="9"/>
            <color rgb="FF000000"/>
            <rFont val="Tahoma"/>
            <family val="2"/>
            <charset val="1"/>
          </rPr>
          <t xml:space="preserve">1ª E 2ª PARCELA  (ABR e MAI/19)- DIFERENÇA APURADA ENTRE O VALOR PAGO E O PRODUZIDO DO PROJETO SAÚDE PARA TODOS PROC.201800010046837 (PRESTAÇÃO DE CONTAS) GEROU UMA DIFERENÇA DE R$ 1.338.505,96 QUE FOI DIVIDIDO EM 3 PARCELAS DUAS DE R$ 446.168,65 E UMA DE  R$ 446.168,66.
.
LANÇADO NA PLANILHA DE ABR/19
</t>
        </r>
      </text>
    </comment>
    <comment ref="Z252" authorId="0" shapeId="0" xr:uid="{00000000-0006-0000-0000-00004A020000}">
      <text>
        <r>
          <rPr>
            <b/>
            <sz val="9"/>
            <color rgb="FF000000"/>
            <rFont val="Tahoma"/>
            <family val="2"/>
            <charset val="1"/>
          </rPr>
          <t xml:space="preserve">REFERÊNCIA JUN/19 - LANÇADO PLANILHA PAGAMENTO GEFIC EM JUL/19
</t>
        </r>
      </text>
    </comment>
    <comment ref="AA252" authorId="0" shapeId="0" xr:uid="{00000000-0006-0000-0000-000039030000}">
      <text>
        <r>
          <rPr>
            <b/>
            <sz val="9"/>
            <color rgb="FF000000"/>
            <rFont val="Tahoma"/>
            <family val="2"/>
            <charset val="1"/>
          </rPr>
          <t xml:space="preserve">REFERÊNCIA JUN/19 - LANÇADO PLANILHA PAGAMENTO GEFIC EM JUL/19
</t>
        </r>
      </text>
    </comment>
    <comment ref="AD252" authorId="0" shapeId="0" xr:uid="{00000000-0006-0000-0000-000011060000}">
      <text>
        <r>
          <rPr>
            <sz val="11"/>
            <color rgb="FF000000"/>
            <rFont val="Calibri"/>
            <family val="2"/>
            <charset val="1"/>
          </rPr>
          <t xml:space="preserve">REFERÊNCIA JUN/19 - LANÇADO PLANILHA PAGAMENTO GEFIC EM JUL/19
</t>
        </r>
      </text>
    </comment>
    <comment ref="AA253" authorId="0" shapeId="0" xr:uid="{00000000-0006-0000-0000-00003A030000}">
      <text>
        <r>
          <rPr>
            <sz val="11"/>
            <color rgb="FF000000"/>
            <rFont val="Calibri"/>
            <family val="2"/>
            <charset val="1"/>
          </rPr>
          <t xml:space="preserve">VALOR ESTIMADO PREVISTO CONTRATO GESTÃO.
</t>
        </r>
      </text>
    </comment>
    <comment ref="AA254" authorId="0" shapeId="0" xr:uid="{00000000-0006-0000-0000-00003B030000}">
      <text>
        <r>
          <rPr>
            <sz val="11"/>
            <color rgb="FF000000"/>
            <rFont val="Calibri"/>
            <family val="2"/>
            <charset val="1"/>
          </rPr>
          <t xml:space="preserve">VALOR ESTIMADO PREVISTO CONTRATO GESTÃO.
</t>
        </r>
      </text>
    </comment>
    <comment ref="AB254" authorId="0" shapeId="0" xr:uid="{00000000-0006-0000-0000-000085040000}">
      <text>
        <r>
          <rPr>
            <sz val="11"/>
            <color rgb="FF000000"/>
            <rFont val="Calibri"/>
            <family val="2"/>
            <charset val="1"/>
          </rPr>
          <t xml:space="preserve">R$ 54.371,38 DIFERENÇA GLOSA DE FOLHA JUL/19 LANÇADA NA PLANILHA DE PREVISÃO DE PAGAMENTO AGO/19 DA GEFIC (O PAGAMENTO PASSOU A SER REALIZADO DENTRO DO MÊS DE REFERÊNCIA POR ISSO FOI LANÇADA GLOSA ESTIMADA PREVISTA NO CONTRATO DE GESTÃO)
</t>
        </r>
      </text>
    </comment>
    <comment ref="AD254" authorId="0" shapeId="0" xr:uid="{00000000-0006-0000-0000-000012060000}">
      <text>
        <r>
          <rPr>
            <sz val="9"/>
            <color rgb="FF000000"/>
            <rFont val="Segoe UI"/>
            <family val="2"/>
            <charset val="1"/>
          </rPr>
          <t xml:space="preserve">REF.AGO 2019, LANÇADO NA PLANILHA DE PAGAMENTO SET DE 2019
</t>
        </r>
      </text>
    </comment>
    <comment ref="AA255" authorId="0" shapeId="0" xr:uid="{00000000-0006-0000-0000-00003C030000}">
      <text>
        <r>
          <rPr>
            <sz val="11"/>
            <color rgb="FF000000"/>
            <rFont val="Calibri"/>
            <family val="2"/>
            <charset val="1"/>
          </rPr>
          <t xml:space="preserve">VALOR ESTIMADO PREVISTO CONTRATO GESTÃO.
</t>
        </r>
      </text>
    </comment>
    <comment ref="AU255" authorId="0" shapeId="0" xr:uid="{00000000-0006-0000-0000-0000B0090000}">
      <text>
        <r>
          <rPr>
            <sz val="11"/>
            <color rgb="FF000000"/>
            <rFont val="Calibri"/>
            <family val="2"/>
            <charset val="1"/>
          </rPr>
          <t xml:space="preserve">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t>
        </r>
        <r>
          <rPr>
            <sz val="9"/>
            <color rgb="FF000000"/>
            <rFont val="Tahoma"/>
            <family val="2"/>
            <charset val="1"/>
          </rPr>
          <t>.
R$ 208.734,99 - RESSARCIMENTO DE VALORES DESPENDIDOS COM ENCARGOS DAS RESCISÕES TRABALHISTAS DO  HMI, DOS MESES DE outubro, novembro e dezembro de 2017, Processo nº 201800010012591.</t>
        </r>
      </text>
    </comment>
    <comment ref="AA256" authorId="0" shapeId="0" xr:uid="{00000000-0006-0000-0000-00003D030000}">
      <text>
        <r>
          <rPr>
            <sz val="11"/>
            <color rgb="FF000000"/>
            <rFont val="Calibri"/>
            <family val="2"/>
            <charset val="1"/>
          </rPr>
          <t xml:space="preserve">VALOR ESTIMADO PREVISTO CONTRATO GESTÃO.
</t>
        </r>
      </text>
    </comment>
    <comment ref="AB256" authorId="0" shapeId="0" xr:uid="{00000000-0006-0000-0000-000086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D256" authorId="0" shapeId="0" xr:uid="{00000000-0006-0000-0000-000013060000}">
      <text>
        <r>
          <rPr>
            <b/>
            <sz val="9"/>
            <color rgb="FF000000"/>
            <rFont val="Tahoma"/>
            <family val="2"/>
            <charset val="1"/>
          </rPr>
          <t>ENERGIA - REFERÊNCIA SET/19 - LANÇADO PLANILHA PAGAMENTO GEFIC EM OUT/19</t>
        </r>
      </text>
    </comment>
    <comment ref="AO256" authorId="0" shapeId="0" xr:uid="{00000000-0006-0000-0000-000058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256" authorId="0" shapeId="0" xr:uid="{00000000-0006-0000-0000-0000B1090000}">
      <text>
        <r>
          <rPr>
            <sz val="9"/>
            <color rgb="FF000000"/>
            <rFont val="Tahoma"/>
            <family val="2"/>
            <charset val="1"/>
          </rPr>
          <t xml:space="preserve">R$ 157.523,06 - RESSARCIMENTO DE VALORES DESPENDIDOS COM ENCAR
GOS DAS RESCISÕES TRABALHISTAS DO HOSPITAL ESTADUAL MATERNO-INFANTIL DR. JURANDIR DO NASCIMENTO - HMI, REFERENTES AOS MESES DE OUTUBRO, NOVEMBRO E DEZEMBRO DE 2018, PROC: 201900010008042.
</t>
        </r>
      </text>
    </comment>
    <comment ref="Q257" authorId="0" shapeId="0" xr:uid="{00000000-0006-0000-0000-00009C010000}">
      <text>
        <r>
          <rPr>
            <b/>
            <sz val="9"/>
            <color rgb="FF000000"/>
            <rFont val="Tahoma"/>
            <family val="2"/>
            <charset val="1"/>
          </rPr>
          <t>ATÉ 25/12/19</t>
        </r>
      </text>
    </comment>
    <comment ref="AA257" authorId="0" shapeId="0" xr:uid="{00000000-0006-0000-0000-00003E030000}">
      <text>
        <r>
          <rPr>
            <sz val="11"/>
            <color rgb="FF000000"/>
            <rFont val="Calibri"/>
            <family val="2"/>
            <charset val="1"/>
          </rPr>
          <t xml:space="preserve">VALOR ESTIMADO PREVISTO CONTRATO GESTÃO.
</t>
        </r>
      </text>
    </comment>
    <comment ref="AD257" authorId="0" shapeId="0" xr:uid="{00000000-0006-0000-0000-000014060000}">
      <text>
        <r>
          <rPr>
            <sz val="11"/>
            <color rgb="FF000000"/>
            <rFont val="Calibri"/>
            <family val="2"/>
            <charset val="1"/>
          </rPr>
          <t xml:space="preserve">R$ 63.125,15 - ENERGIA - REFERÊNCIA OUT/19 - LANÇADO PLANILHA PAGAMENTO GEFIC EM NOV/19
.
R$ 58.409,88 - ENERGIA - REFERÊNCIA NOV/19 - LANÇADO PLANILHA PAGAMENTO GEFIC EM DEZ/19
</t>
        </r>
        <r>
          <rPr>
            <sz val="9"/>
            <color rgb="FF000000"/>
            <rFont val="Tahoma"/>
            <family val="2"/>
            <charset val="1"/>
          </rPr>
          <t>.
R$ 49.493,04 - ENERGIA - REFERÊNCIA DEZ/19 - LANÇADO PLANILHA PAGAMENTO GEFIC EM JAN/20</t>
        </r>
      </text>
    </comment>
    <comment ref="AE257" authorId="0" shapeId="0" xr:uid="{00000000-0006-0000-0000-000064080000}">
      <text>
        <r>
          <rPr>
            <sz val="11"/>
            <color rgb="FF000000"/>
            <rFont val="Calibri"/>
            <family val="2"/>
            <charset val="1"/>
          </rPr>
          <t xml:space="preserve">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
</t>
        </r>
      </text>
    </comment>
    <comment ref="AO257" authorId="0" shapeId="0" xr:uid="{00000000-0006-0000-0000-000059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257" authorId="0" shapeId="0" xr:uid="{00000000-0006-0000-0000-0000160A0000}">
      <text>
        <r>
          <rPr>
            <b/>
            <sz val="9"/>
            <color rgb="FF000000"/>
            <rFont val="Tahoma"/>
            <family val="2"/>
            <charset val="1"/>
          </rPr>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r>
      </text>
    </comment>
    <comment ref="AA258" authorId="0" shapeId="0" xr:uid="{00000000-0006-0000-0000-00003F030000}">
      <text>
        <r>
          <rPr>
            <sz val="11"/>
            <color rgb="FF000000"/>
            <rFont val="Calibri"/>
            <family val="2"/>
            <charset val="1"/>
          </rPr>
          <t xml:space="preserve">VALOR ESTIMADO PREVISTO CONTRATO GESTÃO.
</t>
        </r>
      </text>
    </comment>
    <comment ref="S259" authorId="0" shapeId="0" xr:uid="{00000000-0006-0000-0000-0000EA010000}">
      <text>
        <r>
          <rPr>
            <sz val="9"/>
            <color rgb="FF000000"/>
            <rFont val="Segoe UI"/>
            <family val="2"/>
            <charset val="1"/>
          </rPr>
          <t xml:space="preserve">SERVIÇOS DE IMAGINOLOGIA
</t>
        </r>
      </text>
    </comment>
    <comment ref="AA259" authorId="0" shapeId="0" xr:uid="{00000000-0006-0000-0000-000040030000}">
      <text>
        <r>
          <rPr>
            <sz val="11"/>
            <color rgb="FF000000"/>
            <rFont val="Calibri"/>
            <family val="2"/>
            <charset val="1"/>
          </rPr>
          <t xml:space="preserve">VALOR ESTIMADO PREVISTO CONTRATO GESTÃO.
</t>
        </r>
      </text>
    </comment>
    <comment ref="AD259" authorId="0" shapeId="0" xr:uid="{00000000-0006-0000-0000-000015060000}">
      <text>
        <r>
          <rPr>
            <sz val="11"/>
            <color rgb="FF000000"/>
            <rFont val="Calibri"/>
            <family val="2"/>
            <charset val="1"/>
          </rPr>
          <t xml:space="preserve">ENERGIA - REFERÊNCIA JAN/20 - LANÇADO PLANILHA PAGAMENTO GEFIC EM FEV/20
</t>
        </r>
      </text>
    </comment>
    <comment ref="AA260" authorId="0" shapeId="0" xr:uid="{00000000-0006-0000-0000-000041030000}">
      <text>
        <r>
          <rPr>
            <sz val="11"/>
            <color rgb="FF000000"/>
            <rFont val="Calibri"/>
            <family val="2"/>
            <charset val="1"/>
          </rPr>
          <t xml:space="preserve">VALOR ESTIMADO PREVISTO CONTRATO GESTÃO.
</t>
        </r>
      </text>
    </comment>
    <comment ref="AD260" authorId="0" shapeId="0" xr:uid="{00000000-0006-0000-0000-000016060000}">
      <text>
        <r>
          <rPr>
            <b/>
            <sz val="9"/>
            <color rgb="FF000000"/>
            <rFont val="Segoe UI"/>
            <family val="2"/>
            <charset val="1"/>
          </rPr>
          <t>ENERGIA - REFERÊNCIA FEV/20 - LANÇADO PLANILHA PAGAMENTO GEFIC EM MAR/20</t>
        </r>
      </text>
    </comment>
    <comment ref="AE260" authorId="0" shapeId="0" xr:uid="{00000000-0006-0000-0000-000065080000}">
      <text>
        <r>
          <rPr>
            <sz val="11"/>
            <color rgb="FF000000"/>
            <rFont val="Calibri"/>
            <family val="2"/>
            <charset val="1"/>
          </rPr>
          <t xml:space="preserve">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r>
      </text>
    </comment>
    <comment ref="AU260" authorId="0" shapeId="0" xr:uid="{00000000-0006-0000-0000-0000B2090000}">
      <text>
        <r>
          <rPr>
            <sz val="11"/>
            <color rgb="FF000000"/>
            <rFont val="Calibri"/>
            <family val="2"/>
            <charset val="1"/>
          </rPr>
          <t xml:space="preserve">R$ 128.162,41 - RESSARCIMENTO DE VALORES DESPENDIDOS COM ENCARGOS DAS RESCISÕES TRABALHISTAS DO HOSPITAL ESTADUAL MATERNO-INFANTIL DR. JURANDIR DO NASCIMENTO - HMI, REFERENTES AOS MESES DE JULHO A DE AGOSTO DE 2019. . DOCUMENTOS;DESP Nº 270/2019.DESP Nº 358/2020. DESP Nº 00156/2020;REQUISIÇÃO DE DESPESA N° 15/2020 . .PROC 201900010037716.
.
R$ 80.976,25 - RESSARCIMENTO DE VALORES DESPENDIDOS COM ENCARGOS DAS RESCISÕES TRABALHISTAS DO HOSPITAL ESTADUAL MATERNO-INFANTIL DR. JURANDIR DO NASCIMENTO - HMI, REFERENTES AO MÊS DE SETEMBRO DE 2019. . DOCUMENTO DESPACHO Nº 294/2019. REQUISIÇÃO DE DESPESA N° 11/2019. DESPACHO Nº 84/2020. DESPACHO Nº 141/2020 - SGI- DESPACHO Nº 00036/2020. . .PROC 201900010041261.
.
R$ 141.100,52 - RESSARCIMENTO DE VALORES DESPENDIDOS COM ENCARGOS DAS RESCISÕES TRABALHISTAS DO HOSPITAL ESTADUAL MATERNO-INFANTIL DR. JURANDIR DO NASCIMENTO - HMI, DOS MESES DE JANEIRO A MARÇO DE 2019. . DOCUMENTOS: MEMO Nº:1027/2019. DESP Nº 151/2019;REQUIS DE DESP N° 89/2019. DESP Nº 150/2019. DESP Nº 27532020. DESP Nº 30/2020. DESP Nº 308/2020.DESP Nº 00131/2020. . PROC .201900010018404.
</t>
        </r>
        <r>
          <rPr>
            <sz val="9"/>
            <color rgb="FF000000"/>
            <rFont val="Tahoma"/>
            <family val="2"/>
            <charset val="1"/>
          </rPr>
          <t>.
R$ 13.880,47 - RESSARCIMENTO DE VALORES DESPENDIDOS COM ENCARGOS DAS RESCISÕES TRABALHISTAS DO HOSPITAL ESTADUAL MATERNO-INFANTIL DR. JURANDIR DO NASCIMENTO - HMI. . PARCELA UNICA: REFERENTE AO MÊS DE NOVEMBRO DE 2019. . DOCUMENTOS:DESPACHO Nº 11/2020. DESPACHO Nº 153/2020 - GAOS- 14421. REQUISIÇÃO DE DESPESA N° 23/2020.DESPACHO Nº 00151/2020. . PROC 202000010002875.
.
R$ 208.688,33 - RESSARCIMENTO DE VALORES DESPENDIDOS COM ENCARGOS DAS RESCISÕES TRABALHISTAS DO HOSPITAL ESTADUAL MATERNO-INFANTIL DR. JURANDIR DO NASCIMENTO - HMI, . REFERENTES AO MÊS DE MAIO DE 2019. . DOCUMENTOS; REQUISIÇÃO DE DESPESA N° 90/2019. DESPACHO Nº 152/2019. DESPACHO Nº 2739/2019. DESPACHO Nº 29/2020. DESPACHO Nº 00101/2020. . PROC 201900010024437.
.
R$ 355.279,30 - RESSARCIMENTO DE VALORES DESPENDIDOS COM ENCARGOS DAS RESCISÕES TRABALHISTAS DO HOSPITAL ESTADUAL MATERNO-INFANTIL DR. JURANDIR DO NASCIMENTO - HMI, REFERENTES AO MÊS DE JUNHO DE 2019. . DOCUMENTOS; MEMORANDO Nº: 1531/2019 DESPACHO Nº 233/2019. REQUISIÇÃO DE DESPESA N° 104/2019. DESPACHO Nº 169/2019. DESPACHO Nº 28/2020.DESPACHO Nº 00092/2020 . PROC 201900010028132
.
R$ 56.570,82 - RESSARCIMENTO DE VALORES DESPENDIDOS COM ENCARGOS DAS RES TRABALHISTAS DO HOSPITAL ESTADUAL MATERNO-INFANTIL DR. JURANDIR DO NASCIMENTO - HMI, REFERENTES AO MÊS DE ABRIL DE 2019. . DOCUMENTOS: MEMO Nº: 1125/2019. DESPA Nº 147/2019. REQUIS DE DESP N° 81/2019. DESP Nº 186/2019 . DES Nº 3563/2019 – . DESP Nº 11/2020. DESPA Nº 27/2020. DESP Nº 325/2020 . DESPA Nº 102/2020 . .-PROC 201900010020360.
.
R$ 184.138,62 - REPASSE DE RECURSOS FINANCEIROS À ORGANIZAÇÃO SOCIAL INSTITUTO DE GESTÃO E HUMANIZAÇÃO - IGH, A TÍTULO DE RESSARCIMENTO DE VALORES DESPENDIDOS COM ENCARGOS DAS RESCISÕES TRABALHISTAS DO HOSPITAL ESTADUAL MATERNO-INFANTIL DR. JURANDIR DO NASCIMENTO-HMI, REFERENTE AO MÊS DE DEZEMBRO DE 2019. . DOCUMENTOS:DESPACHO Nº 12/2020. DESPACHO Nº 149/2020. REQUISIÇÃO DE DESPESA N°19/2020.DESPACHO Nº 363/2020. DESPACHO Nº 00152/2020 . PROC 202000010002876</t>
        </r>
      </text>
    </comment>
    <comment ref="AW260" authorId="0" shapeId="0" xr:uid="{00000000-0006-0000-0000-0000170A0000}">
      <text>
        <r>
          <rPr>
            <sz val="11"/>
            <color rgb="FF000000"/>
            <rFont val="Calibri"/>
            <family val="2"/>
            <charset val="1"/>
          </rPr>
          <t xml:space="preserve">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
</t>
        </r>
      </text>
    </comment>
    <comment ref="AA261" authorId="0" shapeId="0" xr:uid="{00000000-0006-0000-0000-000042030000}">
      <text>
        <r>
          <rPr>
            <sz val="11"/>
            <color rgb="FF000000"/>
            <rFont val="Calibri"/>
            <family val="2"/>
            <charset val="1"/>
          </rPr>
          <t xml:space="preserve">VALOR ESTIMADO PREVISTO CONTRATO GESTÃO.
</t>
        </r>
      </text>
    </comment>
    <comment ref="AB261" authorId="0" shapeId="0" xr:uid="{00000000-0006-0000-0000-000087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261" authorId="0" shapeId="0" xr:uid="{00000000-0006-0000-0000-000017060000}">
      <text>
        <r>
          <rPr>
            <sz val="11"/>
            <color rgb="FF000000"/>
            <rFont val="Calibri"/>
            <family val="2"/>
            <charset val="1"/>
          </rPr>
          <t xml:space="preserve">ESTIMATIVA FEV/20
</t>
        </r>
      </text>
    </comment>
    <comment ref="AU261" authorId="0" shapeId="0" xr:uid="{00000000-0006-0000-0000-0000B3090000}">
      <text>
        <r>
          <rPr>
            <sz val="11"/>
            <color rgb="FF000000"/>
            <rFont val="Calibri"/>
            <family val="2"/>
            <charset val="1"/>
          </rPr>
          <t xml:space="preserve">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
</t>
        </r>
      </text>
    </comment>
    <comment ref="AW261" authorId="0" shapeId="0" xr:uid="{00000000-0006-0000-0000-0000180A0000}">
      <text>
        <r>
          <rPr>
            <sz val="11"/>
            <color rgb="FF000000"/>
            <rFont val="Calibri"/>
            <family val="2"/>
            <charset val="1"/>
          </rPr>
          <t xml:space="preserve">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
</t>
        </r>
      </text>
    </comment>
    <comment ref="Z262" authorId="0" shapeId="0" xr:uid="{00000000-0006-0000-0000-00004B020000}">
      <text>
        <r>
          <rPr>
            <sz val="11"/>
            <color rgb="FF000000"/>
            <rFont val="Calibri"/>
            <family val="2"/>
            <charset val="1"/>
          </rPr>
          <t xml:space="preserve">GLOSA DE FOLHA ABR/20 LANÇADA NA PLANILHA DE PREVISÃO DE PAGAMENTO MAI/20 DA GAOS
</t>
        </r>
      </text>
    </comment>
    <comment ref="AB262" authorId="0" shapeId="0" xr:uid="{00000000-0006-0000-0000-00008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262" authorId="0" shapeId="0" xr:uid="{00000000-0006-0000-0000-000018060000}">
      <text>
        <r>
          <rPr>
            <sz val="11"/>
            <color rgb="FF000000"/>
            <rFont val="Calibri"/>
            <family val="2"/>
            <charset val="1"/>
          </rPr>
          <t xml:space="preserve">REFERÊNCIA ABR/20 - LANÇADO PLANILHA PAGAMENTO GEFIC EM MAI/20
</t>
        </r>
      </text>
    </comment>
    <comment ref="T263" authorId="0" shapeId="0" xr:uid="{00000000-0006-0000-0000-0000F9010000}">
      <text>
        <r>
          <rPr>
            <sz val="11"/>
            <color rgb="FF000000"/>
            <rFont val="Calibri"/>
            <family val="2"/>
            <charset val="1"/>
          </rPr>
          <t xml:space="preserve">VIGÊNCIA 26/06/2020 a  25/06/2021
</t>
        </r>
        <r>
          <rPr>
            <sz val="9"/>
            <color rgb="FF000000"/>
            <rFont val="Segoe UI"/>
            <family val="2"/>
            <charset val="1"/>
          </rPr>
          <t>CUSTEIO............................R$ 1.800.281,44
RES.MEDICA......................R$ 13.332,20</t>
        </r>
      </text>
    </comment>
    <comment ref="AB263" authorId="0" shapeId="0" xr:uid="{00000000-0006-0000-0000-000089040000}">
      <text>
        <r>
          <rPr>
            <b/>
            <sz val="9"/>
            <color rgb="FF000000"/>
            <rFont val="Segoe UI"/>
            <family val="2"/>
            <charset val="1"/>
          </rPr>
          <t>R$ DIFERENÇA GLOSA DE FOLHA ABR/20 LANÇADA NA PLANILHA DE PREVISÃO DE PAGAMENTO MAI/20 DA GEFIC (O PAGAMENTO PASSOU A SER REALIZADO DENTRO DO MÊS DE REFERÊNCIA POR ISSO FOI LANÇADA GLOSA ESTIMADA PREVISTA NO CONTRATO DE GESTÃO)</t>
        </r>
      </text>
    </comment>
    <comment ref="AD263" authorId="0" shapeId="0" xr:uid="{00000000-0006-0000-0000-000019060000}">
      <text>
        <r>
          <rPr>
            <sz val="11"/>
            <color rgb="FF000000"/>
            <rFont val="Calibri"/>
            <family val="2"/>
            <charset val="1"/>
          </rPr>
          <t xml:space="preserve">ENERGIA - REFERÊNCIA MAI/20 - LANÇADO PLANILHA PAGAMENTO GEFIC EM JUN/20
</t>
        </r>
      </text>
    </comment>
    <comment ref="AU263" authorId="0" shapeId="0" xr:uid="{00000000-0006-0000-0000-0000B4090000}">
      <text>
        <r>
          <rPr>
            <sz val="11"/>
            <color rgb="FF000000"/>
            <rFont val="Calibri"/>
            <family val="2"/>
            <charset val="1"/>
          </rPr>
          <t xml:space="preserve">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t>
        </r>
        <r>
          <rPr>
            <sz val="9"/>
            <color rgb="FF000000"/>
            <rFont val="Segoe UI"/>
            <family val="2"/>
            <charset val="1"/>
          </rPr>
          <t>.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r>
      </text>
    </comment>
    <comment ref="T264" authorId="0" shapeId="0" xr:uid="{00000000-0006-0000-0000-0000FA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AB264" authorId="0" shapeId="0" xr:uid="{00000000-0006-0000-0000-00008A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264" authorId="0" shapeId="0" xr:uid="{00000000-0006-0000-0000-00001A060000}">
      <text>
        <r>
          <rPr>
            <sz val="11"/>
            <color rgb="FF000000"/>
            <rFont val="Calibri"/>
            <family val="2"/>
            <charset val="1"/>
          </rPr>
          <t xml:space="preserve">ENERGIA - REFERÊNCIA JUN/20 - LANÇADO PLANILHA PAGAMENTO GEFIC EM JUL/20
</t>
        </r>
      </text>
    </comment>
    <comment ref="AU264" authorId="0" shapeId="0" xr:uid="{00000000-0006-0000-0000-0000B5090000}">
      <text>
        <r>
          <rPr>
            <sz val="11"/>
            <color rgb="FF000000"/>
            <rFont val="Calibri"/>
            <family val="2"/>
            <charset val="1"/>
          </rPr>
          <t xml:space="preserve">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t>
        </r>
        <r>
          <rPr>
            <sz val="9"/>
            <color rgb="FF000000"/>
            <rFont val="Segoe UI"/>
            <family val="2"/>
            <charset val="1"/>
          </rPr>
          <t>.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r>
      </text>
    </comment>
    <comment ref="AW264" authorId="0" shapeId="0" xr:uid="{00000000-0006-0000-0000-0000190A0000}">
      <text>
        <r>
          <rPr>
            <sz val="11"/>
            <color rgb="FF000000"/>
            <rFont val="Calibri"/>
            <family val="2"/>
            <charset val="1"/>
          </rPr>
          <t xml:space="preserve">PROC.201900010046725 - ITENS 1Licença de Uso Perpétuas E 3 Implantação do Cloud HMI 
</t>
        </r>
        <r>
          <rPr>
            <sz val="9"/>
            <color rgb="FF000000"/>
            <rFont val="Segoe UI"/>
            <family val="2"/>
            <charset val="1"/>
          </rPr>
          <t>.</t>
        </r>
      </text>
    </comment>
    <comment ref="T265" authorId="0" shapeId="0" xr:uid="{00000000-0006-0000-0000-0000FB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5" authorId="0" shapeId="0" xr:uid="{00000000-0006-0000-0000-00004C020000}">
      <text>
        <r>
          <rPr>
            <b/>
            <sz val="9"/>
            <color rgb="FF000000"/>
            <rFont val="Segoe UI"/>
            <family val="2"/>
            <charset val="1"/>
          </rPr>
          <t xml:space="preserve">FOLHA - REFERÊNCIA JUL/20 - LANÇADO PLANILHA PAGAMENTO GEFIC EM AGO/20.
</t>
        </r>
      </text>
    </comment>
    <comment ref="AB265" authorId="0" shapeId="0" xr:uid="{00000000-0006-0000-0000-00008B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265" authorId="0" shapeId="0" xr:uid="{00000000-0006-0000-0000-00001B060000}">
      <text>
        <r>
          <rPr>
            <sz val="11"/>
            <color rgb="FF000000"/>
            <rFont val="Calibri"/>
            <family val="2"/>
            <charset val="1"/>
          </rPr>
          <t xml:space="preserve">ENERGIA - REFERÊNCIA JUL/20 - LANÇADO PLANILHA PAGAMENTO GEFIC EM AGO/20
</t>
        </r>
      </text>
    </comment>
    <comment ref="AU265" authorId="0" shapeId="0" xr:uid="{00000000-0006-0000-0000-0000B6090000}">
      <text>
        <r>
          <rPr>
            <sz val="11"/>
            <color rgb="FF000000"/>
            <rFont val="Calibri"/>
            <family val="2"/>
            <charset val="1"/>
          </rPr>
          <t xml:space="preserve">PROC 202000010024994 - RESCISÕES TRABALHISTAS - JUN-20 
</t>
        </r>
      </text>
    </comment>
    <comment ref="T266" authorId="0" shapeId="0" xr:uid="{00000000-0006-0000-0000-0000FC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6" authorId="0" shapeId="0" xr:uid="{00000000-0006-0000-0000-00004D020000}">
      <text>
        <r>
          <rPr>
            <b/>
            <sz val="9"/>
            <color rgb="FF000000"/>
            <rFont val="Segoe UI"/>
            <family val="2"/>
            <charset val="1"/>
          </rPr>
          <t xml:space="preserve">FOLHA - REFERÊNCIA AGO/20 - LANÇADO PLANILHA PAGAMENTO GEFIC EM SET/20.
</t>
        </r>
      </text>
    </comment>
    <comment ref="AB266" authorId="0" shapeId="0" xr:uid="{00000000-0006-0000-0000-00008C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D266" authorId="0" shapeId="0" xr:uid="{00000000-0006-0000-0000-00001C060000}">
      <text>
        <r>
          <rPr>
            <sz val="11"/>
            <color rgb="FF000000"/>
            <rFont val="Calibri"/>
            <family val="2"/>
            <charset val="1"/>
          </rPr>
          <t xml:space="preserve">ENERGIA - REFERÊNCIA AGO/20 - LANÇADO PLANILHA PAGAMENTO GEFIC EM SET/20
</t>
        </r>
      </text>
    </comment>
    <comment ref="AE266" authorId="0" shapeId="0" xr:uid="{00000000-0006-0000-0000-000066080000}">
      <text>
        <r>
          <rPr>
            <sz val="11"/>
            <color rgb="FF000000"/>
            <rFont val="Calibri"/>
            <family val="2"/>
            <charset val="1"/>
          </rPr>
          <t xml:space="preserve">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
</t>
        </r>
      </text>
    </comment>
    <comment ref="T267" authorId="0" shapeId="0" xr:uid="{00000000-0006-0000-0000-0000FD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7" authorId="0" shapeId="0" xr:uid="{00000000-0006-0000-0000-00004E020000}">
      <text>
        <r>
          <rPr>
            <b/>
            <sz val="9"/>
            <color rgb="FF000000"/>
            <rFont val="Segoe UI"/>
            <family val="2"/>
            <charset val="1"/>
          </rPr>
          <t xml:space="preserve">FOLHA - REFERÊNCIA SET/20 - LANÇADO PLANILHA PAGAMENTO GEFIC EM OUT/20 
</t>
        </r>
      </text>
    </comment>
    <comment ref="AB267" authorId="0" shapeId="0" xr:uid="{00000000-0006-0000-0000-00008D040000}">
      <text>
        <r>
          <rPr>
            <sz val="11"/>
            <color rgb="FF000000"/>
            <rFont val="Calibri"/>
            <family val="2"/>
            <charset val="1"/>
          </rPr>
          <t xml:space="preserve">R$ DIFERENÇA GLOSA DE FOLHA AGO/20 LANÇADA NA PLANILHA DE PREVISÃO DE PAGAMENTO SET/20 DA GEFIC (O PAGAMENTO PASSOU A SER REALIZADO DENTRO DO MÊS DE REFERÊNCIA POR ISSO FOI LANÇADA GLOSA ESTIMADA PREVISTA NO CONTRATO DE GESTÃO)
</t>
        </r>
      </text>
    </comment>
    <comment ref="AD267" authorId="0" shapeId="0" xr:uid="{00000000-0006-0000-0000-00001D060000}">
      <text>
        <r>
          <rPr>
            <sz val="11"/>
            <color rgb="FF000000"/>
            <rFont val="Calibri"/>
            <family val="2"/>
            <charset val="1"/>
          </rPr>
          <t xml:space="preserve">ENERGIA - REFERÊNCIA SET/20 - LANÇADO PLANILHA PAGAMENTO GEFIC EM OUT/20
</t>
        </r>
      </text>
    </comment>
    <comment ref="T268" authorId="0" shapeId="0" xr:uid="{00000000-0006-0000-0000-0000FE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8" authorId="0" shapeId="0" xr:uid="{00000000-0006-0000-0000-00004F020000}">
      <text>
        <r>
          <rPr>
            <b/>
            <sz val="9"/>
            <color rgb="FF000000"/>
            <rFont val="Segoe UI"/>
            <family val="2"/>
            <charset val="1"/>
          </rPr>
          <t xml:space="preserve">FOLHA - REFERÊNCIA OUT/20 - LANÇADO PLANILHA PAGAMENTO GEFIC EM NOV/20.
</t>
        </r>
      </text>
    </comment>
    <comment ref="AA268" authorId="0" shapeId="0" xr:uid="{00000000-0006-0000-0000-000043030000}">
      <text>
        <r>
          <rPr>
            <b/>
            <sz val="9"/>
            <color rgb="FF000000"/>
            <rFont val="Segoe UI"/>
            <family val="2"/>
            <charset val="1"/>
          </rPr>
          <t xml:space="preserve">FOLHA - REFERÊNCIA OUT/20 - LANÇADO PLANILHA PAGAMENTO GEFIC EM NOV/20.
</t>
        </r>
      </text>
    </comment>
    <comment ref="AB268" authorId="0" shapeId="0" xr:uid="{00000000-0006-0000-0000-00008E040000}">
      <text>
        <r>
          <rPr>
            <sz val="11"/>
            <color rgb="FF000000"/>
            <rFont val="Calibri"/>
            <family val="2"/>
            <charset val="1"/>
          </rPr>
          <t xml:space="preserve">R$ 164.211,49 DIFERENÇA GLOSA DE FOLHA AGO/20 LANÇADA NA PLANILHA DE PREVISÃO DE PAGAMENTO SET/20 DA GEFIC (O PAGAMENTO PASSOU A SER REALIZADO DENTRO DO MÊS DE REFERÊNCIA POR ISSO FOI LANÇADA GLOSA ESTIMADA PREVISTA NO CONTRATO DE GESTÃO)
</t>
        </r>
        <r>
          <rPr>
            <sz val="9"/>
            <color rgb="FF000000"/>
            <rFont val="Segoe UI"/>
            <family val="2"/>
            <charset val="1"/>
          </rPr>
          <t xml:space="preserve">.
R$ 200.000,00 ESTIMADO </t>
        </r>
      </text>
    </comment>
    <comment ref="AD268" authorId="0" shapeId="0" xr:uid="{00000000-0006-0000-0000-00001E060000}">
      <text>
        <r>
          <rPr>
            <sz val="11"/>
            <color rgb="FF000000"/>
            <rFont val="Calibri"/>
            <family val="2"/>
            <charset val="1"/>
          </rPr>
          <t xml:space="preserve">ENERGIA - REFERÊNCIA OUT/20 - LANÇADO PLANILHA PAGAMENTO GEFIC EM NOV/20
</t>
        </r>
      </text>
    </comment>
    <comment ref="T269" authorId="0" shapeId="0" xr:uid="{00000000-0006-0000-0000-0000FF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9" authorId="0" shapeId="0" xr:uid="{00000000-0006-0000-0000-000050020000}">
      <text>
        <r>
          <rPr>
            <b/>
            <sz val="9"/>
            <color rgb="FF000000"/>
            <rFont val="Segoe UI"/>
            <family val="2"/>
            <charset val="1"/>
          </rPr>
          <t xml:space="preserve">FOLHA - REFERÊNCIA NOV/20 - LANÇADO PLANILHA PAGAMENTO GEFIC EM DEZ/20.
</t>
        </r>
      </text>
    </comment>
    <comment ref="AA269" authorId="0" shapeId="0" xr:uid="{00000000-0006-0000-0000-000044030000}">
      <text>
        <r>
          <rPr>
            <b/>
            <sz val="9"/>
            <color rgb="FF000000"/>
            <rFont val="Segoe UI"/>
            <family val="2"/>
            <charset val="1"/>
          </rPr>
          <t xml:space="preserve">FOLHA - REFERÊNCIA NOV/20 - LANÇADO PLANILHA PAGAMENTO GEFIC EM DEZ/20.
</t>
        </r>
      </text>
    </comment>
    <comment ref="AD269" authorId="0" shapeId="0" xr:uid="{00000000-0006-0000-0000-00001F060000}">
      <text>
        <r>
          <rPr>
            <sz val="11"/>
            <color rgb="FF000000"/>
            <rFont val="Calibri"/>
            <family val="2"/>
            <charset val="1"/>
          </rPr>
          <t xml:space="preserve">ENERGIA - LANÇADO PLANILHA PAGAMENTO GEFIC EM DEZ/20
.
NOV/20..........................R$48.361,29
DEZ/20..........................R$ 51.219,68
</t>
        </r>
        <r>
          <rPr>
            <sz val="9"/>
            <color rgb="FF000000"/>
            <rFont val="Segoe UI"/>
            <family val="2"/>
            <charset val="1"/>
          </rPr>
          <t xml:space="preserve">
</t>
        </r>
      </text>
    </comment>
    <comment ref="T270" authorId="0" shapeId="0" xr:uid="{00000000-0006-0000-0000-000000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0" authorId="0" shapeId="0" xr:uid="{00000000-0006-0000-0000-000051020000}">
      <text>
        <r>
          <rPr>
            <sz val="11"/>
            <color rgb="FF000000"/>
            <rFont val="Calibri"/>
            <family val="2"/>
            <charset val="1"/>
          </rPr>
          <t xml:space="preserve">FOLHA - REFERÊNCIA DEZ/20- LANÇADO PLANILHA PAGAMENTO GEFIC EM JAN/21.
</t>
        </r>
      </text>
    </comment>
    <comment ref="AA270" authorId="0" shapeId="0" xr:uid="{00000000-0006-0000-0000-000045030000}">
      <text>
        <r>
          <rPr>
            <sz val="11"/>
            <color rgb="FF000000"/>
            <rFont val="Calibri"/>
            <family val="2"/>
            <charset val="1"/>
          </rPr>
          <t xml:space="preserve">FOLHA - REFERÊNCIA DEZ/20- LANÇADO PLANILHA PAGAMENTO GEFIC EM JAN/21.
</t>
        </r>
      </text>
    </comment>
    <comment ref="T271" authorId="0" shapeId="0" xr:uid="{00000000-0006-0000-0000-000001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1" authorId="0" shapeId="0" xr:uid="{00000000-0006-0000-0000-000052020000}">
      <text>
        <r>
          <rPr>
            <sz val="11"/>
            <color rgb="FF000000"/>
            <rFont val="Calibri"/>
            <family val="2"/>
            <charset val="1"/>
          </rPr>
          <t xml:space="preserve">FOLHA - REFERÊNCIA JAN/21- LANÇADO PLANILHA PAGAMENTO GEFIC EM FEV/21.
</t>
        </r>
      </text>
    </comment>
    <comment ref="AA271" authorId="0" shapeId="0" xr:uid="{00000000-0006-0000-0000-000046030000}">
      <text>
        <r>
          <rPr>
            <sz val="11"/>
            <color rgb="FF000000"/>
            <rFont val="Calibri"/>
            <family val="2"/>
            <charset val="1"/>
          </rPr>
          <t xml:space="preserve">FOLHA - REFERÊNCIA JAN/21- LANÇADO PLANILHA PAGAMENTO GEFIC EM FEV/21.
</t>
        </r>
      </text>
    </comment>
    <comment ref="AD271" authorId="0" shapeId="0" xr:uid="{00000000-0006-0000-0000-000020060000}">
      <text>
        <r>
          <rPr>
            <sz val="11"/>
            <color rgb="FF000000"/>
            <rFont val="Calibri"/>
            <family val="2"/>
            <charset val="1"/>
          </rPr>
          <t xml:space="preserve">CELG JAN/21 LANÇADO NA PLANILHA DE FEV/21
</t>
        </r>
      </text>
    </comment>
    <comment ref="T272" authorId="0" shapeId="0" xr:uid="{00000000-0006-0000-0000-000002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2" authorId="0" shapeId="0" xr:uid="{00000000-0006-0000-0000-000053020000}">
      <text>
        <r>
          <rPr>
            <sz val="11"/>
            <color rgb="FF000000"/>
            <rFont val="Calibri"/>
            <family val="2"/>
            <charset val="1"/>
          </rPr>
          <t xml:space="preserve">FOLHA - REFERÊNCIA FEV/21- LANÇADO PLANILHA PAGAMENTO GEFIC EM MAR/21.
</t>
        </r>
      </text>
    </comment>
    <comment ref="AA272" authorId="0" shapeId="0" xr:uid="{00000000-0006-0000-0000-000047030000}">
      <text>
        <r>
          <rPr>
            <sz val="11"/>
            <color rgb="FF000000"/>
            <rFont val="Calibri"/>
            <family val="2"/>
            <charset val="1"/>
          </rPr>
          <t xml:space="preserve">FOLHA - REFERÊNCIA FEV/21- LANÇADO PLANILHA PAGAMENTO GEFIC EM MAR/21.
</t>
        </r>
      </text>
    </comment>
    <comment ref="AD272" authorId="0" shapeId="0" xr:uid="{00000000-0006-0000-0000-000021060000}">
      <text>
        <r>
          <rPr>
            <sz val="11"/>
            <color rgb="FF000000"/>
            <rFont val="Calibri"/>
            <family val="2"/>
            <charset val="1"/>
          </rPr>
          <t xml:space="preserve">CELG FEV/21 LANÇADO NA PLANILHA DE MAR/21
</t>
        </r>
      </text>
    </comment>
    <comment ref="AW272" authorId="0" shapeId="0" xr:uid="{00000000-0006-0000-0000-00001A0A0000}">
      <text>
        <r>
          <rPr>
            <sz val="11"/>
            <color rgb="FF000000"/>
            <rFont val="Calibri"/>
            <family val="2"/>
            <charset val="1"/>
          </rPr>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r>
      </text>
    </comment>
    <comment ref="T273" authorId="0" shapeId="0" xr:uid="{00000000-0006-0000-0000-000003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3" authorId="0" shapeId="0" xr:uid="{00000000-0006-0000-0000-000054020000}">
      <text>
        <r>
          <rPr>
            <sz val="11"/>
            <color rgb="FF000000"/>
            <rFont val="Calibri"/>
            <family val="2"/>
            <charset val="1"/>
          </rPr>
          <t xml:space="preserve">FOLHA - REFERÊNCIA MAR/21- LANÇADO PLANILHA PAGAMENTO GEFIC EM ABR/21.
</t>
        </r>
      </text>
    </comment>
    <comment ref="AA273" authorId="0" shapeId="0" xr:uid="{00000000-0006-0000-0000-000048030000}">
      <text>
        <r>
          <rPr>
            <sz val="11"/>
            <color rgb="FF000000"/>
            <rFont val="Calibri"/>
            <family val="2"/>
            <charset val="1"/>
          </rPr>
          <t xml:space="preserve">PARTE- FOLHA - REFERÊNCIA MAR/21- LANÇADO PLANILHA PAGAMENTO GEFIC EM ABR/21 (3.180.367,82).
</t>
        </r>
        <r>
          <rPr>
            <sz val="9"/>
            <color rgb="FF000000"/>
            <rFont val="Segoe UI"/>
            <family val="2"/>
            <charset val="1"/>
          </rPr>
          <t xml:space="preserve">
</t>
        </r>
      </text>
    </comment>
    <comment ref="AD273" authorId="0" shapeId="0" xr:uid="{00000000-0006-0000-0000-000022060000}">
      <text>
        <r>
          <rPr>
            <sz val="11"/>
            <color rgb="FF000000"/>
            <rFont val="Calibri"/>
            <family val="2"/>
            <charset val="1"/>
          </rPr>
          <t xml:space="preserve">CELG MAR/21 LANÇADO NA PLANILHA DE ABR/21
</t>
        </r>
      </text>
    </comment>
    <comment ref="AW273" authorId="0" shapeId="0" xr:uid="{00000000-0006-0000-0000-00001B0A0000}">
      <text>
        <r>
          <rPr>
            <sz val="11"/>
            <color rgb="FF000000"/>
            <rFont val="Calibri"/>
            <family val="2"/>
            <charset val="1"/>
          </rPr>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text>
    </comment>
    <comment ref="T274" authorId="0" shapeId="0" xr:uid="{00000000-0006-0000-0000-000004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4" authorId="0" shapeId="0" xr:uid="{00000000-0006-0000-0000-000055020000}">
      <text>
        <r>
          <rPr>
            <sz val="11"/>
            <color rgb="FF000000"/>
            <rFont val="Calibri"/>
            <family val="2"/>
            <charset val="1"/>
          </rPr>
          <t xml:space="preserve">FOLHA - REFERÊNCIA ABR/21- LANÇADO PLANILHA PAGAMENTO GEFIC EM MAI/21.
</t>
        </r>
      </text>
    </comment>
    <comment ref="AA274" authorId="0" shapeId="0" xr:uid="{00000000-0006-0000-0000-000049030000}">
      <text>
        <r>
          <rPr>
            <sz val="11"/>
            <color rgb="FF000000"/>
            <rFont val="Calibri"/>
            <family val="2"/>
            <charset val="1"/>
          </rPr>
          <t xml:space="preserve">FOLHA - REFERÊNCIA ABR/21- LANÇADO PLANILHA PAGAMENTO GEFIC EM MAI/21.
</t>
        </r>
      </text>
    </comment>
    <comment ref="AD274" authorId="0" shapeId="0" xr:uid="{00000000-0006-0000-0000-000023060000}">
      <text>
        <r>
          <rPr>
            <sz val="11"/>
            <color rgb="FF000000"/>
            <rFont val="Calibri"/>
            <family val="2"/>
            <charset val="1"/>
          </rPr>
          <t xml:space="preserve">CELG ABR/21 LANÇADO NA PLANILHA DE MAI/21
</t>
        </r>
      </text>
    </comment>
    <comment ref="T275" authorId="0" shapeId="0" xr:uid="{00000000-0006-0000-0000-000005020000}">
      <text>
        <r>
          <rPr>
            <sz val="11"/>
            <color rgb="FF000000"/>
            <rFont val="Calibri"/>
            <family val="2"/>
            <charset val="1"/>
          </rPr>
          <t xml:space="preserve">VIGÊNCIA 26/06/2020 a  25/06/2021
</t>
        </r>
        <r>
          <rPr>
            <sz val="9"/>
            <color rgb="FF000000"/>
            <rFont val="Segoe UI"/>
            <family val="2"/>
            <charset val="1"/>
          </rPr>
          <t xml:space="preserve">CUSTEIO............................R$ 9.001.407,22
RES.MEDICA......................R$ 66.660,98
</t>
        </r>
      </text>
    </comment>
    <comment ref="Z275" authorId="0" shapeId="0" xr:uid="{00000000-0006-0000-0000-000056020000}">
      <text>
        <r>
          <rPr>
            <sz val="11"/>
            <color rgb="FF000000"/>
            <rFont val="Calibri"/>
            <family val="2"/>
            <charset val="1"/>
          </rPr>
          <t xml:space="preserve">FOLHA - REFERÊNCIA MAI/21- LANÇADO PLANILHA PAGAMENTO GEFIC EM JUN/21.
</t>
        </r>
      </text>
    </comment>
    <comment ref="AA275" authorId="0" shapeId="0" xr:uid="{00000000-0006-0000-0000-00004A030000}">
      <text>
        <r>
          <rPr>
            <sz val="11"/>
            <color rgb="FF000000"/>
            <rFont val="Calibri"/>
            <family val="2"/>
            <charset val="1"/>
          </rPr>
          <t xml:space="preserve">FOLHA - REFERÊNCIA MAI/21- LANÇADO PLANILHA PAGAMENTO GEFIC EM JUN/21.
</t>
        </r>
      </text>
    </comment>
    <comment ref="AB275" authorId="0" shapeId="0" xr:uid="{00000000-0006-0000-0000-00008F040000}">
      <text>
        <r>
          <rPr>
            <sz val="11"/>
            <color rgb="FF000000"/>
            <rFont val="Calibri"/>
            <family val="2"/>
            <charset val="1"/>
          </rPr>
          <t xml:space="preserve">DIFERENÇA - FOLHA - REFERÊNCIA MAR/21- LANÇADO PLANILHA PAGAMENTO GEFIC EM ABR/21.
</t>
        </r>
      </text>
    </comment>
    <comment ref="AD275" authorId="0" shapeId="0" xr:uid="{00000000-0006-0000-0000-000024060000}">
      <text>
        <r>
          <rPr>
            <sz val="11"/>
            <color rgb="FF000000"/>
            <rFont val="Calibri"/>
            <family val="2"/>
            <charset val="1"/>
          </rPr>
          <t xml:space="preserve">CELG MA/21 LANÇADO NA PLANILHA DE JUN/21
</t>
        </r>
      </text>
    </comment>
    <comment ref="AX275" authorId="0" shapeId="0" xr:uid="{00000000-0006-0000-0000-00008A0A0000}">
      <text>
        <r>
          <rPr>
            <sz val="11"/>
            <color rgb="FF000000"/>
            <rFont val="Calibri"/>
            <family val="2"/>
            <charset val="1"/>
          </rPr>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t>
        </r>
      </text>
    </comment>
    <comment ref="AX276" authorId="0" shapeId="0" xr:uid="{00000000-0006-0000-0000-00008B0A0000}">
      <text>
        <r>
          <rPr>
            <sz val="11"/>
            <color rgb="FF000000"/>
            <rFont val="Calibri"/>
            <family val="2"/>
            <charset val="1"/>
          </rPr>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t>
        </r>
        <r>
          <rPr>
            <sz val="9"/>
            <color rgb="FF000000"/>
            <rFont val="Tahoma"/>
            <family val="2"/>
            <charset val="1"/>
          </rPr>
          <t xml:space="preserve">.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r>
      </text>
    </comment>
    <comment ref="AW277" authorId="0" shapeId="0" xr:uid="{00000000-0006-0000-0000-00001C0A0000}">
      <text>
        <r>
          <rPr>
            <sz val="11"/>
            <color rgb="FF000000"/>
            <rFont val="Calibri"/>
            <family val="2"/>
            <charset val="1"/>
          </rPr>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t>
        </r>
        <r>
          <rPr>
            <sz val="9"/>
            <color rgb="FF000000"/>
            <rFont val="Tahoma"/>
            <family val="2"/>
            <charset val="1"/>
          </rPr>
          <t>.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
OBS: AUTORIZADO REPASSE SEM COM A VIGÊNCIA CONTRATUAL EXPIRADA</t>
        </r>
      </text>
    </comment>
    <comment ref="AX277" authorId="0" shapeId="0" xr:uid="{00000000-0006-0000-0000-00008C0A0000}">
      <text>
        <r>
          <rPr>
            <sz val="11"/>
            <color rgb="FF000000"/>
            <rFont val="Calibri"/>
            <family val="2"/>
            <charset val="1"/>
          </rPr>
          <t xml:space="preserve">.R$ 10.881.681,83 -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
</t>
        </r>
      </text>
    </comment>
    <comment ref="AX278" authorId="0" shapeId="0" xr:uid="{00000000-0006-0000-0000-00008D0A0000}">
      <text>
        <r>
          <rPr>
            <sz val="11"/>
            <color rgb="FF000000"/>
            <rFont val="Calibri"/>
            <family val="2"/>
            <charset val="1"/>
          </rPr>
          <t xml:space="preserve">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
</t>
        </r>
      </text>
    </comment>
    <comment ref="AA286" authorId="0" shapeId="0" xr:uid="{00000000-0006-0000-0000-00004B030000}">
      <text>
        <r>
          <rPr>
            <b/>
            <sz val="9"/>
            <color rgb="FF000000"/>
            <rFont val="Tahoma"/>
            <family val="2"/>
            <charset val="1"/>
          </rPr>
          <t xml:space="preserve">R$ 315.042,50 Glosa de pessoal, R$ 70.320,49 referemte a glosa de pessoal prevista no 4º T.Aditivo para o período de 29 a 30/06/17.
</t>
        </r>
      </text>
    </comment>
    <comment ref="AP287" authorId="0" shapeId="0" xr:uid="{00000000-0006-0000-0000-00007E090000}">
      <text>
        <r>
          <rPr>
            <sz val="11"/>
            <color rgb="FF000000"/>
            <rFont val="Calibri"/>
            <family val="2"/>
            <charset val="1"/>
          </rPr>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r>
      </text>
    </comment>
    <comment ref="AD291" authorId="0" shapeId="0" xr:uid="{00000000-0006-0000-0000-000025060000}">
      <text>
        <r>
          <rPr>
            <b/>
            <sz val="9"/>
            <color rgb="FF000000"/>
            <rFont val="Tahoma"/>
            <family val="2"/>
            <charset val="1"/>
          </rPr>
          <t xml:space="preserve">GLOSA REF.AO FORNECIMENTO EM SET/17.
</t>
        </r>
      </text>
    </comment>
    <comment ref="AD292" authorId="0" shapeId="0" xr:uid="{00000000-0006-0000-0000-000026060000}">
      <text>
        <r>
          <rPr>
            <b/>
            <sz val="9"/>
            <color rgb="FF000000"/>
            <rFont val="Tahoma"/>
            <family val="2"/>
            <charset val="1"/>
          </rPr>
          <t>GLOSA REF.AO FORNECIMENTO EM OUT/17 R$ 12.655,68 E NOV/17 R$ 2.351,61.</t>
        </r>
      </text>
    </comment>
    <comment ref="AC293" authorId="0" shapeId="0" xr:uid="{00000000-0006-0000-0000-0000D7040000}">
      <text>
        <r>
          <rPr>
            <b/>
            <sz val="9"/>
            <color rgb="FF000000"/>
            <rFont val="Tahoma"/>
            <family val="2"/>
            <charset val="1"/>
          </rPr>
          <t xml:space="preserve">TELEFONE
</t>
        </r>
      </text>
    </comment>
    <comment ref="AD294" authorId="0" shapeId="0" xr:uid="{00000000-0006-0000-0000-000027060000}">
      <text>
        <r>
          <rPr>
            <b/>
            <sz val="9"/>
            <color rgb="FF000000"/>
            <rFont val="Tahoma"/>
            <family val="2"/>
            <charset val="1"/>
          </rPr>
          <t xml:space="preserve">CELG - JANEIRO/18
</t>
        </r>
      </text>
    </comment>
    <comment ref="AD296" authorId="0" shapeId="0" xr:uid="{00000000-0006-0000-0000-000028060000}">
      <text>
        <r>
          <rPr>
            <b/>
            <sz val="9"/>
            <color rgb="FF000000"/>
            <rFont val="Tahoma"/>
            <family val="2"/>
            <charset val="1"/>
          </rPr>
          <t>CELG - MAR/18</t>
        </r>
      </text>
    </comment>
    <comment ref="M298" authorId="0" shapeId="0" xr:uid="{00000000-0006-0000-0000-0000E7000000}">
      <text>
        <r>
          <rPr>
            <b/>
            <sz val="9"/>
            <color rgb="FF000000"/>
            <rFont val="Tahoma"/>
            <family val="2"/>
            <charset val="1"/>
          </rPr>
          <t>ATÉ 28/06/18</t>
        </r>
      </text>
    </comment>
    <comment ref="N298" authorId="0" shapeId="0" xr:uid="{00000000-0006-0000-0000-000003010000}">
      <text>
        <r>
          <rPr>
            <b/>
            <sz val="9"/>
            <color rgb="FF000000"/>
            <rFont val="Tahoma"/>
            <family val="2"/>
            <charset val="1"/>
          </rPr>
          <t xml:space="preserve">A PARTIR DE 29/06/2018
</t>
        </r>
      </text>
    </comment>
    <comment ref="AD298" authorId="0" shapeId="0" xr:uid="{00000000-0006-0000-0000-000029060000}">
      <text>
        <r>
          <rPr>
            <b/>
            <sz val="9"/>
            <color rgb="FF000000"/>
            <rFont val="Tahoma"/>
            <family val="2"/>
            <charset val="1"/>
          </rPr>
          <t xml:space="preserve">CELG - MAI/18
</t>
        </r>
      </text>
    </comment>
    <comment ref="AU298" authorId="0" shapeId="0" xr:uid="{00000000-0006-0000-0000-0000B7090000}">
      <text>
        <r>
          <rPr>
            <b/>
            <sz val="9"/>
            <color rgb="FF000000"/>
            <rFont val="Tahoma"/>
            <family val="2"/>
            <charset val="1"/>
          </rPr>
          <t>PROC.201800010008192 RESSARCIMENTO COM RESCISÕES TRABALHISTAS/MNSL OCORRIDAS MESES DE MAIO E JUNHO DE 2017</t>
        </r>
      </text>
    </comment>
    <comment ref="N299" authorId="0" shapeId="0" xr:uid="{00000000-0006-0000-0000-000004010000}">
      <text>
        <r>
          <rPr>
            <sz val="9"/>
            <color rgb="FF000000"/>
            <rFont val="Tahoma"/>
            <family val="2"/>
            <charset val="1"/>
          </rPr>
          <t xml:space="preserve">PARCELA PRORROGAÇÃO 1.497283,25 + APORTE ESTIMATIVA DE GLOSA DE HOLHA 1.054.807,35
+ DESEQUILIBRIO FINANCEIRO ACUMULADO ( PARCELA ÚNICA) 2.020.201,04
</t>
        </r>
      </text>
    </comment>
    <comment ref="AD299" authorId="0" shapeId="0" xr:uid="{00000000-0006-0000-0000-00002A060000}">
      <text>
        <r>
          <rPr>
            <sz val="11"/>
            <color rgb="FF000000"/>
            <rFont val="Calibri"/>
            <family val="2"/>
            <charset val="1"/>
          </rPr>
          <t xml:space="preserve">CELG - JUN/18
</t>
        </r>
        <r>
          <rPr>
            <sz val="9"/>
            <color rgb="FF000000"/>
            <rFont val="Tahoma"/>
            <family val="2"/>
            <charset val="1"/>
          </rPr>
          <t xml:space="preserve">
</t>
        </r>
      </text>
    </comment>
    <comment ref="AE299" authorId="0" shapeId="0" xr:uid="{00000000-0006-0000-0000-000067080000}">
      <text>
        <r>
          <rPr>
            <sz val="11"/>
            <color rgb="FF000000"/>
            <rFont val="Calibri"/>
            <family val="2"/>
            <charset val="1"/>
          </rPr>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r>
      </text>
    </comment>
    <comment ref="N300" authorId="0" shapeId="0" xr:uid="{00000000-0006-0000-0000-000005010000}">
      <text>
        <r>
          <rPr>
            <sz val="9"/>
            <color rgb="FF000000"/>
            <rFont val="Tahoma"/>
            <family val="2"/>
            <charset val="1"/>
          </rPr>
          <t xml:space="preserve">PARCELA PRORROGAÇÃO 1.497283,25 + APORTE ESTIMATIVA DE GLOSA DE HOLHA 1.054.807,35
</t>
        </r>
      </text>
    </comment>
    <comment ref="AD300" authorId="0" shapeId="0" xr:uid="{00000000-0006-0000-0000-00002B060000}">
      <text>
        <r>
          <rPr>
            <b/>
            <sz val="9"/>
            <color rgb="FF000000"/>
            <rFont val="Tahoma"/>
            <family val="2"/>
            <charset val="1"/>
          </rPr>
          <t xml:space="preserve">CELG - JUL/2018
</t>
        </r>
      </text>
    </comment>
    <comment ref="N301" authorId="0" shapeId="0" xr:uid="{00000000-0006-0000-0000-000006010000}">
      <text>
        <r>
          <rPr>
            <sz val="9"/>
            <color rgb="FF000000"/>
            <rFont val="Tahoma"/>
            <family val="2"/>
            <charset val="1"/>
          </rPr>
          <t xml:space="preserve">PARCELA PRORROGAÇÃO 1.497283,25 + APORTE ESTIMATIVA DE GLOSA DE HOLHA 1.054.807,35
</t>
        </r>
      </text>
    </comment>
    <comment ref="AD301" authorId="0" shapeId="0" xr:uid="{00000000-0006-0000-0000-00002C060000}">
      <text>
        <r>
          <rPr>
            <b/>
            <sz val="9"/>
            <color rgb="FF000000"/>
            <rFont val="Tahoma"/>
            <family val="2"/>
            <charset val="1"/>
          </rPr>
          <t>CELG - AGO/18</t>
        </r>
      </text>
    </comment>
    <comment ref="N302" authorId="0" shapeId="0" xr:uid="{00000000-0006-0000-0000-000007010000}">
      <text>
        <r>
          <rPr>
            <sz val="9"/>
            <color rgb="FF000000"/>
            <rFont val="Tahoma"/>
            <family val="2"/>
            <charset val="1"/>
          </rPr>
          <t xml:space="preserve">PARCELA PRORROGAÇÃO 1.497283,25 + APORTE ESTIMATIVA DE GLOSA DE HOLHA 1.054.807,35
</t>
        </r>
      </text>
    </comment>
    <comment ref="AD302" authorId="0" shapeId="0" xr:uid="{00000000-0006-0000-0000-00002D060000}">
      <text>
        <r>
          <rPr>
            <b/>
            <sz val="9"/>
            <color rgb="FF000000"/>
            <rFont val="Tahoma"/>
            <family val="2"/>
            <charset val="1"/>
          </rPr>
          <t xml:space="preserve">CELG - SET/18
</t>
        </r>
      </text>
    </comment>
    <comment ref="N303" authorId="0" shapeId="0" xr:uid="{00000000-0006-0000-0000-000008010000}">
      <text>
        <r>
          <rPr>
            <sz val="9"/>
            <color rgb="FF000000"/>
            <rFont val="Tahoma"/>
            <family val="2"/>
            <charset val="1"/>
          </rPr>
          <t xml:space="preserve">PARCELA PRORROGAÇÃO 1.497283,25 + APORTE ESTIMATIVA DE GLOSA DE HOLHA 1.054.807,35
</t>
        </r>
      </text>
    </comment>
    <comment ref="AD303" authorId="0" shapeId="0" xr:uid="{00000000-0006-0000-0000-00002E060000}">
      <text>
        <r>
          <rPr>
            <b/>
            <sz val="9"/>
            <color rgb="FF000000"/>
            <rFont val="Tahoma"/>
            <family val="2"/>
            <charset val="1"/>
          </rPr>
          <t xml:space="preserve">CELG-OUT/18
</t>
        </r>
      </text>
    </comment>
    <comment ref="N304" authorId="0" shapeId="0" xr:uid="{00000000-0006-0000-0000-000009010000}">
      <text>
        <r>
          <rPr>
            <sz val="9"/>
            <color rgb="FF000000"/>
            <rFont val="Tahoma"/>
            <family val="2"/>
            <charset val="1"/>
          </rPr>
          <t xml:space="preserve">PARCELA PRORROGAÇÃO 1.497283,25 + APORTE ESTIMATIVA DE GLOSA DE HOLHA 1.054.807,35
</t>
        </r>
      </text>
    </comment>
    <comment ref="AD304" authorId="0" shapeId="0" xr:uid="{00000000-0006-0000-0000-00002F060000}">
      <text>
        <r>
          <rPr>
            <b/>
            <sz val="9"/>
            <color rgb="FF000000"/>
            <rFont val="Tahoma"/>
            <family val="2"/>
            <charset val="1"/>
          </rPr>
          <t xml:space="preserve">CELG-NOV/18
</t>
        </r>
      </text>
    </comment>
    <comment ref="AE304" authorId="0" shapeId="0" xr:uid="{00000000-0006-0000-0000-000068080000}">
      <text>
        <r>
          <rPr>
            <sz val="11"/>
            <color rgb="FF000000"/>
            <rFont val="Calibri"/>
            <family val="2"/>
            <charset val="1"/>
          </rPr>
          <t xml:space="preserve">R$ 58.606,69 GLOSA REFERENTE AO RESSARCIMENTO AO ERÁRIO PELA IGH DOS VALORES SALARIAIS PERCEBIDOS ACIMA DO TETO CONSTITUCIONAL PELA FUNCIONÁRIA RITA DE CÁSSIA LEAL DE SOUZA, NO PERIODO DE JUN/2016 A MAR/19, CONFORME MEMO Nº1311/19 - SCAGES -3082 NO PROC.201700010020909.
</t>
        </r>
        <r>
          <rPr>
            <sz val="9"/>
            <color rgb="FF000000"/>
            <rFont val="Tahoma"/>
            <family val="2"/>
            <charset val="1"/>
          </rPr>
          <t xml:space="preserve">
</t>
        </r>
      </text>
    </comment>
    <comment ref="AO304" authorId="0" shapeId="0" xr:uid="{00000000-0006-0000-0000-00005A09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t>
        </r>
        <r>
          <rPr>
            <sz val="9"/>
            <color rgb="FF000000"/>
            <rFont val="Tahoma"/>
            <family val="2"/>
            <charset val="1"/>
          </rPr>
          <t>.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r>
      </text>
    </comment>
    <comment ref="N305" authorId="0" shapeId="0" xr:uid="{00000000-0006-0000-0000-00000A010000}">
      <text>
        <r>
          <rPr>
            <sz val="9"/>
            <color rgb="FF000000"/>
            <rFont val="Tahoma"/>
            <family val="2"/>
            <charset val="1"/>
          </rPr>
          <t xml:space="preserve">PARCELA PRORROGAÇÃO 1.497283,25 + APORTE ESTIMATIVA DE GLOSA DE HOLHA 1.054.807,35
</t>
        </r>
      </text>
    </comment>
    <comment ref="AD305" authorId="0" shapeId="0" xr:uid="{00000000-0006-0000-0000-000030060000}">
      <text>
        <r>
          <rPr>
            <b/>
            <sz val="9"/>
            <color rgb="FF000000"/>
            <rFont val="Tahoma"/>
            <family val="2"/>
            <charset val="1"/>
          </rPr>
          <t xml:space="preserve">ENEL:
* R$ 2.690,48 Diferença (NOV/18) apurada referente a glosa efetuada a menor - mês DEZ/18;
* R$ 12.880,60 DEZ/18.
</t>
        </r>
      </text>
    </comment>
    <comment ref="AN305" authorId="0" shapeId="0" xr:uid="{00000000-0006-0000-0000-000045090000}">
      <text>
        <r>
          <rPr>
            <sz val="9"/>
            <color rgb="FF000000"/>
            <rFont val="Tahoma"/>
            <family val="2"/>
            <charset val="1"/>
          </rPr>
          <t xml:space="preserve">Diferença apurada referente a glosa de telefonia efetuada a maior - mês DEZ/18, lançadana planilha JAN de 2019
</t>
        </r>
      </text>
    </comment>
    <comment ref="N306" authorId="0" shapeId="0" xr:uid="{00000000-0006-0000-0000-00000B010000}">
      <text>
        <r>
          <rPr>
            <sz val="9"/>
            <color rgb="FF000000"/>
            <rFont val="Tahoma"/>
            <family val="2"/>
            <charset val="1"/>
          </rPr>
          <t xml:space="preserve">PARCELA PRORROGAÇÃO 1.497283,25 + APORTE ESTIMATIVA DE GLOSA DE HOLHA 1.054.807,35
</t>
        </r>
      </text>
    </comment>
    <comment ref="N307" authorId="0" shapeId="0" xr:uid="{00000000-0006-0000-0000-00000C010000}">
      <text>
        <r>
          <rPr>
            <sz val="9"/>
            <color rgb="FF000000"/>
            <rFont val="Tahoma"/>
            <family val="2"/>
            <charset val="1"/>
          </rPr>
          <t xml:space="preserve">PARCELA PRORROGAÇÃO 1.497283,25 + APORTE ESTIMATIVA DE GLOSA DE HOLHA 1.054.807,35
</t>
        </r>
      </text>
    </comment>
    <comment ref="AC307" authorId="0" shapeId="0" xr:uid="{00000000-0006-0000-0000-0000D8040000}">
      <text>
        <r>
          <rPr>
            <b/>
            <sz val="9"/>
            <color rgb="FF000000"/>
            <rFont val="Tahoma"/>
            <family val="2"/>
            <charset val="1"/>
          </rPr>
          <t>TELEFONIA FIXA -REFERÊNCIA FEV/19 - LANÇADO PLANILHA GEFIC EM FEV/19</t>
        </r>
      </text>
    </comment>
    <comment ref="AD307" authorId="0" shapeId="0" xr:uid="{00000000-0006-0000-0000-000031060000}">
      <text>
        <r>
          <rPr>
            <b/>
            <sz val="9"/>
            <color rgb="FF000000"/>
            <rFont val="Tahoma"/>
            <family val="2"/>
            <charset val="1"/>
          </rPr>
          <t xml:space="preserve">REFERÊNCIA JAN/19 - LANÇADO PLANILHA GEFIC EM FEV/19
</t>
        </r>
      </text>
    </comment>
    <comment ref="N308" authorId="0" shapeId="0" xr:uid="{00000000-0006-0000-0000-00000D010000}">
      <text>
        <r>
          <rPr>
            <sz val="9"/>
            <color rgb="FF000000"/>
            <rFont val="Tahoma"/>
            <family val="2"/>
            <charset val="1"/>
          </rPr>
          <t xml:space="preserve">PARCELA PRORROGAÇÃO 1.497283,25 + APORTE ESTIMATIVA DE GLOSA DE HOLHA 1.054.807,35
</t>
        </r>
      </text>
    </comment>
    <comment ref="AA308" authorId="0" shapeId="0" xr:uid="{00000000-0006-0000-0000-00004C030000}">
      <text>
        <r>
          <rPr>
            <b/>
            <sz val="9"/>
            <color rgb="FF000000"/>
            <rFont val="Tahoma"/>
            <family val="2"/>
            <charset val="1"/>
          </rPr>
          <t xml:space="preserve">VALOR ESTIMADO PREVISTO CONTRATO GESTÃO. 
</t>
        </r>
      </text>
    </comment>
    <comment ref="AC308" authorId="0" shapeId="0" xr:uid="{00000000-0006-0000-0000-0000D9040000}">
      <text>
        <r>
          <rPr>
            <b/>
            <sz val="9"/>
            <color rgb="FF000000"/>
            <rFont val="Tahoma"/>
            <family val="2"/>
            <charset val="1"/>
          </rPr>
          <t xml:space="preserve">TELEFONIA FIXA -REFERÊNCIA MAR/19 - LANÇADO PLANILHA GEFIC EM MAR/19
</t>
        </r>
      </text>
    </comment>
    <comment ref="AD308" authorId="0" shapeId="0" xr:uid="{00000000-0006-0000-0000-000032060000}">
      <text>
        <r>
          <rPr>
            <b/>
            <sz val="9"/>
            <color rgb="FF000000"/>
            <rFont val="Tahoma"/>
            <family val="2"/>
            <charset val="1"/>
          </rPr>
          <t xml:space="preserve">REFERÊNCIA FEV/19 - LANÇADO PLANILHA GEFIC EM MAR19
</t>
        </r>
      </text>
    </comment>
    <comment ref="N309" authorId="0" shapeId="0" xr:uid="{00000000-0006-0000-0000-00000E010000}">
      <text>
        <r>
          <rPr>
            <sz val="9"/>
            <color rgb="FF000000"/>
            <rFont val="Tahoma"/>
            <family val="2"/>
            <charset val="1"/>
          </rPr>
          <t xml:space="preserve">PARCELA PRORROGAÇÃO 1.497283,25 + APORTE ESTIMATIVA DE GLOSA DE HOLHA 1.054.807,35
</t>
        </r>
      </text>
    </comment>
    <comment ref="AA309" authorId="0" shapeId="0" xr:uid="{00000000-0006-0000-0000-00004D030000}">
      <text>
        <r>
          <rPr>
            <b/>
            <sz val="9"/>
            <color rgb="FF000000"/>
            <rFont val="Tahoma"/>
            <family val="2"/>
            <charset val="1"/>
          </rPr>
          <t xml:space="preserve">VALOR ESTIMADO PREVISTO CONTRATO GESTÃO. 
</t>
        </r>
      </text>
    </comment>
    <comment ref="AC309" authorId="0" shapeId="0" xr:uid="{00000000-0006-0000-0000-0000DA040000}">
      <text>
        <r>
          <rPr>
            <b/>
            <sz val="9"/>
            <color rgb="FF000000"/>
            <rFont val="Tahoma"/>
            <family val="2"/>
            <charset val="1"/>
          </rPr>
          <t xml:space="preserve">TELEFONIA FIXA -REFERÊNCIA ABR/19 - LANÇADO PLANILHA GEFIC EM ABR/19
</t>
        </r>
      </text>
    </comment>
    <comment ref="AD309" authorId="0" shapeId="0" xr:uid="{00000000-0006-0000-0000-000033060000}">
      <text>
        <r>
          <rPr>
            <b/>
            <sz val="9"/>
            <color rgb="FF000000"/>
            <rFont val="Tahoma"/>
            <family val="2"/>
            <charset val="1"/>
          </rPr>
          <t xml:space="preserve">REFERÊNCIA MAR/19 - LANÇADO PLANILHA GEFIC EM ABR/19
</t>
        </r>
      </text>
    </comment>
    <comment ref="N310" authorId="0" shapeId="0" xr:uid="{00000000-0006-0000-0000-00000F010000}">
      <text>
        <r>
          <rPr>
            <b/>
            <sz val="9"/>
            <color rgb="FF000000"/>
            <rFont val="Tahoma"/>
            <family val="2"/>
            <charset val="1"/>
          </rPr>
          <t xml:space="preserve">ATÉ 28/06/19
</t>
        </r>
      </text>
    </comment>
    <comment ref="O310" authorId="0" shapeId="0" xr:uid="{00000000-0006-0000-0000-000021010000}">
      <text>
        <r>
          <rPr>
            <b/>
            <sz val="9"/>
            <color rgb="FF000000"/>
            <rFont val="Tahoma"/>
            <family val="2"/>
            <charset val="1"/>
          </rPr>
          <t>A PARTIR 29/06/19</t>
        </r>
      </text>
    </comment>
    <comment ref="AA310" authorId="0" shapeId="0" xr:uid="{00000000-0006-0000-0000-00004E030000}">
      <text>
        <r>
          <rPr>
            <b/>
            <sz val="9"/>
            <color rgb="FF000000"/>
            <rFont val="Tahoma"/>
            <family val="2"/>
            <charset val="1"/>
          </rPr>
          <t xml:space="preserve">FOLHA VALOR ESTIMADO PREVISTO CONTRATO GESTÃO. R$ 1.054.807,35;
.
AJUSTE FOI DEDUZIDO DO VALOR DA FOLHA VISTO QUE AINDA NÃO HOUVE OUTORGA DO ADITIVO:
TELEFONIA - R$ 1.925.,13
CELG - R$ 13.907,84 
</t>
        </r>
      </text>
    </comment>
    <comment ref="AC310" authorId="0" shapeId="0" xr:uid="{00000000-0006-0000-0000-0000DB040000}">
      <text>
        <r>
          <rPr>
            <b/>
            <sz val="9"/>
            <color rgb="FF000000"/>
            <rFont val="Tahoma"/>
            <family val="2"/>
            <charset val="1"/>
          </rPr>
          <t>R$ 2.155,72 TELEFONIA FIXA -REFERÊNCIA MAI/19 - LANÇADO PLANILHA GEFIC EM MAI/19
.
R$ 1.925,13 TELEFONIA FIXA -REFERÊNCIA JUN/19 - LANÇADO PLANILHA GEFIC EM JUN/19</t>
        </r>
      </text>
    </comment>
    <comment ref="AD310" authorId="0" shapeId="0" xr:uid="{00000000-0006-0000-0000-000034060000}">
      <text>
        <r>
          <rPr>
            <b/>
            <sz val="9"/>
            <color rgb="FF000000"/>
            <rFont val="Tahoma"/>
            <family val="2"/>
            <charset val="1"/>
          </rPr>
          <t>R$ 15.216,21 REFERÊNCIA ABR/19 - LANÇADO PLANILHA GEFIC EM MAI/19
.
R$ 13.907,84 REFERÊNCIA MAI19 - LANÇADO PLANILHA GEFIC EM JUN/19</t>
        </r>
      </text>
    </comment>
    <comment ref="Z311" authorId="0" shapeId="0" xr:uid="{00000000-0006-0000-0000-000057020000}">
      <text>
        <r>
          <rPr>
            <b/>
            <sz val="9"/>
            <color rgb="FF000000"/>
            <rFont val="Tahoma"/>
            <family val="2"/>
            <charset val="1"/>
          </rPr>
          <t xml:space="preserve">REFERÊNCIA JUN/19 - LANÇADO PLANILHA PAGAMENTO GEFIC EM JUL/19
</t>
        </r>
      </text>
    </comment>
    <comment ref="AA311" authorId="0" shapeId="0" xr:uid="{00000000-0006-0000-0000-00004F030000}">
      <text>
        <r>
          <rPr>
            <b/>
            <sz val="9"/>
            <color rgb="FF000000"/>
            <rFont val="Tahoma"/>
            <family val="2"/>
            <charset val="1"/>
          </rPr>
          <t xml:space="preserve">REFERÊNCIA JUN/19 - LANÇADO PLANILHA PAGAMENTO GEFIC EM JUL/19
</t>
        </r>
      </text>
    </comment>
    <comment ref="AC311" authorId="0" shapeId="0" xr:uid="{00000000-0006-0000-0000-0000DC040000}">
      <text>
        <r>
          <rPr>
            <b/>
            <sz val="9"/>
            <color rgb="FF000000"/>
            <rFont val="Tahoma"/>
            <family val="2"/>
            <charset val="1"/>
          </rPr>
          <t>R$ 2.051,69 TELEFONIA FIXA -REFERÊNCIA JUL/19 - LANÇADO PLANILHA GEFIC EM JUL/19
.
R$ 206,26 TELEFONIA FIXA -REFERÊNCIA JUN/19 - LANÇADO PLANILHA GEFIC EM JUL/19</t>
        </r>
      </text>
    </comment>
    <comment ref="AD311" authorId="0" shapeId="0" xr:uid="{00000000-0006-0000-0000-000035060000}">
      <text>
        <r>
          <rPr>
            <b/>
            <sz val="9"/>
            <color rgb="FF000000"/>
            <rFont val="Tahoma"/>
            <family val="2"/>
            <charset val="1"/>
          </rPr>
          <t>R$ 12.337,70 REFERÊNCIA JUN/19 - LANÇADO PLANILHA GEFIC EM JUL/19</t>
        </r>
      </text>
    </comment>
    <comment ref="AA312" authorId="0" shapeId="0" xr:uid="{00000000-0006-0000-0000-000050030000}">
      <text>
        <r>
          <rPr>
            <sz val="11"/>
            <color rgb="FF000000"/>
            <rFont val="Calibri"/>
            <family val="2"/>
            <charset val="1"/>
          </rPr>
          <t xml:space="preserve">VALOR ESTIMADO PREVISTO CONTRATO GESTÃO. 
</t>
        </r>
        <r>
          <rPr>
            <sz val="9"/>
            <color rgb="FF000000"/>
            <rFont val="Tahoma"/>
            <family val="2"/>
            <charset val="1"/>
          </rPr>
          <t xml:space="preserve">
</t>
        </r>
      </text>
    </comment>
    <comment ref="AA313" authorId="0" shapeId="0" xr:uid="{00000000-0006-0000-0000-000051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3" authorId="0" shapeId="0" xr:uid="{00000000-0006-0000-0000-0000DD040000}">
      <text>
        <r>
          <rPr>
            <sz val="11"/>
            <color rgb="FF000000"/>
            <rFont val="Calibri"/>
            <family val="2"/>
            <charset val="1"/>
          </rPr>
          <t xml:space="preserve">R$ 1.767,25 TELEFONIA FIXA -REFERÊNCIA AGO/19 - LANÇADO PLANILHA GEFIC EM AGO/19;
</t>
        </r>
        <r>
          <rPr>
            <sz val="9"/>
            <color rgb="FF000000"/>
            <rFont val="Tahoma"/>
            <family val="2"/>
            <charset val="1"/>
          </rPr>
          <t>.
R$ 1.890,07 TELEFONIA FIXA -REFERÊNCIA SET/19 - LANÇADO PLANILHA GEFIC EM SET/19.</t>
        </r>
      </text>
    </comment>
    <comment ref="AD313" authorId="0" shapeId="0" xr:uid="{00000000-0006-0000-0000-000036060000}">
      <text>
        <r>
          <rPr>
            <sz val="11"/>
            <color rgb="FF000000"/>
            <rFont val="Calibri"/>
            <family val="2"/>
            <charset val="1"/>
          </rPr>
          <t xml:space="preserve">R$ 10.297,08 ENERGIA - REFERÊNCIA JUL/19 - LANÇADO PLANILHA PAGAMENTO GEFIC EM AGO/19;
.
R$ 13.210,86 ENERGIA - REFERÊNCIA AGO/19 - LANÇADO PLANILHA PAGAMENTO GEFIC EM SET/19
</t>
        </r>
      </text>
    </comment>
    <comment ref="Z314" authorId="0" shapeId="0" xr:uid="{00000000-0006-0000-0000-00005802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A314" authorId="0" shapeId="0" xr:uid="{00000000-0006-0000-0000-000052030000}">
      <text>
        <r>
          <rPr>
            <sz val="11"/>
            <color rgb="FF000000"/>
            <rFont val="Calibri"/>
            <family val="2"/>
            <charset val="1"/>
          </rPr>
          <t xml:space="preserve">VALOR ESTIMADO PREVISTO CONTRATO GESTÃO. 
</t>
        </r>
        <r>
          <rPr>
            <sz val="9"/>
            <color rgb="FF000000"/>
            <rFont val="Tahoma"/>
            <family val="2"/>
            <charset val="1"/>
          </rPr>
          <t xml:space="preserve">
</t>
        </r>
      </text>
    </comment>
    <comment ref="AB314" authorId="0" shapeId="0" xr:uid="{00000000-0006-0000-0000-000090040000}">
      <text>
        <r>
          <rPr>
            <sz val="11"/>
            <color rgb="FF000000"/>
            <rFont val="Calibri"/>
            <family val="2"/>
            <charset val="1"/>
          </rPr>
          <t xml:space="preserve">DIFERENÇA FOLHA, REFERÊNCIA AGO/19 - LANÇADO PLANILHA PAGAMENTO GEFIC EM OUT/19
</t>
        </r>
      </text>
    </comment>
    <comment ref="AO314" authorId="0" shapeId="0" xr:uid="{00000000-0006-0000-0000-00005B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314" authorId="0" shapeId="0" xr:uid="{00000000-0006-0000-0000-0000B8090000}">
      <text>
        <r>
          <rPr>
            <sz val="11"/>
            <color rgb="FF000000"/>
            <rFont val="Calibri"/>
            <family val="2"/>
            <charset val="1"/>
          </rPr>
          <t xml:space="preserve">R$ 105.452,87 - REFERENTE A ENCARGOS DE RESCISÕES TRABALHISTAS HEMNS, OCORRIDAS NOS MESES DE JULHO A DEZEMBRO DE 2017, DE ACORDO COM DESPACHO 203/2018 CAC/GEFIC, PROC.201800010012541.
</t>
        </r>
        <r>
          <rPr>
            <sz val="9"/>
            <color rgb="FF000000"/>
            <rFont val="Tahoma"/>
            <family val="2"/>
            <charset val="1"/>
          </rPr>
          <t>.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r>
      </text>
    </comment>
    <comment ref="AA315" authorId="0" shapeId="0" xr:uid="{00000000-0006-0000-0000-000053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5" authorId="0" shapeId="0" xr:uid="{00000000-0006-0000-0000-0000DE040000}">
      <text>
        <r>
          <rPr>
            <sz val="11"/>
            <color rgb="FF000000"/>
            <rFont val="Calibri"/>
            <family val="2"/>
            <charset val="1"/>
          </rPr>
          <t xml:space="preserve">TELEFONIA FIXA -REFERÊNCIA OUT/19 - LANÇADO PLANILHA GEFIC EM OUT/19
</t>
        </r>
      </text>
    </comment>
    <comment ref="AD315" authorId="0" shapeId="0" xr:uid="{00000000-0006-0000-0000-000037060000}">
      <text>
        <r>
          <rPr>
            <sz val="11"/>
            <color rgb="FF000000"/>
            <rFont val="Calibri"/>
            <family val="2"/>
            <charset val="1"/>
          </rPr>
          <t xml:space="preserve">REFERÊNCIA SET/19 - LANÇADO PLANILHA PAGAMENTO GEFIC EM OUT/19
</t>
        </r>
      </text>
    </comment>
    <comment ref="AO315" authorId="0" shapeId="0" xr:uid="{00000000-0006-0000-0000-00005C09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U315" authorId="0" shapeId="0" xr:uid="{00000000-0006-0000-0000-0000B9090000}">
      <text>
        <r>
          <rPr>
            <sz val="11"/>
            <color rgb="FF000000"/>
            <rFont val="Calibri"/>
            <family val="2"/>
            <charset val="1"/>
          </rPr>
          <t xml:space="preserve">PROC.201700010014238 - RESSARCIMENTO DE VALORES DESPENDIDOS COM ENCARGOS DAS RESCISÕES TRABALHISTAS DO HOSPITAL ESTADUAL E MATERNIDADE NOSSA SENHORA DE LOURDES - HEMNSL, REFERENTE AOS MESES DE MARÇO A MAIO DE 2017.
</t>
        </r>
      </text>
    </comment>
    <comment ref="O316" authorId="0" shapeId="0" xr:uid="{00000000-0006-0000-0000-000022010000}">
      <text>
        <r>
          <rPr>
            <sz val="11"/>
            <color rgb="FF000000"/>
            <rFont val="Calibri"/>
            <family val="2"/>
            <charset val="1"/>
          </rPr>
          <t xml:space="preserve">ATÉ 25/12/19
</t>
        </r>
      </text>
    </comment>
    <comment ref="AA316" authorId="0" shapeId="0" xr:uid="{00000000-0006-0000-0000-000054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6" authorId="0" shapeId="0" xr:uid="{00000000-0006-0000-0000-0000DF040000}">
      <text>
        <r>
          <rPr>
            <b/>
            <sz val="9"/>
            <color rgb="FF000000"/>
            <rFont val="Tahoma"/>
            <family val="2"/>
            <charset val="1"/>
          </rPr>
          <t>R$ 1.862,26 TELEFONIA FIXA -REFERÊNCIA NOV/19 - LANÇADO PLANILHA GEFIC EM NOV/19
.
R$ 1.412,05 (25 DIAS) TELEFONIA FIXA -REFERÊNCIA DEZ/19 - LANÇADO PLANILHA GEFIC EM DEZ/19.
.
R$ 282,41 - (5 DIAS) TELEFONIA FIXA -REFERÊNCIA DEZ/19 - LANÇADO PLANILHA GEFIC EM JAN/20.</t>
        </r>
      </text>
    </comment>
    <comment ref="AD316" authorId="0" shapeId="0" xr:uid="{00000000-0006-0000-0000-000038060000}">
      <text>
        <r>
          <rPr>
            <sz val="11"/>
            <color rgb="FF000000"/>
            <rFont val="Calibri"/>
            <family val="2"/>
            <charset val="1"/>
          </rPr>
          <t xml:space="preserve">R$ 18.059,69- ENERGIA - REFERÊNCIA OUT/19 - LANÇADO PLANILHA PAGAMENTO GEFIC EM NOV/19;
.
R$ 17.522,38 -ENERGIA - REFERÊNCIA NOV/19 - LANÇADO PLANILHA PAGAMENTO GEFIC EM DEZ/19 
</t>
        </r>
        <r>
          <rPr>
            <sz val="9"/>
            <color rgb="FF000000"/>
            <rFont val="Tahoma"/>
            <family val="2"/>
            <charset val="1"/>
          </rPr>
          <t>.
R$ 14.844,46 - ENERGIA - REFERÊNCIA DEZ/19 - LANÇADO PLANILHA PAGAMENTO GEFIC EM JAN/20</t>
        </r>
      </text>
    </comment>
    <comment ref="AO316" authorId="0" shapeId="0" xr:uid="{00000000-0006-0000-0000-00005D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U316" authorId="0" shapeId="0" xr:uid="{00000000-0006-0000-0000-0000BA090000}">
      <text>
        <r>
          <rPr>
            <b/>
            <sz val="9"/>
            <color rgb="FF000000"/>
            <rFont val="Tahoma"/>
            <family val="2"/>
            <charset val="1"/>
          </rPr>
          <t xml:space="preserve">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
</t>
        </r>
      </text>
    </comment>
    <comment ref="P317" authorId="0" shapeId="0" xr:uid="{00000000-0006-0000-0000-000068010000}">
      <text>
        <r>
          <rPr>
            <sz val="11"/>
            <color rgb="FF000000"/>
            <rFont val="Calibri"/>
            <family val="2"/>
            <charset val="1"/>
          </rPr>
          <t xml:space="preserve">CUSTEIO: 1.576.
FOLHA:975.322,02
</t>
        </r>
      </text>
    </comment>
    <comment ref="AA317" authorId="0" shapeId="0" xr:uid="{00000000-0006-0000-0000-000055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7" authorId="0" shapeId="0" xr:uid="{00000000-0006-0000-0000-0000E0040000}">
      <text>
        <r>
          <rPr>
            <sz val="11"/>
            <color rgb="FF000000"/>
            <rFont val="Calibri"/>
            <family val="2"/>
            <charset val="1"/>
          </rPr>
          <t xml:space="preserve">TELEFONIA FIXA -REFERÊNCIA JAN/20 - LANÇADO PLANILHA GEFIC EM JAN/20
</t>
        </r>
      </text>
    </comment>
    <comment ref="AA318" authorId="0" shapeId="0" xr:uid="{00000000-0006-0000-0000-000056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8" authorId="0" shapeId="0" xr:uid="{00000000-0006-0000-0000-000039060000}">
      <text>
        <r>
          <rPr>
            <sz val="11"/>
            <color rgb="FF000000"/>
            <rFont val="Calibri"/>
            <family val="2"/>
            <charset val="1"/>
          </rPr>
          <t xml:space="preserve">ENERGIA - REFERÊNCIA JAN/20 - LANÇADO PLANILHA PAGAMENTO GEFIC EM FEV/20
</t>
        </r>
      </text>
    </comment>
    <comment ref="AO318" authorId="0" shapeId="0" xr:uid="{00000000-0006-0000-0000-00005E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318" authorId="0" shapeId="0" xr:uid="{00000000-0006-0000-0000-0000BB090000}">
      <text>
        <r>
          <rPr>
            <sz val="11"/>
            <color rgb="FF000000"/>
            <rFont val="Calibri"/>
            <family val="2"/>
            <charset val="1"/>
          </rPr>
          <t xml:space="preserve">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
</t>
        </r>
        <r>
          <rPr>
            <sz val="9"/>
            <color rgb="FF000000"/>
            <rFont val="Tahoma"/>
            <family val="2"/>
            <charset val="1"/>
          </rPr>
          <t xml:space="preserve">
</t>
        </r>
      </text>
    </comment>
    <comment ref="AA319" authorId="0" shapeId="0" xr:uid="{00000000-0006-0000-0000-000057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9" authorId="0" shapeId="0" xr:uid="{00000000-0006-0000-0000-00003A060000}">
      <text>
        <r>
          <rPr>
            <sz val="11"/>
            <color rgb="FF000000"/>
            <rFont val="Calibri"/>
            <family val="2"/>
            <charset val="1"/>
          </rPr>
          <t xml:space="preserve">ENERGIA - REFERÊNCIA FEV20 - LANÇADO PLANILHA PAGAMENTO GEFIC EM MAR/20
</t>
        </r>
      </text>
    </comment>
    <comment ref="AO319" authorId="0" shapeId="0" xr:uid="{00000000-0006-0000-0000-00005F090000}">
      <text>
        <r>
          <rPr>
            <sz val="9"/>
            <color rgb="FF000000"/>
            <rFont val="Segoe UI"/>
            <family val="2"/>
            <charset val="1"/>
          </rPr>
          <t xml:space="preserve">DIFERENÇA FOLHA DE FEV/20, LANÇADA NA PLANILHA DE MAR/20
</t>
        </r>
      </text>
    </comment>
    <comment ref="AU319" authorId="0" shapeId="0" xr:uid="{00000000-0006-0000-0000-0000BC090000}">
      <text>
        <r>
          <rPr>
            <sz val="11"/>
            <color rgb="FF000000"/>
            <rFont val="Calibri"/>
            <family val="2"/>
            <charset val="1"/>
          </rPr>
          <t xml:space="preserve">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
</t>
        </r>
      </text>
    </comment>
    <comment ref="AA320" authorId="0" shapeId="0" xr:uid="{00000000-0006-0000-0000-000058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20" authorId="0" shapeId="0" xr:uid="{00000000-0006-0000-0000-00003B060000}">
      <text>
        <r>
          <rPr>
            <sz val="11"/>
            <color rgb="FF000000"/>
            <rFont val="Calibri"/>
            <family val="2"/>
            <charset val="1"/>
          </rPr>
          <t xml:space="preserve">ESTIMATIVA JAN/20
</t>
        </r>
      </text>
    </comment>
    <comment ref="AO320" authorId="0" shapeId="0" xr:uid="{00000000-0006-0000-0000-00006009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U320" authorId="0" shapeId="0" xr:uid="{00000000-0006-0000-0000-0000BD090000}">
      <text>
        <r>
          <rPr>
            <sz val="11"/>
            <color rgb="FF000000"/>
            <rFont val="Calibri"/>
            <family val="2"/>
            <charset val="1"/>
          </rPr>
          <t xml:space="preserve">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
</t>
        </r>
      </text>
    </comment>
    <comment ref="Z321" authorId="0" shapeId="0" xr:uid="{00000000-0006-0000-0000-000059020000}">
      <text>
        <r>
          <rPr>
            <sz val="11"/>
            <color rgb="FF000000"/>
            <rFont val="Calibri"/>
            <family val="2"/>
            <charset val="1"/>
          </rPr>
          <t xml:space="preserve">GLOSA DE FOLHA ABR/20 LANÇADA NA PLANILHA DE PREVISÃO DE PAGAMENTO MAI/20 DA GAOS
</t>
        </r>
      </text>
    </comment>
    <comment ref="AD321" authorId="0" shapeId="0" xr:uid="{00000000-0006-0000-0000-00003C060000}">
      <text>
        <r>
          <rPr>
            <sz val="11"/>
            <color rgb="FF000000"/>
            <rFont val="Calibri"/>
            <family val="2"/>
            <charset val="1"/>
          </rPr>
          <t xml:space="preserve">REFERÊNCIA ABR/20 - LANÇADO PLANILHA PAGAMENTO GEFIC EM MAI/20
</t>
        </r>
      </text>
    </comment>
    <comment ref="Q322" authorId="0" shapeId="0" xr:uid="{00000000-0006-0000-0000-00009D010000}">
      <text>
        <r>
          <rPr>
            <sz val="11"/>
            <color rgb="FF000000"/>
            <rFont val="Calibri"/>
            <family val="2"/>
            <charset val="1"/>
          </rPr>
          <t xml:space="preserve">VIGÊNCIA 26/06/2020 a  25/06/2021
CUSTEIO....................R$ 425.348,43
</t>
        </r>
        <r>
          <rPr>
            <sz val="9"/>
            <color rgb="FF000000"/>
            <rFont val="Segoe UI"/>
            <family val="2"/>
            <charset val="1"/>
          </rPr>
          <t xml:space="preserve">
</t>
        </r>
      </text>
    </comment>
    <comment ref="Z322" authorId="0" shapeId="0" xr:uid="{00000000-0006-0000-0000-00005A020000}">
      <text>
        <r>
          <rPr>
            <sz val="11"/>
            <color rgb="FF000000"/>
            <rFont val="Calibri"/>
            <family val="2"/>
            <charset val="1"/>
          </rPr>
          <t xml:space="preserve">R$ -GLOSA DE FOLHA MAIO/20 LANÇADA NA PLANILHA DE PREVISÃO DE PAGAMENTO JUN/20 DA GAOS
</t>
        </r>
      </text>
    </comment>
    <comment ref="AD322" authorId="0" shapeId="0" xr:uid="{00000000-0006-0000-0000-00003D060000}">
      <text>
        <r>
          <rPr>
            <sz val="11"/>
            <color rgb="FF000000"/>
            <rFont val="Calibri"/>
            <family val="2"/>
            <charset val="1"/>
          </rPr>
          <t xml:space="preserve">ENERGIA - REFERÊNCIA MAI/20 - LANÇADO PLANILHA PAGAMENTO GEFIC EM JUN/20
</t>
        </r>
      </text>
    </comment>
    <comment ref="AU322" authorId="0" shapeId="0" xr:uid="{00000000-0006-0000-0000-0000BE090000}">
      <text>
        <r>
          <rPr>
            <sz val="11"/>
            <color rgb="FF000000"/>
            <rFont val="Calibri"/>
            <family val="2"/>
            <charset val="1"/>
          </rPr>
          <t xml:space="preserve">R$ 7,857.92 - PROC 202000010015729 - RESCISÕES TRABALHISTA MÊS DE MARÇO DE 2020 - UNIDADE MNSL. 
</t>
        </r>
        <r>
          <rPr>
            <sz val="9"/>
            <color rgb="FF000000"/>
            <rFont val="Segoe UI"/>
            <family val="2"/>
            <charset val="1"/>
          </rPr>
          <t xml:space="preserve">.
R$ 22.178,51 - PROC 202000010011677 - RESSARCIMENTO DE RESCISÕES TRABALHISTA DE FEVEREIRO DE 2020 - UNIDADE MNSL </t>
        </r>
      </text>
    </comment>
    <comment ref="Q323" authorId="0" shapeId="0" xr:uid="{00000000-0006-0000-0000-00009E010000}">
      <text>
        <r>
          <rPr>
            <sz val="11"/>
            <color rgb="FF000000"/>
            <rFont val="Calibri"/>
            <family val="2"/>
            <charset val="1"/>
          </rPr>
          <t xml:space="preserve">VIGÊNCIA 26/06/2020 a  25/06/2021
</t>
        </r>
        <r>
          <rPr>
            <sz val="9"/>
            <color rgb="FF000000"/>
            <rFont val="Segoe UI"/>
            <family val="2"/>
            <charset val="1"/>
          </rPr>
          <t>CUSTEIO.............................R$ 2.552.090,60</t>
        </r>
      </text>
    </comment>
    <comment ref="AC323" authorId="0" shapeId="0" xr:uid="{00000000-0006-0000-0000-0000E1040000}">
      <text>
        <r>
          <rPr>
            <sz val="11"/>
            <color rgb="FF000000"/>
            <rFont val="Calibri"/>
            <family val="2"/>
            <charset val="1"/>
          </rPr>
          <t xml:space="preserve">OI - REFERÊNCIA JUL/20 - LANÇADO PLANILHA PAGAMENTO GEFIC EM JUL/20
</t>
        </r>
      </text>
    </comment>
    <comment ref="AD323" authorId="0" shapeId="0" xr:uid="{00000000-0006-0000-0000-00003E060000}">
      <text>
        <r>
          <rPr>
            <sz val="11"/>
            <color rgb="FF000000"/>
            <rFont val="Calibri"/>
            <family val="2"/>
            <charset val="1"/>
          </rPr>
          <t xml:space="preserve">ENERGIA - REFERÊNCIA JUN/20 - LANÇADO PLANILHA PAGAMENTO GEFIC EM JUL/20
</t>
        </r>
      </text>
    </comment>
    <comment ref="AO323" authorId="0" shapeId="0" xr:uid="{00000000-0006-0000-0000-000061090000}">
      <text>
        <r>
          <rPr>
            <b/>
            <sz val="9"/>
            <color rgb="FF000000"/>
            <rFont val="Segoe UI"/>
            <family val="2"/>
            <charset val="1"/>
          </rPr>
          <t>DIFERENÇA ENTRE O ESTIMADO E O APLICADO DA FOLHA REFERÊNCIA JUN/20 - LANÇADO PLANILHA PAGAMENTO GEFIC EM JUL/20</t>
        </r>
      </text>
    </comment>
    <comment ref="AU323" authorId="0" shapeId="0" xr:uid="{00000000-0006-0000-0000-0000BF090000}">
      <text>
        <r>
          <rPr>
            <b/>
            <sz val="9"/>
            <color rgb="FF000000"/>
            <rFont val="Segoe UI"/>
            <family val="2"/>
            <charset val="1"/>
          </rPr>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r>
      </text>
    </comment>
    <comment ref="AW323" authorId="0" shapeId="0" xr:uid="{00000000-0006-0000-0000-00001D0A0000}">
      <text>
        <r>
          <rPr>
            <sz val="11"/>
            <color rgb="FF000000"/>
            <rFont val="Calibri"/>
            <family val="2"/>
            <charset val="1"/>
          </rPr>
          <t xml:space="preserve">PROC.201900010046725 - ITENS 1Licença de Uso Perpétuas E 
3 Implantação do Cloud HMI 
</t>
        </r>
      </text>
    </comment>
    <comment ref="Q324" authorId="0" shapeId="0" xr:uid="{00000000-0006-0000-0000-00009F010000}">
      <text>
        <r>
          <rPr>
            <sz val="11"/>
            <color rgb="FF000000"/>
            <rFont val="Calibri"/>
            <family val="2"/>
            <charset val="1"/>
          </rPr>
          <t xml:space="preserve">VIGÊNCIA 26/06/2020 a  25/06/2021
</t>
        </r>
        <r>
          <rPr>
            <sz val="9"/>
            <color rgb="FF000000"/>
            <rFont val="Segoe UI"/>
            <family val="2"/>
            <charset val="1"/>
          </rPr>
          <t>CUSTEIO.............................R$ 2.552.090,60</t>
        </r>
      </text>
    </comment>
    <comment ref="Z324" authorId="0" shapeId="0" xr:uid="{00000000-0006-0000-0000-00005B020000}">
      <text>
        <r>
          <rPr>
            <b/>
            <sz val="9"/>
            <color rgb="FF000000"/>
            <rFont val="Segoe UI"/>
            <family val="2"/>
            <charset val="1"/>
          </rPr>
          <t xml:space="preserve">FOLHA - REFERÊNCIA JUL/20 - LANÇADO PLANILHA PAGAMENTO GEFIC EM AGO/20.
</t>
        </r>
      </text>
    </comment>
    <comment ref="AA324" authorId="0" shapeId="0" xr:uid="{00000000-0006-0000-0000-000059030000}">
      <text>
        <r>
          <rPr>
            <b/>
            <sz val="9"/>
            <color rgb="FF000000"/>
            <rFont val="Segoe UI"/>
            <family val="2"/>
            <charset val="1"/>
          </rPr>
          <t xml:space="preserve">FOLHA - REFERÊNCIA JUL/20 - LANÇADO PLANILHA PAGAMENTO GEFIC EM AGO/20.
</t>
        </r>
      </text>
    </comment>
    <comment ref="AC324" authorId="0" shapeId="0" xr:uid="{00000000-0006-0000-0000-0000E2040000}">
      <text>
        <r>
          <rPr>
            <sz val="11"/>
            <color rgb="FF000000"/>
            <rFont val="Calibri"/>
            <family val="2"/>
            <charset val="1"/>
          </rPr>
          <t xml:space="preserve">OI - REFERÊNCIA AGO/20 - LANÇADO PLANILHA PAGAMENTO GEFIC EM AGO/20
</t>
        </r>
      </text>
    </comment>
    <comment ref="AD324" authorId="0" shapeId="0" xr:uid="{00000000-0006-0000-0000-00003F060000}">
      <text>
        <r>
          <rPr>
            <sz val="11"/>
            <color rgb="FF000000"/>
            <rFont val="Calibri"/>
            <family val="2"/>
            <charset val="1"/>
          </rPr>
          <t xml:space="preserve">ENERGIA - REFERÊNCIA JUL/20 - LANÇADO PLANILHA PAGAMENTO GEFIC EM AGO/20
</t>
        </r>
      </text>
    </comment>
    <comment ref="AU324" authorId="0" shapeId="0" xr:uid="{00000000-0006-0000-0000-0000C0090000}">
      <text>
        <r>
          <rPr>
            <sz val="11"/>
            <color rgb="FF000000"/>
            <rFont val="Calibri"/>
            <family val="2"/>
            <charset val="1"/>
          </rPr>
          <t xml:space="preserve">PROC 202000001024997 - RESSARCIMENTO TRABALHISTA - PERÍODO DE JUNHO DE 2020 - DA MNSL, CONFORME DESPACHO Nº 402/2020 - GAOS- 14421 e DESPACHO Nº 3209/2020 - SGI- 03079. 
</t>
        </r>
      </text>
    </comment>
    <comment ref="Q325" authorId="0" shapeId="0" xr:uid="{00000000-0006-0000-0000-0000A0010000}">
      <text>
        <r>
          <rPr>
            <sz val="11"/>
            <color rgb="FF000000"/>
            <rFont val="Calibri"/>
            <family val="2"/>
            <charset val="1"/>
          </rPr>
          <t xml:space="preserve">VIGÊNCIA 26/06/2020 a  25/06/2021
</t>
        </r>
        <r>
          <rPr>
            <sz val="9"/>
            <color rgb="FF000000"/>
            <rFont val="Segoe UI"/>
            <family val="2"/>
            <charset val="1"/>
          </rPr>
          <t>CUSTEIO.............................R$ 2.552.090,60</t>
        </r>
      </text>
    </comment>
    <comment ref="Z325" authorId="0" shapeId="0" xr:uid="{00000000-0006-0000-0000-00005C020000}">
      <text>
        <r>
          <rPr>
            <b/>
            <sz val="9"/>
            <color rgb="FF000000"/>
            <rFont val="Segoe UI"/>
            <family val="2"/>
            <charset val="1"/>
          </rPr>
          <t xml:space="preserve">FOLHA - REFERÊNCIA AGO/20 - LANÇADO PLANILHA PAGAMENTO GEFIC EM SET/20.
</t>
        </r>
      </text>
    </comment>
    <comment ref="AA325" authorId="0" shapeId="0" xr:uid="{00000000-0006-0000-0000-00005A030000}">
      <text>
        <r>
          <rPr>
            <b/>
            <sz val="9"/>
            <color rgb="FF000000"/>
            <rFont val="Segoe UI"/>
            <family val="2"/>
            <charset val="1"/>
          </rPr>
          <t xml:space="preserve">FOLHA - REFERÊNCIA AGO/20 - LANÇADO PLANILHA PAGAMENTO GEFIC EM SET/20.
</t>
        </r>
      </text>
    </comment>
    <comment ref="AC325" authorId="0" shapeId="0" xr:uid="{00000000-0006-0000-0000-0000E3040000}">
      <text>
        <r>
          <rPr>
            <sz val="11"/>
            <color rgb="FF000000"/>
            <rFont val="Calibri"/>
            <family val="2"/>
            <charset val="1"/>
          </rPr>
          <t xml:space="preserve">OI - REFERÊNCIA SET/20 - LANÇADO PLANILHA PAGAMENTO GEFIC EM SET/20
</t>
        </r>
      </text>
    </comment>
    <comment ref="AD325" authorId="0" shapeId="0" xr:uid="{00000000-0006-0000-0000-000040060000}">
      <text>
        <r>
          <rPr>
            <sz val="11"/>
            <color rgb="FF000000"/>
            <rFont val="Calibri"/>
            <family val="2"/>
            <charset val="1"/>
          </rPr>
          <t xml:space="preserve">ENERGIA - REFERÊNCIA AGO/20 - LANÇADO PLANILHA PAGAMENTO GEFIC EM SET/20
</t>
        </r>
      </text>
    </comment>
    <comment ref="AE325" authorId="0" shapeId="0" xr:uid="{00000000-0006-0000-0000-000069080000}">
      <text>
        <r>
          <rPr>
            <sz val="11"/>
            <color rgb="FF000000"/>
            <rFont val="Calibri"/>
            <family val="2"/>
            <charset val="1"/>
          </rPr>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
</t>
        </r>
      </text>
    </comment>
    <comment ref="Q326" authorId="0" shapeId="0" xr:uid="{00000000-0006-0000-0000-0000A1010000}">
      <text>
        <r>
          <rPr>
            <sz val="11"/>
            <color rgb="FF000000"/>
            <rFont val="Calibri"/>
            <family val="2"/>
            <charset val="1"/>
          </rPr>
          <t xml:space="preserve">VIGÊNCIA 26/06/2020 a  25/06/2021
</t>
        </r>
        <r>
          <rPr>
            <sz val="9"/>
            <color rgb="FF000000"/>
            <rFont val="Segoe UI"/>
            <family val="2"/>
            <charset val="1"/>
          </rPr>
          <t>CUSTEIO.............................R$ 2.552.090,60</t>
        </r>
      </text>
    </comment>
    <comment ref="Z326" authorId="0" shapeId="0" xr:uid="{00000000-0006-0000-0000-00005D020000}">
      <text>
        <r>
          <rPr>
            <b/>
            <sz val="9"/>
            <color rgb="FF000000"/>
            <rFont val="Segoe UI"/>
            <family val="2"/>
            <charset val="1"/>
          </rPr>
          <t xml:space="preserve">FOLHA - REFERÊNCIA SET/20 - LANÇADO PLANILHA PAGAMENTO GEFIC EM OUT/20 
</t>
        </r>
      </text>
    </comment>
    <comment ref="AA326" authorId="0" shapeId="0" xr:uid="{00000000-0006-0000-0000-00005B030000}">
      <text>
        <r>
          <rPr>
            <b/>
            <sz val="9"/>
            <color rgb="FF000000"/>
            <rFont val="Segoe UI"/>
            <family val="2"/>
            <charset val="1"/>
          </rPr>
          <t xml:space="preserve">FOLHA - REFERÊNCIA SET/20 - LANÇADO PLANILHA PAGAMENTO GEFIC EM OUT/20 
</t>
        </r>
      </text>
    </comment>
    <comment ref="AC326" authorId="0" shapeId="0" xr:uid="{00000000-0006-0000-0000-0000E4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326" authorId="0" shapeId="0" xr:uid="{00000000-0006-0000-0000-000041060000}">
      <text>
        <r>
          <rPr>
            <sz val="11"/>
            <color rgb="FF000000"/>
            <rFont val="Calibri"/>
            <family val="2"/>
            <charset val="1"/>
          </rPr>
          <t xml:space="preserve">ENERGIA - REFERÊNCIA SET/20 - LANÇADO PLANILHA PAGAMENTO GEFIC EM OUT/20
</t>
        </r>
      </text>
    </comment>
    <comment ref="Q327" authorId="0" shapeId="0" xr:uid="{00000000-0006-0000-0000-0000A2010000}">
      <text>
        <r>
          <rPr>
            <sz val="11"/>
            <color rgb="FF000000"/>
            <rFont val="Calibri"/>
            <family val="2"/>
            <charset val="1"/>
          </rPr>
          <t xml:space="preserve">VIGÊNCIA 26/06/2020 a  25/06/2021
</t>
        </r>
        <r>
          <rPr>
            <sz val="9"/>
            <color rgb="FF000000"/>
            <rFont val="Segoe UI"/>
            <family val="2"/>
            <charset val="1"/>
          </rPr>
          <t>CUSTEIO.............................R$ 2.552.090,60</t>
        </r>
      </text>
    </comment>
    <comment ref="Z327" authorId="0" shapeId="0" xr:uid="{00000000-0006-0000-0000-00005E020000}">
      <text>
        <r>
          <rPr>
            <b/>
            <sz val="9"/>
            <color rgb="FF000000"/>
            <rFont val="Segoe UI"/>
            <family val="2"/>
            <charset val="1"/>
          </rPr>
          <t xml:space="preserve">FOLHA - REFERÊNCIA OUT/20 - LANÇADO PLANILHA PAGAMENTO GEFIC EM NOV/20.
</t>
        </r>
      </text>
    </comment>
    <comment ref="AA327" authorId="0" shapeId="0" xr:uid="{00000000-0006-0000-0000-00005C030000}">
      <text>
        <r>
          <rPr>
            <b/>
            <sz val="9"/>
            <color rgb="FF000000"/>
            <rFont val="Segoe UI"/>
            <family val="2"/>
            <charset val="1"/>
          </rPr>
          <t xml:space="preserve">FOLHA - REFERÊNCIA OUT/20 - LANÇADO PLANILHA PAGAMENTO GEFIC EM NOV/20.
</t>
        </r>
      </text>
    </comment>
    <comment ref="AC327" authorId="0" shapeId="0" xr:uid="{00000000-0006-0000-0000-0000E5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327" authorId="0" shapeId="0" xr:uid="{00000000-0006-0000-0000-000042060000}">
      <text>
        <r>
          <rPr>
            <sz val="11"/>
            <color rgb="FF000000"/>
            <rFont val="Calibri"/>
            <family val="2"/>
            <charset val="1"/>
          </rPr>
          <t xml:space="preserve">ENERGIA - REFERÊNCIA OUT/20 - LANÇADO PLANILHA PAGAMENTO GEFIC EM NOV/20
</t>
        </r>
      </text>
    </comment>
    <comment ref="Q328" authorId="0" shapeId="0" xr:uid="{00000000-0006-0000-0000-0000A3010000}">
      <text>
        <r>
          <rPr>
            <sz val="11"/>
            <color rgb="FF000000"/>
            <rFont val="Calibri"/>
            <family val="2"/>
            <charset val="1"/>
          </rPr>
          <t xml:space="preserve">VIGÊNCIA 26/06/2020 a  25/06/2021
</t>
        </r>
        <r>
          <rPr>
            <sz val="9"/>
            <color rgb="FF000000"/>
            <rFont val="Segoe UI"/>
            <family val="2"/>
            <charset val="1"/>
          </rPr>
          <t>CUSTEIO.............................R$ 2.552.090,60</t>
        </r>
      </text>
    </comment>
    <comment ref="Z328" authorId="0" shapeId="0" xr:uid="{00000000-0006-0000-0000-00005F020000}">
      <text>
        <r>
          <rPr>
            <b/>
            <sz val="9"/>
            <color rgb="FF000000"/>
            <rFont val="Segoe UI"/>
            <family val="2"/>
            <charset val="1"/>
          </rPr>
          <t xml:space="preserve">FOLHA - REFERÊNCIA NOV/20 - LANÇADO PLANILHA PAGAMENTO GEFIC EM DEZ/20.
</t>
        </r>
      </text>
    </comment>
    <comment ref="AA328" authorId="0" shapeId="0" xr:uid="{00000000-0006-0000-0000-00005D030000}">
      <text>
        <r>
          <rPr>
            <b/>
            <sz val="9"/>
            <color rgb="FF000000"/>
            <rFont val="Segoe UI"/>
            <family val="2"/>
            <charset val="1"/>
          </rPr>
          <t xml:space="preserve">FOLHA - REFERÊNCIA NOV/20 - LANÇADO PLANILHA PAGAMENTO GEFIC EM DEZ/20.
</t>
        </r>
      </text>
    </comment>
    <comment ref="AC328" authorId="0" shapeId="0" xr:uid="{00000000-0006-0000-0000-0000E6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328" authorId="0" shapeId="0" xr:uid="{00000000-0006-0000-0000-000043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Q329" authorId="0" shapeId="0" xr:uid="{00000000-0006-0000-0000-0000A4010000}">
      <text>
        <r>
          <rPr>
            <sz val="11"/>
            <color rgb="FF000000"/>
            <rFont val="Calibri"/>
            <family val="2"/>
            <charset val="1"/>
          </rPr>
          <t xml:space="preserve">VIGÊNCIA 26/06/2020 a  25/06/2021
</t>
        </r>
        <r>
          <rPr>
            <sz val="9"/>
            <color rgb="FF000000"/>
            <rFont val="Segoe UI"/>
            <family val="2"/>
            <charset val="1"/>
          </rPr>
          <t>CUSTEIO.............................R$ 2.552.090,60</t>
        </r>
      </text>
    </comment>
    <comment ref="Z329" authorId="0" shapeId="0" xr:uid="{00000000-0006-0000-0000-000060020000}">
      <text>
        <r>
          <rPr>
            <sz val="11"/>
            <color rgb="FF000000"/>
            <rFont val="Calibri"/>
            <family val="2"/>
            <charset val="1"/>
          </rPr>
          <t xml:space="preserve">FOLHA - REFERÊNCIA DEZ/20- LANÇADO PLANILHA PAGAMENTO GEFIC EM JAN/21.
</t>
        </r>
      </text>
    </comment>
    <comment ref="AA329" authorId="0" shapeId="0" xr:uid="{00000000-0006-0000-0000-00005E030000}">
      <text>
        <r>
          <rPr>
            <sz val="11"/>
            <color rgb="FF000000"/>
            <rFont val="Calibri"/>
            <family val="2"/>
            <charset val="1"/>
          </rPr>
          <t xml:space="preserve">FOLHA - REFERÊNCIA DEZ/20- LANÇADO PLANILHA PAGAMENTO GEFIC EM JAN/21.
</t>
        </r>
      </text>
    </comment>
    <comment ref="AC329" authorId="0" shapeId="0" xr:uid="{00000000-0006-0000-0000-0000E7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Q330" authorId="0" shapeId="0" xr:uid="{00000000-0006-0000-0000-0000A5010000}">
      <text>
        <r>
          <rPr>
            <sz val="11"/>
            <color rgb="FF000000"/>
            <rFont val="Calibri"/>
            <family val="2"/>
            <charset val="1"/>
          </rPr>
          <t xml:space="preserve">VIGÊNCIA 26/06/2020 a  25/06/2021
</t>
        </r>
        <r>
          <rPr>
            <sz val="9"/>
            <color rgb="FF000000"/>
            <rFont val="Segoe UI"/>
            <family val="2"/>
            <charset val="1"/>
          </rPr>
          <t>CUSTEIO.............................R$ 2.552.090,60</t>
        </r>
      </text>
    </comment>
    <comment ref="Z330" authorId="0" shapeId="0" xr:uid="{00000000-0006-0000-0000-000061020000}">
      <text>
        <r>
          <rPr>
            <sz val="11"/>
            <color rgb="FF000000"/>
            <rFont val="Calibri"/>
            <family val="2"/>
            <charset val="1"/>
          </rPr>
          <t xml:space="preserve">FOLHA - REFERÊNCIA JAN/21- LANÇADO PLANILHA PAGAMENTO GEFIC EM FEV/21.
</t>
        </r>
      </text>
    </comment>
    <comment ref="AA330" authorId="0" shapeId="0" xr:uid="{00000000-0006-0000-0000-00005F030000}">
      <text>
        <r>
          <rPr>
            <sz val="11"/>
            <color rgb="FF000000"/>
            <rFont val="Calibri"/>
            <family val="2"/>
            <charset val="1"/>
          </rPr>
          <t xml:space="preserve">FOLHA - REFERÊNCIA JAN/21- LANÇADO PLANILHA PAGAMENTO GEFIC EM FEV/21.
</t>
        </r>
      </text>
    </comment>
    <comment ref="AC330" authorId="0" shapeId="0" xr:uid="{00000000-0006-0000-0000-0000E8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330" authorId="0" shapeId="0" xr:uid="{00000000-0006-0000-0000-000044060000}">
      <text>
        <r>
          <rPr>
            <sz val="11"/>
            <color rgb="FF000000"/>
            <rFont val="Calibri"/>
            <family val="2"/>
            <charset val="1"/>
          </rPr>
          <t xml:space="preserve">CELG JAN/21 LANÇADO NA PLANILHA DE FEV/21
</t>
        </r>
      </text>
    </comment>
    <comment ref="Q331" authorId="0" shapeId="0" xr:uid="{00000000-0006-0000-0000-0000A6010000}">
      <text>
        <r>
          <rPr>
            <sz val="11"/>
            <color rgb="FF000000"/>
            <rFont val="Calibri"/>
            <family val="2"/>
            <charset val="1"/>
          </rPr>
          <t xml:space="preserve">VIGÊNCIA 26/06/2020 a  25/06/2021
</t>
        </r>
        <r>
          <rPr>
            <sz val="9"/>
            <color rgb="FF000000"/>
            <rFont val="Segoe UI"/>
            <family val="2"/>
            <charset val="1"/>
          </rPr>
          <t>CUSTEIO.............................R$ 2.552.090,60</t>
        </r>
      </text>
    </comment>
    <comment ref="Z331" authorId="0" shapeId="0" xr:uid="{00000000-0006-0000-0000-000062020000}">
      <text>
        <r>
          <rPr>
            <sz val="11"/>
            <color rgb="FF000000"/>
            <rFont val="Calibri"/>
            <family val="2"/>
            <charset val="1"/>
          </rPr>
          <t xml:space="preserve">FOLHA - REFERÊNCIA FEV/21- LANÇADO PLANILHA PAGAMENTO GEFIC EM MAR/21.
</t>
        </r>
      </text>
    </comment>
    <comment ref="AA331" authorId="0" shapeId="0" xr:uid="{00000000-0006-0000-0000-000060030000}">
      <text>
        <r>
          <rPr>
            <sz val="11"/>
            <color rgb="FF000000"/>
            <rFont val="Calibri"/>
            <family val="2"/>
            <charset val="1"/>
          </rPr>
          <t xml:space="preserve">FOLHA - REFERÊNCIA FEV/21- LANÇADO PLANILHA PAGAMENTO GEFIC EM MAR/21.
</t>
        </r>
      </text>
    </comment>
    <comment ref="AC331" authorId="0" shapeId="0" xr:uid="{00000000-0006-0000-0000-0000E9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331" authorId="0" shapeId="0" xr:uid="{00000000-0006-0000-0000-000045060000}">
      <text>
        <r>
          <rPr>
            <sz val="11"/>
            <color rgb="FF000000"/>
            <rFont val="Calibri"/>
            <family val="2"/>
            <charset val="1"/>
          </rPr>
          <t xml:space="preserve">CELG FEV/21 LANÇADO NA PLANILHA DE MAR/21
</t>
        </r>
      </text>
    </comment>
    <comment ref="AW331" authorId="0" shapeId="0" xr:uid="{00000000-0006-0000-0000-00001E0A0000}">
      <text>
        <r>
          <rPr>
            <sz val="11"/>
            <color rgb="FF000000"/>
            <rFont val="Calibri"/>
            <family val="2"/>
            <charset val="1"/>
          </rPr>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R$ 124.393,60 - AQUISIÇÃO DE EQUIPAMENTOS A SEREM DESTINADOS AO HOSPITAL ESTADUAL MATERNIDADE NOSSA SENHORA DE LOURDES - HEMNSL. . PROC 202000010015963, conf.DESPACHO Nº 52/2021 - GAOS- 14421 e DESPACHO Nº 110/2021 - GEAM- 11734 com parecer favorável
</t>
        </r>
      </text>
    </comment>
    <comment ref="Q332" authorId="0" shapeId="0" xr:uid="{00000000-0006-0000-0000-0000A7010000}">
      <text>
        <r>
          <rPr>
            <sz val="11"/>
            <color rgb="FF000000"/>
            <rFont val="Calibri"/>
            <family val="2"/>
            <charset val="1"/>
          </rPr>
          <t xml:space="preserve">VIGÊNCIA 26/06/2020 a  25/06/2021
</t>
        </r>
        <r>
          <rPr>
            <sz val="9"/>
            <color rgb="FF000000"/>
            <rFont val="Segoe UI"/>
            <family val="2"/>
            <charset val="1"/>
          </rPr>
          <t>CUSTEIO.............................R$ 2.552.090,60</t>
        </r>
      </text>
    </comment>
    <comment ref="Z332" authorId="0" shapeId="0" xr:uid="{00000000-0006-0000-0000-000063020000}">
      <text>
        <r>
          <rPr>
            <sz val="11"/>
            <color rgb="FF000000"/>
            <rFont val="Calibri"/>
            <family val="2"/>
            <charset val="1"/>
          </rPr>
          <t xml:space="preserve">FOLHA - REFERÊNCIA MAR/21- LANÇADO PLANILHA PAGAMENTO GEFIC EM ABR/21.
</t>
        </r>
      </text>
    </comment>
    <comment ref="AA332" authorId="0" shapeId="0" xr:uid="{00000000-0006-0000-0000-000061030000}">
      <text>
        <r>
          <rPr>
            <sz val="11"/>
            <color rgb="FF000000"/>
            <rFont val="Calibri"/>
            <family val="2"/>
            <charset val="1"/>
          </rPr>
          <t xml:space="preserve">FOLHA - REFERÊNCIA MAR/21- LANÇADO PLANILHA PAGAMENTO GEFIC EM ABR/21.
</t>
        </r>
      </text>
    </comment>
    <comment ref="AC332" authorId="0" shapeId="0" xr:uid="{00000000-0006-0000-0000-0000EA040000}">
      <text>
        <r>
          <rPr>
            <sz val="11"/>
            <color rgb="FF000000"/>
            <rFont val="Calibri"/>
            <family val="2"/>
            <charset val="1"/>
          </rPr>
          <t xml:space="preserve">OI - REFERÊNCIA ABR/21 - LANÇADO PLANILHA PAGAMENTO GEFIC EM ABR/21
</t>
        </r>
      </text>
    </comment>
    <comment ref="AD332" authorId="0" shapeId="0" xr:uid="{00000000-0006-0000-0000-000046060000}">
      <text>
        <r>
          <rPr>
            <sz val="11"/>
            <color rgb="FF000000"/>
            <rFont val="Calibri"/>
            <family val="2"/>
            <charset val="1"/>
          </rPr>
          <t xml:space="preserve">CELG MAR/21 LANÇADO NA PLANILHA DE ABR/21
</t>
        </r>
      </text>
    </comment>
    <comment ref="Q333" authorId="0" shapeId="0" xr:uid="{00000000-0006-0000-0000-0000A8010000}">
      <text>
        <r>
          <rPr>
            <sz val="11"/>
            <color rgb="FF000000"/>
            <rFont val="Calibri"/>
            <family val="2"/>
            <charset val="1"/>
          </rPr>
          <t xml:space="preserve">VIGÊNCIA 26/06/2020 a  25/06/2021
</t>
        </r>
        <r>
          <rPr>
            <sz val="9"/>
            <color rgb="FF000000"/>
            <rFont val="Segoe UI"/>
            <family val="2"/>
            <charset val="1"/>
          </rPr>
          <t>CUSTEIO.............................R$ 2.552.090,60</t>
        </r>
      </text>
    </comment>
    <comment ref="Z333" authorId="0" shapeId="0" xr:uid="{00000000-0006-0000-0000-000064020000}">
      <text>
        <r>
          <rPr>
            <sz val="11"/>
            <color rgb="FF000000"/>
            <rFont val="Calibri"/>
            <family val="2"/>
            <charset val="1"/>
          </rPr>
          <t xml:space="preserve">FOLHA - REFERÊNCIA ABR/21- LANÇADO PLANILHA PAGAMENTO GEFIC EM MAI/21.
</t>
        </r>
      </text>
    </comment>
    <comment ref="AA333" authorId="0" shapeId="0" xr:uid="{00000000-0006-0000-0000-000062030000}">
      <text>
        <r>
          <rPr>
            <sz val="11"/>
            <color rgb="FF000000"/>
            <rFont val="Calibri"/>
            <family val="2"/>
            <charset val="1"/>
          </rPr>
          <t xml:space="preserve">FOLHA - REFERÊNCIA ABR/21- LANÇADO PLANILHA PAGAMENTO GEFIC EM MAI/21.
</t>
        </r>
      </text>
    </comment>
    <comment ref="AC333" authorId="0" shapeId="0" xr:uid="{00000000-0006-0000-0000-0000EB040000}">
      <text>
        <r>
          <rPr>
            <sz val="11"/>
            <color rgb="FF000000"/>
            <rFont val="Calibri"/>
            <family val="2"/>
            <charset val="1"/>
          </rPr>
          <t xml:space="preserve">OI - REFERÊNCIA MAI/21 - LANÇADO PLANILHA PAGAMENTO GEFIC EM MAI/21
</t>
        </r>
      </text>
    </comment>
    <comment ref="AD333" authorId="0" shapeId="0" xr:uid="{00000000-0006-0000-0000-000047060000}">
      <text>
        <r>
          <rPr>
            <sz val="11"/>
            <color rgb="FF000000"/>
            <rFont val="Calibri"/>
            <family val="2"/>
            <charset val="1"/>
          </rPr>
          <t xml:space="preserve">CELG ABR/21 LANÇADO NA PLANILHA DE MAI/21
</t>
        </r>
      </text>
    </comment>
    <comment ref="Q334" authorId="0" shapeId="0" xr:uid="{00000000-0006-0000-0000-0000A9010000}">
      <text>
        <r>
          <rPr>
            <sz val="11"/>
            <color rgb="FF000000"/>
            <rFont val="Calibri"/>
            <family val="2"/>
            <charset val="1"/>
          </rPr>
          <t xml:space="preserve">VIGÊNCIA 26/06/2020 a  25/06/2021
CUSTEIO...................R$ 2.126.742,17
</t>
        </r>
        <r>
          <rPr>
            <sz val="9"/>
            <color rgb="FF000000"/>
            <rFont val="Segoe UI"/>
            <family val="2"/>
            <charset val="1"/>
          </rPr>
          <t xml:space="preserve">
</t>
        </r>
      </text>
    </comment>
    <comment ref="Z334" authorId="0" shapeId="0" xr:uid="{00000000-0006-0000-0000-000065020000}">
      <text>
        <r>
          <rPr>
            <sz val="11"/>
            <color rgb="FF000000"/>
            <rFont val="Calibri"/>
            <family val="2"/>
            <charset val="1"/>
          </rPr>
          <t xml:space="preserve">FOLHA - REFERÊNCIA MAI/21- LANÇADO PLANILHA PAGAMENTO GEFIC EM JUN/21.
</t>
        </r>
      </text>
    </comment>
    <comment ref="AA334" authorId="0" shapeId="0" xr:uid="{00000000-0006-0000-0000-000063030000}">
      <text>
        <r>
          <rPr>
            <sz val="11"/>
            <color rgb="FF000000"/>
            <rFont val="Calibri"/>
            <family val="2"/>
            <charset val="1"/>
          </rPr>
          <t xml:space="preserve">FOLHA - REFERÊNCIA MAI/21- LANÇADO PLANILHA PAGAMENTO GEFIC EM JUN/21.
</t>
        </r>
      </text>
    </comment>
    <comment ref="AD334" authorId="0" shapeId="0" xr:uid="{00000000-0006-0000-0000-000048060000}">
      <text>
        <r>
          <rPr>
            <sz val="11"/>
            <color rgb="FF000000"/>
            <rFont val="Calibri"/>
            <family val="2"/>
            <charset val="1"/>
          </rPr>
          <t xml:space="preserve">CELG MA/21 LANÇADO NA PLANILHA DE JUN/21
</t>
        </r>
      </text>
    </comment>
    <comment ref="AX334" authorId="0" shapeId="0" xr:uid="{00000000-0006-0000-0000-00008E0A0000}">
      <text>
        <r>
          <rPr>
            <sz val="11"/>
            <color rgb="FF000000"/>
            <rFont val="Calibri"/>
            <family val="2"/>
            <charset val="1"/>
          </rPr>
          <t xml:space="preserve">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30/06/2021.................R$ 425.348,43
</t>
        </r>
      </text>
    </comment>
    <comment ref="AX335" authorId="0" shapeId="0" xr:uid="{00000000-0006-0000-0000-00008F0A0000}">
      <text>
        <r>
          <rPr>
            <sz val="11"/>
            <color rgb="FF000000"/>
            <rFont val="Calibri"/>
            <family val="2"/>
            <charset val="1"/>
          </rPr>
          <t xml:space="preserve">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t>
        </r>
        <r>
          <rPr>
            <sz val="9"/>
            <color rgb="FF000000"/>
            <rFont val="Tahoma"/>
            <family val="2"/>
            <charset val="1"/>
          </rPr>
          <t xml:space="preserve">.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JULHO/2021..............................R$ 1.606.189,34
</t>
        </r>
      </text>
    </comment>
    <comment ref="AX336" authorId="0" shapeId="0" xr:uid="{00000000-0006-0000-0000-0000900A0000}">
      <text>
        <r>
          <rPr>
            <sz val="11"/>
            <color rgb="FF000000"/>
            <rFont val="Calibri"/>
            <family val="2"/>
            <charset val="1"/>
          </rPr>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r>
      </text>
    </comment>
    <comment ref="AX337" authorId="0" shapeId="0" xr:uid="{00000000-0006-0000-0000-0000910A0000}">
      <text>
        <r>
          <rPr>
            <b/>
            <sz val="9"/>
            <color rgb="FF000000"/>
            <rFont val="Segoe UI"/>
            <family val="2"/>
            <charset val="1"/>
          </rPr>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r>
      </text>
    </comment>
    <comment ref="E340" authorId="0" shapeId="0" xr:uid="{00000000-0006-0000-0000-000018000000}">
      <text>
        <r>
          <rPr>
            <sz val="11"/>
            <color rgb="FF000000"/>
            <rFont val="Calibri"/>
            <family val="2"/>
            <charset val="1"/>
          </rPr>
          <t xml:space="preserve">VIGÊNCIA A PARTIR DE 27/11/18 (180 DIAS)
</t>
        </r>
        <r>
          <rPr>
            <sz val="9"/>
            <color rgb="FF000000"/>
            <rFont val="Tahoma"/>
            <family val="2"/>
            <charset val="1"/>
          </rPr>
          <t xml:space="preserve">PROC.201800010045768
</t>
        </r>
      </text>
    </comment>
    <comment ref="AV340" authorId="0" shapeId="0" xr:uid="{00000000-0006-0000-0000-0000FF090000}">
      <text>
        <r>
          <rPr>
            <sz val="11"/>
            <color rgb="FF000000"/>
            <rFont val="Calibri"/>
            <family val="2"/>
            <charset val="1"/>
          </rPr>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t>
        </r>
        <r>
          <rPr>
            <sz val="9"/>
            <color rgb="FF000000"/>
            <rFont val="Tahoma"/>
            <family val="2"/>
            <charset val="1"/>
          </rPr>
          <t xml:space="preserve">.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r>
      </text>
    </comment>
    <comment ref="E341" authorId="0" shapeId="0" xr:uid="{00000000-0006-0000-0000-000019000000}">
      <text>
        <r>
          <rPr>
            <b/>
            <sz val="9"/>
            <color rgb="FF000000"/>
            <rFont val="Tahoma"/>
            <family val="2"/>
            <charset val="1"/>
          </rPr>
          <t>R$ 2.286.829,02 CUSTO MENSAL + R$ 8.136,58 ESTIMATIVA DE FOLHA</t>
        </r>
      </text>
    </comment>
    <comment ref="AA341" authorId="0" shapeId="0" xr:uid="{00000000-0006-0000-0000-000064030000}">
      <text>
        <r>
          <rPr>
            <b/>
            <sz val="9"/>
            <color rgb="FF000000"/>
            <rFont val="Tahoma"/>
            <family val="2"/>
            <charset val="1"/>
          </rPr>
          <t xml:space="preserve">RESTANTE FOLHA NOV/18 (4 DIAS) 
</t>
        </r>
      </text>
    </comment>
    <comment ref="AD341" authorId="0" shapeId="0" xr:uid="{00000000-0006-0000-0000-000049060000}">
      <text>
        <r>
          <rPr>
            <b/>
            <sz val="9"/>
            <color rgb="FF000000"/>
            <rFont val="Tahoma"/>
            <family val="2"/>
            <charset val="1"/>
          </rPr>
          <t xml:space="preserve">RESTANDO CELG NOV/18 (4 DIAS)
</t>
        </r>
      </text>
    </comment>
    <comment ref="AE341" authorId="0" shapeId="0" xr:uid="{00000000-0006-0000-0000-00006A080000}">
      <text>
        <r>
          <rPr>
            <sz val="11"/>
            <color rgb="FF000000"/>
            <rFont val="Calibri"/>
            <family val="2"/>
            <charset val="1"/>
          </rPr>
          <t xml:space="preserve">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t>
        </r>
      </text>
    </comment>
    <comment ref="AD342" authorId="0" shapeId="0" xr:uid="{00000000-0006-0000-0000-00004A060000}">
      <text>
        <r>
          <rPr>
            <b/>
            <sz val="9"/>
            <color rgb="FF000000"/>
            <rFont val="Tahoma"/>
            <family val="2"/>
            <charset val="1"/>
          </rPr>
          <t xml:space="preserve">ENEL :
*R$ 1.118,45 Diferença (NOV/18) apurada referenta a glosa efetuada a menor - mês DEZ/18;
* R$ 35.620,57 DEZ/18
</t>
        </r>
      </text>
    </comment>
    <comment ref="E343" authorId="0" shapeId="0" xr:uid="{00000000-0006-0000-0000-00001A000000}">
      <text>
        <r>
          <rPr>
            <b/>
            <sz val="9"/>
            <color rgb="FF000000"/>
            <rFont val="Tahoma"/>
            <family val="2"/>
            <charset val="1"/>
          </rPr>
          <t>R$ 2.286.829,02 CUSTO MENSAL + R$ 8.136,58 ESTIMATIVA DE FOLHA</t>
        </r>
      </text>
    </comment>
    <comment ref="AA344" authorId="0" shapeId="0" xr:uid="{00000000-0006-0000-0000-000065030000}">
      <text>
        <r>
          <rPr>
            <sz val="11"/>
            <color rgb="FF000000"/>
            <rFont val="Calibri"/>
            <family val="2"/>
            <charset val="1"/>
          </rPr>
          <t xml:space="preserve">GLOSA FOLHA DE PESSOAL:
R$ 8.136.58  GLOSA FOLHA FEV/19VALOR ESTIMADO PREVISTO CONTRATO GESTÃO. 
.
</t>
        </r>
        <r>
          <rPr>
            <sz val="9"/>
            <color rgb="FF000000"/>
            <rFont val="Tahoma"/>
            <family val="2"/>
            <charset val="1"/>
          </rPr>
          <t xml:space="preserve">
</t>
        </r>
      </text>
    </comment>
    <comment ref="AB344" authorId="0" shapeId="0" xr:uid="{00000000-0006-0000-0000-000091040000}">
      <text>
        <r>
          <rPr>
            <b/>
            <sz val="9"/>
            <color rgb="FF000000"/>
            <rFont val="Tahoma"/>
            <family val="2"/>
            <charset val="1"/>
          </rPr>
          <t xml:space="preserve">R$ 3.812,22 DIFERENÇA GLOSA DE FOLHA JAN/19 LANÇADA NA PLANILHA DE PREVISÃO DE PAGAMENTO FEV/19 DA GEFIC (O PAGAMENTO PASSOU A SER REALIZADO DENTRO DO MÊS DE REFERÊNCIA POR ISSO FOI LANÇADA GLOSA ESTIMADA PREVISTA NO CONTRATO DE GESTÃO)
</t>
        </r>
      </text>
    </comment>
    <comment ref="AC344" authorId="0" shapeId="0" xr:uid="{00000000-0006-0000-0000-0000EC040000}">
      <text>
        <r>
          <rPr>
            <b/>
            <sz val="9"/>
            <color rgb="FF000000"/>
            <rFont val="Tahoma"/>
            <family val="2"/>
            <charset val="1"/>
          </rPr>
          <t xml:space="preserve">TELEFONIA FIXA -REFERÊNCIA MAR/19 - LANÇADO PLANILHA GEFIC EM MAR/19
</t>
        </r>
      </text>
    </comment>
    <comment ref="AD344" authorId="0" shapeId="0" xr:uid="{00000000-0006-0000-0000-00004B060000}">
      <text>
        <r>
          <rPr>
            <b/>
            <sz val="9"/>
            <color rgb="FF000000"/>
            <rFont val="Tahoma"/>
            <family val="2"/>
            <charset val="1"/>
          </rPr>
          <t xml:space="preserve">REFERÊNCIA JAN/19 - LANÇADO PLANILHA GEFIC EM FEV/19
</t>
        </r>
      </text>
    </comment>
    <comment ref="AA345" authorId="0" shapeId="0" xr:uid="{00000000-0006-0000-0000-000066030000}">
      <text>
        <r>
          <rPr>
            <sz val="11"/>
            <color rgb="FF000000"/>
            <rFont val="Calibri"/>
            <family val="2"/>
            <charset val="1"/>
          </rPr>
          <t xml:space="preserve">GLOSA FOLHA DE PESSOAL:
R$ 8.136.58  GLOSA FOLHA MAR/19 VALOR ESTIMADO PREVISTO CONTRATO GESTÃO. 
.
</t>
        </r>
        <r>
          <rPr>
            <sz val="9"/>
            <color rgb="FF000000"/>
            <rFont val="Tahoma"/>
            <family val="2"/>
            <charset val="1"/>
          </rPr>
          <t xml:space="preserve">
</t>
        </r>
      </text>
    </comment>
    <comment ref="AB345" authorId="0" shapeId="0" xr:uid="{00000000-0006-0000-0000-000092040000}">
      <text>
        <r>
          <rPr>
            <b/>
            <sz val="9"/>
            <color rgb="FF000000"/>
            <rFont val="Tahoma"/>
            <family val="2"/>
            <charset val="1"/>
          </rPr>
          <t xml:space="preserve">R$ 5.897,06 DIFERENÇA GLOSA DE FOLHA FEV/19 LANÇADA NA PLANILHA DE PREVISÃO DE PAGAMENTO MAR/19 DA GEFIC (O PAGAMENTO PASSOU A SER REALIZADO DENTRO DO MÊS DE REFERÊNCIA POR ISSO FOI LANÇADA GLOSA ESTIMADA PREVISTA NO CONTRATO DE GESTÃO)
</t>
        </r>
      </text>
    </comment>
    <comment ref="AD345" authorId="0" shapeId="0" xr:uid="{00000000-0006-0000-0000-00004C060000}">
      <text>
        <r>
          <rPr>
            <b/>
            <sz val="9"/>
            <color rgb="FF000000"/>
            <rFont val="Tahoma"/>
            <family val="2"/>
            <charset val="1"/>
          </rPr>
          <t xml:space="preserve">REFERÊNCIA FEV/19 - LANÇADO PLANILHA GEFIC EM MAR19
</t>
        </r>
      </text>
    </comment>
    <comment ref="D346" authorId="0" shapeId="0" xr:uid="{00000000-0006-0000-0000-000002000000}">
      <text>
        <r>
          <rPr>
            <b/>
            <sz val="9"/>
            <color rgb="FF000000"/>
            <rFont val="Tahoma"/>
            <family val="2"/>
            <charset val="1"/>
          </rPr>
          <t xml:space="preserve">até 25/05/19
</t>
        </r>
      </text>
    </comment>
    <comment ref="E346" authorId="0" shapeId="0" xr:uid="{00000000-0006-0000-0000-00001B000000}">
      <text>
        <r>
          <rPr>
            <sz val="9"/>
            <color rgb="FF000000"/>
            <rFont val="Tahoma"/>
            <family val="2"/>
            <charset val="1"/>
          </rPr>
          <t xml:space="preserve">VIGÊNCIA ATÉ 26/05/2019
</t>
        </r>
      </text>
    </comment>
    <comment ref="F346" authorId="0" shapeId="0" xr:uid="{00000000-0006-0000-0000-00004B000000}">
      <text>
        <r>
          <rPr>
            <sz val="11"/>
            <color rgb="FF000000"/>
            <rFont val="Calibri"/>
            <family val="2"/>
            <charset val="1"/>
          </rPr>
          <t xml:space="preserve">VIGÊNCIA 27/05 A 24/08/19
</t>
        </r>
        <r>
          <rPr>
            <sz val="9"/>
            <color rgb="FF000000"/>
            <rFont val="Tahoma"/>
            <family val="2"/>
            <charset val="1"/>
          </rPr>
          <t xml:space="preserve">.
CUSTEIO: R$ 271.842,77
FOLHA : R$ 1.749,75
.
TEVE QUE ACRESCENTAR </t>
        </r>
      </text>
    </comment>
    <comment ref="AA346" authorId="0" shapeId="0" xr:uid="{00000000-0006-0000-0000-000067030000}">
      <text>
        <r>
          <rPr>
            <b/>
            <sz val="9"/>
            <color rgb="FF000000"/>
            <rFont val="Tahoma"/>
            <family val="2"/>
            <charset val="1"/>
          </rPr>
          <t xml:space="preserve">VALOR ESTIMADO PREVISTO CONTRATO GESTÃO. 
</t>
        </r>
      </text>
    </comment>
    <comment ref="AB346" authorId="0" shapeId="0" xr:uid="{00000000-0006-0000-0000-000093040000}">
      <text>
        <r>
          <rPr>
            <b/>
            <sz val="9"/>
            <color rgb="FF000000"/>
            <rFont val="Tahoma"/>
            <family val="2"/>
            <charset val="1"/>
          </rPr>
          <t xml:space="preserve">DIFERENÇA GLOSA DE FOLHA  (O PAGAMENTO PASSOU A SER REALIZADO DENTRO DO MÊS DE REFERÊNCIA POR ISSO FOI LANÇADA GLOSA ESTIMADA PREVISTA NO CONTRATO DE GESTÃO):
.
FOLHA MAR/19 LANÇADA NA PLANILHA DE PREVISÃO DE PAGAMENTO ABR/19 ........R$ 5.796,67
</t>
        </r>
      </text>
    </comment>
    <comment ref="AD346" authorId="0" shapeId="0" xr:uid="{00000000-0006-0000-0000-00004D060000}">
      <text>
        <r>
          <rPr>
            <sz val="11"/>
            <color rgb="FF000000"/>
            <rFont val="Calibri"/>
            <family val="2"/>
            <charset val="1"/>
          </rPr>
          <t xml:space="preserve">REFERÊNCIA MAR/19 - LANÇADO PLANILHA GEFIC EM ABR/19..........R$ 38.921,36
</t>
        </r>
        <r>
          <rPr>
            <sz val="9"/>
            <color rgb="FF000000"/>
            <rFont val="Tahoma"/>
            <family val="2"/>
            <charset val="1"/>
          </rPr>
          <t xml:space="preserve">.
REFERÊNCIA ABR/19 - LANÇADO PLANILHA GEFIC EM MAI/19............R$ 38.687,04
</t>
        </r>
      </text>
    </comment>
    <comment ref="AP346" authorId="0" shapeId="0" xr:uid="{00000000-0006-0000-0000-00007F090000}">
      <text>
        <r>
          <rPr>
            <sz val="11"/>
            <color rgb="FF000000"/>
            <rFont val="Calibri"/>
            <family val="2"/>
            <charset val="1"/>
          </rPr>
          <t xml:space="preserve">CUSTEIO PAGO A MAIOR EM NÃO CONFORMIDADE COM  A PARCELA LANÇADA NA PLANILHA DA GEFIC PARA RESTANTE DO MÊS DE MAIO/19, LANÇADA NA PLANILHA DE JUN/19 (REFERENTE AO 1º TERMO ADITIVO)
</t>
        </r>
      </text>
    </comment>
    <comment ref="F347" authorId="0" shapeId="0" xr:uid="{00000000-0006-0000-0000-00004C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7" authorId="0" shapeId="0" xr:uid="{00000000-0006-0000-0000-000068030000}">
      <text>
        <r>
          <rPr>
            <b/>
            <sz val="9"/>
            <color rgb="FF000000"/>
            <rFont val="Tahoma"/>
            <family val="2"/>
            <charset val="1"/>
          </rPr>
          <t xml:space="preserve">VALOR ESTIMADO PREVISTO CONTRATO GESTÃO. 
</t>
        </r>
      </text>
    </comment>
    <comment ref="F348" authorId="0" shapeId="0" xr:uid="{00000000-0006-0000-0000-00004D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8" authorId="0" shapeId="0" xr:uid="{00000000-0006-0000-0000-000069030000}">
      <text>
        <r>
          <rPr>
            <b/>
            <sz val="9"/>
            <color rgb="FF000000"/>
            <rFont val="Tahoma"/>
            <family val="2"/>
            <charset val="1"/>
          </rPr>
          <t xml:space="preserve">VALOR ESTIMADO PREVISTO CONTRATO GESTÃO. 
</t>
        </r>
      </text>
    </comment>
    <comment ref="AB348" authorId="0" shapeId="0" xr:uid="{00000000-0006-0000-0000-000094040000}">
      <text>
        <r>
          <rPr>
            <sz val="11"/>
            <color rgb="FF000000"/>
            <rFont val="Calibri"/>
            <family val="2"/>
            <charset val="1"/>
          </rPr>
          <t xml:space="preserve">R$ 488,96 DIFERENÇA GLOSA DE FOLHA MAI/19 LANÇADA NA PLANILHA DE PREVISÃO DE PAGAMENTO JUN/19 DA GEFIC (O PAGAMENTO PASSOU A SER REALIZADO DENTRO DO MÊS DE REFERÊNCIA POR ISSO FOI LANÇADA GLOSA ESTIMADA PREVISTA NO CONTRATO DE GESTÃO)
</t>
        </r>
      </text>
    </comment>
    <comment ref="AD348" authorId="0" shapeId="0" xr:uid="{00000000-0006-0000-0000-00004E060000}">
      <text>
        <r>
          <rPr>
            <b/>
            <sz val="9"/>
            <color rgb="FF000000"/>
            <rFont val="Tahoma"/>
            <family val="2"/>
            <charset val="1"/>
          </rPr>
          <t>REFERÊNCIA MAI/19 - LANÇADO PLANILHA GEFIC EM JUN/19............R$ 25.493,60</t>
        </r>
      </text>
    </comment>
    <comment ref="AE348" authorId="0" shapeId="0" xr:uid="{00000000-0006-0000-0000-00006B080000}">
      <text>
        <r>
          <rPr>
            <b/>
            <sz val="9"/>
            <color rgb="FF000000"/>
            <rFont val="Tahoma"/>
            <family val="2"/>
            <charset val="1"/>
          </rPr>
          <t>CUSTEIO PAGO A MAIOR EM NÃO CONFORMIDADE COM  A PARCELA LANÇADA NA PLANILHA DA GEFIC PARA RESTANTE DO MÊS DE MAIO/19, LANÇADA NA PLANILHA DE JUN/19 (REFERENTE AO 1º TERMO ADITIVO)</t>
        </r>
      </text>
    </comment>
    <comment ref="F349" authorId="0" shapeId="0" xr:uid="{00000000-0006-0000-0000-00004E000000}">
      <text>
        <r>
          <rPr>
            <sz val="11"/>
            <color rgb="FF000000"/>
            <rFont val="Calibri"/>
            <family val="2"/>
            <charset val="1"/>
          </rPr>
          <t xml:space="preserve">ATÉ 24/08/19
.
CUSTEIO: R$ 1.701.190,53
FOLHA: R$ 10.949,93
</t>
        </r>
      </text>
    </comment>
    <comment ref="AA349" authorId="0" shapeId="0" xr:uid="{00000000-0006-0000-0000-00006A030000}">
      <text>
        <r>
          <rPr>
            <b/>
            <sz val="9"/>
            <color rgb="FF000000"/>
            <rFont val="Tahoma"/>
            <family val="2"/>
            <charset val="1"/>
          </rPr>
          <t xml:space="preserve">VALOR ESTIMADO PREVISTO CONTRATO GESTÃO. 
</t>
        </r>
      </text>
    </comment>
    <comment ref="AB349" authorId="0" shapeId="0" xr:uid="{00000000-0006-0000-0000-000095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349" authorId="0" shapeId="0" xr:uid="{00000000-0006-0000-0000-00004F060000}">
      <text>
        <r>
          <rPr>
            <sz val="11"/>
            <color rgb="FF000000"/>
            <rFont val="Calibri"/>
            <family val="2"/>
            <charset val="1"/>
          </rPr>
          <t xml:space="preserve">R$ 23.668,37 - REFERÊNCIA JUN/19 - LANÇADO PLANILHA PAGAMENTO GEFIC EM JUL/19
.
R$ 20.104,60 - ENERGIA - REFERÊNCIA JUL/19 - LANÇADO PLANILHA PAGAMENTO GEFIC EM AGO/19
</t>
        </r>
      </text>
    </comment>
    <comment ref="AE349" authorId="0" shapeId="0" xr:uid="{00000000-0006-0000-0000-00006C080000}">
      <text>
        <r>
          <rPr>
            <b/>
            <sz val="9"/>
            <color rgb="FF000000"/>
            <rFont val="Tahoma"/>
            <family val="2"/>
            <charset val="1"/>
          </rPr>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r>
      </text>
    </comment>
    <comment ref="AO349" authorId="0" shapeId="0" xr:uid="{00000000-0006-0000-0000-000062090000}">
      <text>
        <r>
          <rPr>
            <sz val="11"/>
            <color rgb="FF000000"/>
            <rFont val="Calibri"/>
            <family val="2"/>
            <charset val="1"/>
          </rPr>
          <t xml:space="preserve">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r>
          <rPr>
            <sz val="9"/>
            <color rgb="FF000000"/>
            <rFont val="Tahoma"/>
            <family val="2"/>
            <charset val="1"/>
          </rPr>
          <t xml:space="preserve">
</t>
        </r>
      </text>
    </comment>
    <comment ref="AU349" authorId="0" shapeId="0" xr:uid="{00000000-0006-0000-0000-0000C1090000}">
      <text>
        <r>
          <rPr>
            <sz val="11"/>
            <color rgb="FF000000"/>
            <rFont val="Calibri"/>
            <family val="2"/>
            <charset val="1"/>
          </rPr>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t>
        </r>
        <r>
          <rPr>
            <sz val="9"/>
            <color rgb="FF000000"/>
            <rFont val="Tahoma"/>
            <family val="2"/>
            <charset val="1"/>
          </rPr>
          <t>.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
R$ 26.732,44 - REPASSE DE RECURSOS FINANCEIROS AO INSTITUTO CEM PARA CUMPRIMENTODE DETERMINAÇÃO JUDICIAL, CONFORME PROCESSO DE EXECUÇÃO Nº 0011414-72.2019.5.18.0011, execução provisória em ação trabalhista movida pela Sra. Sueli Alves da Silva Martins, em desfavor daquela organização social enquanto gestor
a do Hospital Estadual de Urgências de Trindade Walda Ferreira dos Santos
HUTRIN Trindade/GO, por força do Contrato Emergencial de Gestão nº 107/201
8 - SES/GO, DOCUMENTOS:DESPACHO Nº 1209/2021 - SUPER,REQUISIÇÃO DE DESPESA N° 100/2021- SUPER, DESPACHO Nº 3313/2021 - SGI, ANEXO II DESPACHO Nº 01014/2021, PROCESSO SEI - 202100010024304.</t>
        </r>
      </text>
    </comment>
    <comment ref="AV349" authorId="0" shapeId="0" xr:uid="{00000000-0006-0000-0000-0000000A0000}">
      <text>
        <r>
          <rPr>
            <sz val="11"/>
            <color rgb="FF000000"/>
            <rFont val="Calibri"/>
            <family val="2"/>
            <charset val="1"/>
          </rPr>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t>
        </r>
        <r>
          <rPr>
            <sz val="9"/>
            <color rgb="FF000000"/>
            <rFont val="Segoe UI"/>
            <family val="2"/>
            <charset val="1"/>
          </rPr>
          <t xml:space="preserve">.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r>
      </text>
    </comment>
    <comment ref="AY349" authorId="0" shapeId="0" xr:uid="{00000000-0006-0000-0000-0000E70A0000}">
      <text>
        <r>
          <rPr>
            <sz val="11"/>
            <color rgb="FF000000"/>
            <rFont val="Calibri"/>
            <family val="2"/>
            <charset val="1"/>
          </rPr>
          <t xml:space="preserve">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 CAC, DESPACHO Nº 814/2020 - SUPER, Memorando nº: 917/2020 - GAOS, Memoran
donº: 463/2020 - COMFIC, Memorando nº: 444/2020 - CAC, DESPACHO Nº 536/2020 
- GAOS, Memorando nº: 947/2020 - DIPPAG, DESPACHO Nº 5420/2020 - SGI, Memora
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PARTE......................R$ 704.217,00
.
</t>
        </r>
        <r>
          <rPr>
            <sz val="9"/>
            <color rgb="FF000000"/>
            <rFont val="Tahoma"/>
            <family val="2"/>
            <charset val="1"/>
          </rPr>
          <t>R$ 30.317,92 - COMPLEMENTO DO ENCONTRO DE CONTAS.</t>
        </r>
      </text>
    </comment>
    <comment ref="G354" authorId="0" shapeId="0" xr:uid="{00000000-0006-0000-0000-000081000000}">
      <text>
        <r>
          <rPr>
            <sz val="9"/>
            <color rgb="FF000000"/>
            <rFont val="Tahoma"/>
            <family val="2"/>
            <charset val="1"/>
          </rPr>
          <t xml:space="preserve">Investimento: 
* equipamento e acessórios hospitalares R$ 5.133.056,50; 
* mobiliário  R$ 82.020,29 e
* infra estrutura R$ 1.133.566,15 para salas de hemodinâmica e emergência.
</t>
        </r>
      </text>
    </comment>
    <comment ref="AF354" authorId="0" shapeId="0" xr:uid="{00000000-0006-0000-0000-00000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r>
      </text>
    </comment>
    <comment ref="AP357" authorId="0" shapeId="0" xr:uid="{00000000-0006-0000-0000-000080090000}">
      <text>
        <r>
          <rPr>
            <b/>
            <sz val="9"/>
            <color rgb="FF000000"/>
            <rFont val="Tahoma"/>
            <family val="2"/>
            <charset val="1"/>
          </rPr>
          <t xml:space="preserve">Houve pagamento do liquido a maior no referido mês. Foi regularizado em  OUT/17  mediante glosa.
</t>
        </r>
      </text>
    </comment>
    <comment ref="H360" authorId="0" shapeId="0" xr:uid="{00000000-0006-0000-0000-0000AF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E360" authorId="0" shapeId="0" xr:uid="{00000000-0006-0000-0000-00006D080000}">
      <text>
        <r>
          <rPr>
            <b/>
            <sz val="9"/>
            <color rgb="FF000000"/>
            <rFont val="Tahoma"/>
            <family val="2"/>
            <charset val="1"/>
          </rPr>
          <t xml:space="preserve">R$ 3.612.330,89 Custeio não será repassado  devido compensação com os valores disponíveis em caixa da OS conf.memorando nº 259/2017 SEI - SGPF - 03079, R$ 7.205,87 Glosa de folha de pagamento Houve pagamento do liquido a maior no referido mês. Foi regularizado em  OUT/17  mediante glosa.
</t>
        </r>
      </text>
    </comment>
    <comment ref="H361" authorId="0" shapeId="0" xr:uid="{00000000-0006-0000-0000-0000B0000000}">
      <text>
        <r>
          <rPr>
            <b/>
            <sz val="9"/>
            <color rgb="FF000000"/>
            <rFont val="Tahoma"/>
            <family val="2"/>
            <charset val="1"/>
          </rPr>
          <t>PARCELA R$ 3.079.170,00, R$ 164.882,73 APORTE FINANCEIRO PROGR.RES.MÈDICA E EM AREA DE SAÚDE, R$ 29.660,56 APORTE DE RECURSO FINANCEIRO PARA IMPLANTAÇÃO E CUSTEIO DOS SERVIÇOS DE ORGANIZAÇÃO DE PROCURA DE ÓRGÃOS (OPO) e R$  34.729,50 INVESTIMENTO AQUISIÇÃO DE EQUIPAMENTOS E OUTROS BENS BEMS PERMANENTES PARA ESTRUTURAÇÃO E OPERACIONALIZAÇÃO DA OPO.</t>
        </r>
      </text>
    </comment>
    <comment ref="AD361" authorId="0" shapeId="0" xr:uid="{00000000-0006-0000-0000-000050060000}">
      <text>
        <r>
          <rPr>
            <b/>
            <sz val="9"/>
            <color rgb="FF000000"/>
            <rFont val="Tahoma"/>
            <family val="2"/>
            <charset val="1"/>
          </rPr>
          <t xml:space="preserve">GLOSA REF.AO FORNECIMENTO EM SET/17.
</t>
        </r>
      </text>
    </comment>
    <comment ref="H362" authorId="0" shapeId="0" xr:uid="{00000000-0006-0000-0000-0000B1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2" authorId="0" shapeId="0" xr:uid="{00000000-0006-0000-0000-000051060000}">
      <text>
        <r>
          <rPr>
            <b/>
            <sz val="9"/>
            <color rgb="FF000000"/>
            <rFont val="Tahoma"/>
            <family val="2"/>
            <charset val="1"/>
          </rPr>
          <t xml:space="preserve">GLOSA REF.AO FORNECIMENTO EM OUT/17.R$ 249.874,09 E NOV/17 R$ 73.307,61
</t>
        </r>
      </text>
    </comment>
    <comment ref="H363" authorId="0" shapeId="0" xr:uid="{00000000-0006-0000-0000-0000B2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H364" authorId="0" shapeId="0" xr:uid="{00000000-0006-0000-0000-0000B3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W364" authorId="0" shapeId="0" xr:uid="{00000000-0006-0000-0000-00001F0A0000}">
      <text>
        <r>
          <rPr>
            <sz val="11"/>
            <color rgb="FF000000"/>
            <rFont val="Calibri"/>
            <family val="2"/>
            <charset val="1"/>
          </rPr>
          <t>TRANSFERÊNCIA DE RECURSOS FINANCEIROS FEDERAIS,</t>
        </r>
        <r>
          <rPr>
            <sz val="9"/>
            <color rgb="FF000000"/>
            <rFont val="Tahoma"/>
            <family val="2"/>
            <charset val="1"/>
          </rPr>
          <t xml:space="preserve">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
</t>
        </r>
      </text>
    </comment>
    <comment ref="H365" authorId="0" shapeId="0" xr:uid="{00000000-0006-0000-0000-0000B4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5" authorId="0" shapeId="0" xr:uid="{00000000-0006-0000-0000-000052060000}">
      <text>
        <r>
          <rPr>
            <b/>
            <sz val="9"/>
            <color rgb="FF000000"/>
            <rFont val="Tahoma"/>
            <family val="2"/>
            <charset val="1"/>
          </rPr>
          <t xml:space="preserve">CELG -FEVEREIRO/18
</t>
        </r>
      </text>
    </comment>
    <comment ref="H366" authorId="0" shapeId="0" xr:uid="{00000000-0006-0000-0000-0000B5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6" authorId="0" shapeId="0" xr:uid="{00000000-0006-0000-0000-000053060000}">
      <text>
        <r>
          <rPr>
            <b/>
            <sz val="9"/>
            <color rgb="FF000000"/>
            <rFont val="Tahoma"/>
            <family val="2"/>
            <charset val="1"/>
          </rPr>
          <t>CELG -MARÇO/18</t>
        </r>
      </text>
    </comment>
    <comment ref="H367" authorId="0" shapeId="0" xr:uid="{00000000-0006-0000-0000-0000B6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7" authorId="0" shapeId="0" xr:uid="{00000000-0006-0000-0000-000054060000}">
      <text>
        <r>
          <rPr>
            <b/>
            <sz val="9"/>
            <color rgb="FF000000"/>
            <rFont val="Tahoma"/>
            <family val="2"/>
            <charset val="1"/>
          </rPr>
          <t xml:space="preserve">CELG - ABRIL/2018
</t>
        </r>
      </text>
    </comment>
    <comment ref="H368" authorId="0" shapeId="0" xr:uid="{00000000-0006-0000-0000-0000B7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8" authorId="0" shapeId="0" xr:uid="{00000000-0006-0000-0000-000055060000}">
      <text>
        <r>
          <rPr>
            <b/>
            <sz val="9"/>
            <color rgb="FF000000"/>
            <rFont val="Tahoma"/>
            <family val="2"/>
            <charset val="1"/>
          </rPr>
          <t xml:space="preserve">CELG - MAI/18
</t>
        </r>
      </text>
    </comment>
    <comment ref="H369" authorId="0" shapeId="0" xr:uid="{00000000-0006-0000-0000-0000B8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L369" authorId="0" shapeId="0" xr:uid="{00000000-0006-0000-0000-0000DA000000}">
      <text>
        <r>
          <rPr>
            <sz val="11"/>
            <color rgb="FF000000"/>
            <rFont val="Calibri"/>
            <family val="2"/>
            <charset val="1"/>
          </rPr>
          <t xml:space="preserve">A PARTIR DE 15/07/18
</t>
        </r>
        <r>
          <rPr>
            <sz val="9"/>
            <color rgb="FF000000"/>
            <rFont val="Tahoma"/>
            <family val="2"/>
            <charset val="1"/>
          </rPr>
          <t xml:space="preserve">PRORROGAÇAO 11.801.600,00
APORTE RESIDÊNCIA MÉDICA 87.937,46;
APORTE SERVIÇOS 15.818,97
APORTE FINANCEIROS APARA ACRÉSCIMO REFERENTE A IMPLANTAÇÃO E IMPLEMENTAÇÃO DOS SERVIÇO DE HEMODINÂMICA 13.292.400,00
</t>
        </r>
      </text>
    </comment>
    <comment ref="AD369" authorId="0" shapeId="0" xr:uid="{00000000-0006-0000-0000-000056060000}">
      <text>
        <r>
          <rPr>
            <b/>
            <sz val="9"/>
            <color rgb="FF000000"/>
            <rFont val="Tahoma"/>
            <family val="2"/>
            <charset val="1"/>
          </rPr>
          <t xml:space="preserve">CELG - JUN/2018
</t>
        </r>
      </text>
    </comment>
    <comment ref="AF369" authorId="0" shapeId="0" xr:uid="{00000000-0006-0000-0000-00000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r>
      </text>
    </comment>
    <comment ref="L370" authorId="0" shapeId="0" xr:uid="{00000000-0006-0000-0000-0000DB000000}">
      <text>
        <r>
          <rPr>
            <b/>
            <sz val="9"/>
            <color rgb="FF000000"/>
            <rFont val="Tahoma"/>
            <family val="2"/>
            <charset val="1"/>
          </rPr>
          <t xml:space="preserve">
PRORROGAÇAO 22.128.000,00;
APORTE RESIDÊNCIA MÉDICA 164.882,73;
APORTE SERVIÇOS 29.660,56
</t>
        </r>
      </text>
    </comment>
    <comment ref="AD370" authorId="0" shapeId="0" xr:uid="{00000000-0006-0000-0000-000057060000}">
      <text>
        <r>
          <rPr>
            <b/>
            <sz val="9"/>
            <color rgb="FF000000"/>
            <rFont val="Tahoma"/>
            <family val="2"/>
            <charset val="1"/>
          </rPr>
          <t xml:space="preserve">CELG - JUL/2018
</t>
        </r>
      </text>
    </comment>
    <comment ref="L371" authorId="0" shapeId="0" xr:uid="{00000000-0006-0000-0000-0000DC000000}">
      <text>
        <r>
          <rPr>
            <b/>
            <sz val="9"/>
            <color rgb="FF000000"/>
            <rFont val="Tahoma"/>
            <family val="2"/>
            <charset val="1"/>
          </rPr>
          <t xml:space="preserve">
PRORROGAÇAO 22.128.000,00;
APORTE RESIDÊNCIA MÉDICA 164.882,73;
APORTE SERVIÇOS 29.660,56
</t>
        </r>
      </text>
    </comment>
    <comment ref="AD371" authorId="0" shapeId="0" xr:uid="{00000000-0006-0000-0000-000058060000}">
      <text>
        <r>
          <rPr>
            <b/>
            <sz val="9"/>
            <color rgb="FF000000"/>
            <rFont val="Tahoma"/>
            <family val="2"/>
            <charset val="1"/>
          </rPr>
          <t>CELG - AGO/18</t>
        </r>
      </text>
    </comment>
    <comment ref="L372" authorId="0" shapeId="0" xr:uid="{00000000-0006-0000-0000-0000DD000000}">
      <text>
        <r>
          <rPr>
            <b/>
            <sz val="9"/>
            <color rgb="FF000000"/>
            <rFont val="Tahoma"/>
            <family val="2"/>
            <charset val="1"/>
          </rPr>
          <t xml:space="preserve">
PRORROGAÇAO 22.128.000,00;
APORTE RESIDÊNCIA MÉDICA 164.882,73;
APORTE SERVIÇOS 29.660,56
</t>
        </r>
      </text>
    </comment>
    <comment ref="AD372" authorId="0" shapeId="0" xr:uid="{00000000-0006-0000-0000-000059060000}">
      <text>
        <r>
          <rPr>
            <b/>
            <sz val="9"/>
            <color rgb="FF000000"/>
            <rFont val="Tahoma"/>
            <family val="2"/>
            <charset val="1"/>
          </rPr>
          <t xml:space="preserve">CELG - SET/18
</t>
        </r>
      </text>
    </comment>
    <comment ref="L373" authorId="0" shapeId="0" xr:uid="{00000000-0006-0000-0000-0000DE000000}">
      <text>
        <r>
          <rPr>
            <b/>
            <sz val="9"/>
            <color rgb="FF000000"/>
            <rFont val="Tahoma"/>
            <family val="2"/>
            <charset val="1"/>
          </rPr>
          <t xml:space="preserve">
PRORROGAÇAO 22.128.000,00;
APORTE RESIDÊNCIA MÉDICA 164.882,73;
APORTE SERVIÇOS 29.660,56
</t>
        </r>
      </text>
    </comment>
    <comment ref="AD373" authorId="0" shapeId="0" xr:uid="{00000000-0006-0000-0000-00005A060000}">
      <text>
        <r>
          <rPr>
            <b/>
            <sz val="9"/>
            <color rgb="FF000000"/>
            <rFont val="Tahoma"/>
            <family val="2"/>
            <charset val="1"/>
          </rPr>
          <t xml:space="preserve">CELG-OUT/18
</t>
        </r>
      </text>
    </comment>
    <comment ref="AF373" authorId="0" shapeId="0" xr:uid="{00000000-0006-0000-0000-00000409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r>
      </text>
    </comment>
    <comment ref="L374" authorId="0" shapeId="0" xr:uid="{00000000-0006-0000-0000-0000DF000000}">
      <text>
        <r>
          <rPr>
            <b/>
            <sz val="9"/>
            <color rgb="FF000000"/>
            <rFont val="Tahoma"/>
            <family val="2"/>
            <charset val="1"/>
          </rPr>
          <t xml:space="preserve">
PRORROGAÇAO 22.128.000,00;
APORTE RESIDÊNCIA MÉDICA 164.882,73;
APORTE SERVIÇOS 29.660,56
</t>
        </r>
      </text>
    </comment>
    <comment ref="AD374" authorId="0" shapeId="0" xr:uid="{00000000-0006-0000-0000-00005B060000}">
      <text>
        <r>
          <rPr>
            <b/>
            <sz val="9"/>
            <color rgb="FF000000"/>
            <rFont val="Tahoma"/>
            <family val="2"/>
            <charset val="1"/>
          </rPr>
          <t xml:space="preserve">CELG-NOV/18
</t>
        </r>
      </text>
    </comment>
    <comment ref="AE374" authorId="0" shapeId="0" xr:uid="{00000000-0006-0000-0000-00006E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
</t>
        </r>
        <r>
          <rPr>
            <sz val="9"/>
            <color rgb="FF000000"/>
            <rFont val="Tahoma"/>
            <family val="2"/>
            <charset val="1"/>
          </rPr>
          <t xml:space="preserve">
</t>
        </r>
      </text>
    </comment>
    <comment ref="AF374" authorId="0" shapeId="0" xr:uid="{00000000-0006-0000-0000-000005090000}">
      <text>
        <r>
          <rPr>
            <b/>
            <sz val="9"/>
            <color rgb="FF000000"/>
            <rFont val="Tahoma"/>
            <family val="2"/>
            <charset val="1"/>
          </rPr>
          <t xml:space="preserve">Custeio não serão repassada a parcela de DEZ/2018 (R$ 5.661.353,20) devido compensação com os valores disponíveis em caixa da OS de acordo com negociação feita entre a AGIR e a SGPF (Lucas) conforme planilha de valores encaminhadas pela OS...........R$ 5.661,353,20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DEZ/18............16.378.382,07
</t>
        </r>
      </text>
    </comment>
    <comment ref="L375" authorId="0" shapeId="0" xr:uid="{00000000-0006-0000-0000-0000E0000000}">
      <text>
        <r>
          <rPr>
            <b/>
            <sz val="9"/>
            <color rgb="FF000000"/>
            <rFont val="Tahoma"/>
            <family val="2"/>
            <charset val="1"/>
          </rPr>
          <t xml:space="preserve">
PRORROGAÇAO 22.128.000,00;
APORTE RESIDÊNCIA MÉDICA 164.882,73;
APORTE SERVIÇOS 29.660,56
</t>
        </r>
      </text>
    </comment>
    <comment ref="AD375" authorId="0" shapeId="0" xr:uid="{00000000-0006-0000-0000-00005C060000}">
      <text>
        <r>
          <rPr>
            <b/>
            <sz val="9"/>
            <color rgb="FF000000"/>
            <rFont val="Tahoma"/>
            <family val="2"/>
            <charset val="1"/>
          </rPr>
          <t xml:space="preserve">ENEL ;
* R$ 58.475,39 Diferença (NOV/18) apurada referente a glosa efetuada a menor - mês DEZ/18;
* R$ 320.374,97 DEZ/18
</t>
        </r>
      </text>
    </comment>
    <comment ref="L376" authorId="0" shapeId="0" xr:uid="{00000000-0006-0000-0000-0000E1000000}">
      <text>
        <r>
          <rPr>
            <b/>
            <sz val="9"/>
            <color rgb="FF000000"/>
            <rFont val="Tahoma"/>
            <family val="2"/>
            <charset val="1"/>
          </rPr>
          <t xml:space="preserve">
PRORROGAÇAO 22.128.000,00;
APORTE RESIDÊNCIA MÉDICA 164.882,73;
APORTE SERVIÇOS 29.660,56
</t>
        </r>
      </text>
    </comment>
    <comment ref="L377" authorId="0" shapeId="0" xr:uid="{00000000-0006-0000-0000-0000E2000000}">
      <text>
        <r>
          <rPr>
            <b/>
            <sz val="9"/>
            <color rgb="FF000000"/>
            <rFont val="Tahoma"/>
            <family val="2"/>
            <charset val="1"/>
          </rPr>
          <t xml:space="preserve">
PRORROGAÇAO 22.128.000,00;
APORTE RESIDÊNCIA MÉDICA 164.882,73;
APORTE SERVIÇOS 29.660,56
</t>
        </r>
      </text>
    </comment>
    <comment ref="AD377" authorId="0" shapeId="0" xr:uid="{00000000-0006-0000-0000-00005D060000}">
      <text>
        <r>
          <rPr>
            <b/>
            <sz val="9"/>
            <color rgb="FF000000"/>
            <rFont val="Tahoma"/>
            <family val="2"/>
            <charset val="1"/>
          </rPr>
          <t xml:space="preserve">REFERÊNCIA JAN/19 - LANÇADO PLANILHA GEFIC EM FEV/19
</t>
        </r>
      </text>
    </comment>
    <comment ref="L378" authorId="0" shapeId="0" xr:uid="{00000000-0006-0000-0000-0000E3000000}">
      <text>
        <r>
          <rPr>
            <b/>
            <sz val="9"/>
            <color rgb="FF000000"/>
            <rFont val="Tahoma"/>
            <family val="2"/>
            <charset val="1"/>
          </rPr>
          <t xml:space="preserve">
PRORROGAÇAO 22.128.000,00;
APORTE RESIDÊNCIA MÉDICA 164.882,73;
APORTE SERVIÇOS 29.660,56
</t>
        </r>
      </text>
    </comment>
    <comment ref="AD378" authorId="0" shapeId="0" xr:uid="{00000000-0006-0000-0000-00005E060000}">
      <text>
        <r>
          <rPr>
            <b/>
            <sz val="9"/>
            <color rgb="FF000000"/>
            <rFont val="Tahoma"/>
            <family val="2"/>
            <charset val="1"/>
          </rPr>
          <t xml:space="preserve">REFERÊNCIA FEV/19 - LANÇADO PLANILHA GEFIC EM MAR19
</t>
        </r>
      </text>
    </comment>
    <comment ref="L379" authorId="0" shapeId="0" xr:uid="{00000000-0006-0000-0000-0000E4000000}">
      <text>
        <r>
          <rPr>
            <b/>
            <sz val="9"/>
            <color rgb="FF000000"/>
            <rFont val="Tahoma"/>
            <family val="2"/>
            <charset val="1"/>
          </rPr>
          <t xml:space="preserve">
PRORROGAÇAO 22.128.000,00;
APORTE RESIDÊNCIA MÉDICA 164.882,73;
APORTE SERVIÇOS 29.660,56
</t>
        </r>
      </text>
    </comment>
    <comment ref="AD379" authorId="0" shapeId="0" xr:uid="{00000000-0006-0000-0000-00005F060000}">
      <text>
        <r>
          <rPr>
            <b/>
            <sz val="9"/>
            <color rgb="FF000000"/>
            <rFont val="Tahoma"/>
            <family val="2"/>
            <charset val="1"/>
          </rPr>
          <t xml:space="preserve">REFERÊNCIA MAR/19 - LANÇADO PLANILHA GEFIC EM ABR/19
</t>
        </r>
      </text>
    </comment>
    <comment ref="L380" authorId="0" shapeId="0" xr:uid="{00000000-0006-0000-0000-0000E5000000}">
      <text>
        <r>
          <rPr>
            <b/>
            <sz val="9"/>
            <color rgb="FF000000"/>
            <rFont val="Tahoma"/>
            <family val="2"/>
            <charset val="1"/>
          </rPr>
          <t xml:space="preserve">
PRORROGAÇAO 22.128.000,00;
APORTE RESIDÊNCIA MÉDICA 164.882,73;
APORTE SERVIÇOS 29.660,56
</t>
        </r>
      </text>
    </comment>
    <comment ref="AD380" authorId="0" shapeId="0" xr:uid="{00000000-0006-0000-0000-000060060000}">
      <text>
        <r>
          <rPr>
            <b/>
            <sz val="9"/>
            <color rgb="FF000000"/>
            <rFont val="Tahoma"/>
            <family val="2"/>
            <charset val="1"/>
          </rPr>
          <t xml:space="preserve">REFERÊNCIA ABR/19 - LANÇADO PLANILHA GEFIC EM MAI/19
</t>
        </r>
      </text>
    </comment>
    <comment ref="L381" authorId="0" shapeId="0" xr:uid="{00000000-0006-0000-0000-0000E6000000}">
      <text>
        <r>
          <rPr>
            <b/>
            <sz val="9"/>
            <color rgb="FF000000"/>
            <rFont val="Tahoma"/>
            <family val="2"/>
            <charset val="1"/>
          </rPr>
          <t>ATÉ 14/07/19
PRORROGAÇAO 10.326.400,00
APORTE RESIDÊNCIA MÉDICA 76.945,27;
APORTE SERVIÇOS 13.841,59</t>
        </r>
      </text>
    </comment>
    <comment ref="O381" authorId="0" shapeId="0" xr:uid="{00000000-0006-0000-0000-000023010000}">
      <text>
        <r>
          <rPr>
            <b/>
            <sz val="9"/>
            <color rgb="FF000000"/>
            <rFont val="Tahoma"/>
            <family val="2"/>
            <charset val="1"/>
          </rPr>
          <t>A partir 15/07/19 a 14/07/2020</t>
        </r>
      </text>
    </comment>
    <comment ref="AD381" authorId="0" shapeId="0" xr:uid="{00000000-0006-0000-0000-000061060000}">
      <text>
        <r>
          <rPr>
            <b/>
            <sz val="9"/>
            <color rgb="FF000000"/>
            <rFont val="Tahoma"/>
            <family val="2"/>
            <charset val="1"/>
          </rPr>
          <t>REFERÊNCIA MAI/19 - LANÇADO PLANILHA GEFIC EM JUN/19</t>
        </r>
      </text>
    </comment>
    <comment ref="AD382" authorId="0" shapeId="0" xr:uid="{00000000-0006-0000-0000-000062060000}">
      <text>
        <r>
          <rPr>
            <sz val="11"/>
            <color rgb="FF000000"/>
            <rFont val="Calibri"/>
            <family val="2"/>
            <charset val="1"/>
          </rPr>
          <t xml:space="preserve">CELG REFERÊNCIA JUN/19 - LANÇADO PLANILHA PAGAMENTO GEFIC EM JUL/19
</t>
        </r>
      </text>
    </comment>
    <comment ref="AD383" authorId="0" shapeId="0" xr:uid="{00000000-0006-0000-0000-000063060000}">
      <text>
        <r>
          <rPr>
            <sz val="11"/>
            <color rgb="FF000000"/>
            <rFont val="Calibri"/>
            <family val="2"/>
            <charset val="1"/>
          </rPr>
          <t xml:space="preserve">R$ 255.871,82 CELG REFERÊNCIA JUL/19 - LANÇADO PLANILHA PAGAMENTO GEFIC EM AGO/19.
.
R$ 274.263,43 CELG REFERÊNCIA AGO/19 - LANÇADO PLANILHA PAGAMENTO GEFIC EM SET19.
</t>
        </r>
      </text>
    </comment>
    <comment ref="AD385" authorId="0" shapeId="0" xr:uid="{00000000-0006-0000-0000-000064060000}">
      <text>
        <r>
          <rPr>
            <sz val="11"/>
            <color rgb="FF000000"/>
            <rFont val="Calibri"/>
            <family val="2"/>
            <charset val="1"/>
          </rPr>
          <t xml:space="preserve"> CELG REFERÊNCIA SET/19 - LANÇADO PLANILHA PAGAMENTO GEFIC EM OUT19.
</t>
        </r>
      </text>
    </comment>
    <comment ref="AU385" authorId="0" shapeId="0" xr:uid="{00000000-0006-0000-0000-0000C2090000}">
      <text>
        <r>
          <rPr>
            <sz val="11"/>
            <color rgb="FF000000"/>
            <rFont val="Calibri"/>
            <family val="2"/>
            <charset val="1"/>
          </rPr>
          <t xml:space="preserve">PROC.201900010008644, Ressarcimento Rescisões Trabalhistas do HUGOL referente ao mês de janeiro de 2019.
</t>
        </r>
      </text>
    </comment>
    <comment ref="AD386" authorId="0" shapeId="0" xr:uid="{00000000-0006-0000-0000-000065060000}">
      <text>
        <r>
          <rPr>
            <b/>
            <sz val="9"/>
            <color rgb="FF000000"/>
            <rFont val="Tahoma"/>
            <family val="2"/>
            <charset val="1"/>
          </rPr>
          <t>R$ 316.316,15 -  CELG REFERÊNCIA OUT/19 - LANÇADO PLANILHA PAGAMENTO GEFIC EM NOV/19.
.
R$ 281.196,93 - PARTE ENERGIA - REFERÊNCIA NOV/19 - LANÇADO PLANILHA PAGAMENTO GEFIC EM DEZ/19</t>
        </r>
      </text>
    </comment>
    <comment ref="AD387" authorId="0" shapeId="0" xr:uid="{00000000-0006-0000-0000-000066060000}">
      <text>
        <r>
          <rPr>
            <sz val="11"/>
            <color rgb="FF000000"/>
            <rFont val="Calibri"/>
            <family val="2"/>
            <charset val="1"/>
          </rPr>
          <t xml:space="preserve">R$ 31.680,81 RESTANTE ENERGIA - REFERÊNCIA NOV/19 - LANÇADO PLANILHA PAGAMENTO GEFIC EM DEZ/19
.
R$ 299.531,57 ENERGIA - REFERÊNCIA DEZ/19 - LANÇADO PLANILHA PAGAMENTO GEFIC EM JAN/20
</t>
        </r>
      </text>
    </comment>
    <comment ref="AD388" authorId="0" shapeId="0" xr:uid="{00000000-0006-0000-0000-000067060000}">
      <text>
        <r>
          <rPr>
            <sz val="11"/>
            <color rgb="FF000000"/>
            <rFont val="Calibri"/>
            <family val="2"/>
            <charset val="1"/>
          </rPr>
          <t xml:space="preserve">ENERGIA - PARTE REFERÊNCIA JAN/20 - LANÇADO PLANILHA PAGAMENTO GEFIC EM FEV/20
</t>
        </r>
      </text>
    </comment>
    <comment ref="AU388" authorId="0" shapeId="0" xr:uid="{00000000-0006-0000-0000-0000C3090000}">
      <text>
        <r>
          <rPr>
            <sz val="11"/>
            <color rgb="FF000000"/>
            <rFont val="Calibri"/>
            <family val="2"/>
            <charset val="1"/>
          </rPr>
          <t xml:space="preserve">R$ 279.117,21 - RESSARCIMENTO DE VALORES DESPENDIDOS COM ENCARGOS DAS RESCISÕES TRABA- LHISTAS DO HOSPITAL ESTADUAL DE URGÊNCIAS DA REGIÃO NOROESTE DE GOIÂNIA GOVERNADOR OTÁVIO LAGE DE SIQUEIRA - HUGOL,  REFERENTES AO MÊS DE ABRIL DE 2019, PROCESSO SEI: 201900010022387.
</t>
        </r>
        <r>
          <rPr>
            <sz val="9"/>
            <color rgb="FF000000"/>
            <rFont val="Tahoma"/>
            <family val="2"/>
            <charset val="1"/>
          </rPr>
          <t>.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r>
      </text>
    </comment>
    <comment ref="AD389" authorId="0" shapeId="0" xr:uid="{00000000-0006-0000-0000-000068060000}">
      <text>
        <r>
          <rPr>
            <sz val="11"/>
            <color rgb="FF000000"/>
            <rFont val="Calibri"/>
            <family val="2"/>
            <charset val="1"/>
          </rPr>
          <t xml:space="preserve">ENERGIA - 
R$ 19.962,19 - RESTANTE REFERÊNCIA JAN/20 - LANÇADO PLANILHA PAGAMENTO GEFIC EM FEV/20
.
.R$ 295.922,57 -  REFERÊNCIA FEV/20 - LANÇADO PLANILHA PAGAMENTO GEFIC EM MAR/20
</t>
        </r>
      </text>
    </comment>
    <comment ref="AU389" authorId="0" shapeId="0" xr:uid="{00000000-0006-0000-0000-0000C4090000}">
      <text>
        <r>
          <rPr>
            <sz val="11"/>
            <color rgb="FF000000"/>
            <rFont val="Calibri"/>
            <family val="2"/>
            <charset val="1"/>
          </rPr>
          <t xml:space="preserve">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t>
        </r>
        <r>
          <rPr>
            <sz val="9"/>
            <color rgb="FF000000"/>
            <rFont val="Tahoma"/>
            <family val="2"/>
            <charset val="1"/>
          </rPr>
          <t>.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r>
      </text>
    </comment>
    <comment ref="AD390" authorId="0" shapeId="0" xr:uid="{00000000-0006-0000-0000-000069060000}">
      <text>
        <r>
          <rPr>
            <sz val="11"/>
            <color rgb="FF000000"/>
            <rFont val="Calibri"/>
            <family val="2"/>
            <charset val="1"/>
          </rPr>
          <t xml:space="preserve">REFERÊNCIA MAR/20 - LANÇADO PLANILHA PAGAMENTO GEFIC EM ABR/20
</t>
        </r>
        <r>
          <rPr>
            <sz val="9"/>
            <color rgb="FF000000"/>
            <rFont val="Tahoma"/>
            <family val="2"/>
            <charset val="1"/>
          </rPr>
          <t xml:space="preserve">
</t>
        </r>
      </text>
    </comment>
    <comment ref="AD391" authorId="0" shapeId="0" xr:uid="{00000000-0006-0000-0000-00006A060000}">
      <text>
        <r>
          <rPr>
            <sz val="11"/>
            <color rgb="FF000000"/>
            <rFont val="Calibri"/>
            <family val="2"/>
            <charset val="1"/>
          </rPr>
          <t xml:space="preserve">REFERÊNCIA ABR/20 - LANÇADO PLANILHA PAGAMENTO GEFIC EM MAI/20
</t>
        </r>
      </text>
    </comment>
    <comment ref="AD392" authorId="0" shapeId="0" xr:uid="{00000000-0006-0000-0000-00006B060000}">
      <text>
        <r>
          <rPr>
            <sz val="11"/>
            <color rgb="FF000000"/>
            <rFont val="Calibri"/>
            <family val="2"/>
            <charset val="1"/>
          </rPr>
          <t xml:space="preserve">ENERGIA - REFERÊNCIA MAI/20 - LANÇADO PLANILHA PAGAMENTO GEFIC EM JUN/20
</t>
        </r>
      </text>
    </comment>
    <comment ref="D393" authorId="0" shapeId="0" xr:uid="{00000000-0006-0000-0000-000003000000}">
      <text>
        <r>
          <rPr>
            <b/>
            <sz val="9"/>
            <color rgb="FF000000"/>
            <rFont val="Tahoma"/>
            <family val="2"/>
            <charset val="1"/>
          </rPr>
          <t>até 14/07/20</t>
        </r>
      </text>
    </comment>
    <comment ref="Q393" authorId="0" shapeId="0" xr:uid="{00000000-0006-0000-0000-0000AA010000}">
      <text>
        <r>
          <rPr>
            <sz val="9"/>
            <color rgb="FF000000"/>
            <rFont val="Segoe UI"/>
            <family val="2"/>
            <charset val="1"/>
          </rPr>
          <t>Vigência 15/07/2020 a 14/07/2021
CUSTEIO: 13.140.744,34
RES.MÉDICA: 87.767,67</t>
        </r>
      </text>
    </comment>
    <comment ref="AD393" authorId="0" shapeId="0" xr:uid="{00000000-0006-0000-0000-00006C060000}">
      <text>
        <r>
          <rPr>
            <sz val="11"/>
            <color rgb="FF000000"/>
            <rFont val="Calibri"/>
            <family val="2"/>
            <charset val="1"/>
          </rPr>
          <t xml:space="preserve">ENERGIA - REFERÊNCIA JUN/20 - LANÇADO PLANILHA PAGAMENTO GEFIC EM JUL/20
</t>
        </r>
      </text>
    </comment>
    <comment ref="AW393" authorId="0" shapeId="0" xr:uid="{00000000-0006-0000-0000-0000200A0000}">
      <text>
        <r>
          <rPr>
            <sz val="11"/>
            <color rgb="FF000000"/>
            <rFont val="Calibri"/>
            <family val="2"/>
            <charset val="1"/>
          </rPr>
          <t xml:space="preserve">PROC.201900010049118 -ITEM 3 Implantação do Cloud HUGOL 
</t>
        </r>
      </text>
    </comment>
    <comment ref="Q394" authorId="0" shapeId="0" xr:uid="{00000000-0006-0000-0000-0000AB010000}">
      <text>
        <r>
          <rPr>
            <sz val="9"/>
            <color rgb="FF000000"/>
            <rFont val="Segoe UI"/>
            <family val="2"/>
            <charset val="1"/>
          </rPr>
          <t>Vigência 15/07/2020 a 14/07/2021
CUSTEIO: 24.638.895,63
RES.MÉDICA: 164.564,39</t>
        </r>
      </text>
    </comment>
    <comment ref="AD394" authorId="0" shapeId="0" xr:uid="{00000000-0006-0000-0000-00006D060000}">
      <text>
        <r>
          <rPr>
            <sz val="11"/>
            <color rgb="FF000000"/>
            <rFont val="Calibri"/>
            <family val="2"/>
            <charset val="1"/>
          </rPr>
          <t xml:space="preserve">ENERGIA - REFERÊNCIA JUL/20 - LANÇADO PLANILHA PAGAMENTO GEFIC EM AGO/20
</t>
        </r>
      </text>
    </comment>
    <comment ref="AU394" authorId="0" shapeId="0" xr:uid="{00000000-0006-0000-0000-0000C5090000}">
      <text>
        <r>
          <rPr>
            <sz val="11"/>
            <color rgb="FF000000"/>
            <rFont val="Calibri"/>
            <family val="2"/>
            <charset val="1"/>
          </rPr>
          <t xml:space="preserve">PROC.201900010006985 - Rescisões Trabalhistas - HUGOL - meses janeiro a dezembro de 2018. 
</t>
        </r>
      </text>
    </comment>
    <comment ref="Q395" authorId="0" shapeId="0" xr:uid="{00000000-0006-0000-0000-0000AC010000}">
      <text>
        <r>
          <rPr>
            <sz val="9"/>
            <color rgb="FF000000"/>
            <rFont val="Segoe UI"/>
            <family val="2"/>
            <charset val="1"/>
          </rPr>
          <t>Vigência 15/07/2020 a 14/07/2021
CUSTEIO: 24.638.895,63
RES.MÉDICA: 164.564,39</t>
        </r>
      </text>
    </comment>
    <comment ref="AD395" authorId="0" shapeId="0" xr:uid="{00000000-0006-0000-0000-00006E060000}">
      <text>
        <r>
          <rPr>
            <sz val="11"/>
            <color rgb="FF000000"/>
            <rFont val="Calibri"/>
            <family val="2"/>
            <charset val="1"/>
          </rPr>
          <t xml:space="preserve">R$ 280.000,00 - PARTE DA ENERGIA - REFERÊNCIA AGO/20 - LANÇADO PLANILHA PAGAMENTO GEFIC EM SET/20 TOTAL R$ 309.792,94
</t>
        </r>
      </text>
    </comment>
    <comment ref="Q396" authorId="0" shapeId="0" xr:uid="{00000000-0006-0000-0000-0000AD010000}">
      <text>
        <r>
          <rPr>
            <sz val="9"/>
            <color rgb="FF000000"/>
            <rFont val="Segoe UI"/>
            <family val="2"/>
            <charset val="1"/>
          </rPr>
          <t>Vigência 15/07/2020 a 14/07/2021
CUSTEIO: 24.638.895,63
RES.MÉDICA: 164.564,39</t>
        </r>
      </text>
    </comment>
    <comment ref="AD396" authorId="0" shapeId="0" xr:uid="{00000000-0006-0000-0000-00006F060000}">
      <text>
        <r>
          <rPr>
            <sz val="11"/>
            <color rgb="FF000000"/>
            <rFont val="Calibri"/>
            <family val="2"/>
            <charset val="1"/>
          </rPr>
          <t xml:space="preserve">R$ 29.792,94 - RESTANTE DA ENERGIA - REFERÊNCIA AGO/20 - LANÇADO PLANILHA PAGAMENTO GEFIC EM SET/20 TOTAL R$ 309.792,94
</t>
        </r>
        <r>
          <rPr>
            <sz val="9"/>
            <color rgb="FF000000"/>
            <rFont val="Segoe UI"/>
            <family val="2"/>
            <charset val="1"/>
          </rPr>
          <t>. 
R$ 310.000,00  - ESTIMADO ENERIA SET/20</t>
        </r>
      </text>
    </comment>
    <comment ref="Q397" authorId="0" shapeId="0" xr:uid="{00000000-0006-0000-0000-0000AE010000}">
      <text>
        <r>
          <rPr>
            <sz val="9"/>
            <color rgb="FF000000"/>
            <rFont val="Segoe UI"/>
            <family val="2"/>
            <charset val="1"/>
          </rPr>
          <t>Vigência 15/07/2020 a 14/07/2021
CUSTEIO: 24.638.895,63
RES.MÉDICA: 164.564,39</t>
        </r>
      </text>
    </comment>
    <comment ref="AD397" authorId="0" shapeId="0" xr:uid="{00000000-0006-0000-0000-000070060000}">
      <text>
        <r>
          <rPr>
            <sz val="11"/>
            <color rgb="FF000000"/>
            <rFont val="Calibri"/>
            <family val="2"/>
            <charset val="1"/>
          </rPr>
          <t xml:space="preserve">RESTANTE - R$ 10.393,84 -ENERGIA - REFERÊNCIA SET/20 - LANÇADO PLANILHA PAGAMENTO GEFIC EM OUT/20.
.
PARTE - R$ 330.000,00 -ENERGIA - REFERÊNCIA OUT/20 - LANÇADO PLANILHA PAGAMENTO GEFIC EM NOV/20 (VALOR INFORMADO PELA GAOS 374.314,18) A DIFERENÇA FOI LANÇADA NO MÊS DE JAN/21.
</t>
        </r>
      </text>
    </comment>
    <comment ref="Q398" authorId="0" shapeId="0" xr:uid="{00000000-0006-0000-0000-0000AF010000}">
      <text>
        <r>
          <rPr>
            <sz val="9"/>
            <color rgb="FF000000"/>
            <rFont val="Segoe UI"/>
            <family val="2"/>
            <charset val="1"/>
          </rPr>
          <t>Vigência 15/07/2020 a 14/07/2021
CUSTEIO: 24.638.895,63
RES.MÉDICA: 164.564,39</t>
        </r>
      </text>
    </comment>
    <comment ref="AD398" authorId="0" shapeId="0" xr:uid="{00000000-0006-0000-0000-000071060000}">
      <text>
        <r>
          <rPr>
            <sz val="11"/>
            <color rgb="FF000000"/>
            <rFont val="Calibri"/>
            <family val="2"/>
            <charset val="1"/>
          </rPr>
          <t xml:space="preserve">ENERGIA - REFERÊNCIA NOV/20 - LANÇADO PLANILHA PAGAMENTO GEFIC EM DEZ/20
</t>
        </r>
        <r>
          <rPr>
            <sz val="9"/>
            <color rgb="FF000000"/>
            <rFont val="Segoe UI"/>
            <family val="2"/>
            <charset val="1"/>
          </rPr>
          <t>PARTE DO VALOR R$ 330.000,00 (VALOR INFORMADO R$ 356.343,37)
.
O RESTANTE FOI LANÇADO NA PARCELA DE JANEIRO/21</t>
        </r>
      </text>
    </comment>
    <comment ref="Q399" authorId="0" shapeId="0" xr:uid="{00000000-0006-0000-0000-0000B0010000}">
      <text>
        <r>
          <rPr>
            <sz val="9"/>
            <color rgb="FF000000"/>
            <rFont val="Segoe UI"/>
            <family val="2"/>
            <charset val="1"/>
          </rPr>
          <t>Vigência 15/07/2020 a 14/07/2021
CUSTEIO: 24.638.895,63
RES.MÉDICA: 164.564,39</t>
        </r>
      </text>
    </comment>
    <comment ref="AD399" authorId="0" shapeId="0" xr:uid="{00000000-0006-0000-0000-000072060000}">
      <text>
        <r>
          <rPr>
            <sz val="11"/>
            <color rgb="FF000000"/>
            <rFont val="Calibri"/>
            <family val="2"/>
            <charset val="1"/>
          </rPr>
          <t xml:space="preserve">ENERGIA - LANÇADO PLANILHA PAGAMENTO GEFIC EM DEZ/20
.
NOV/20..........................RESTANTE R$ 26.343,37
DEZ/20..........................R$ 353.839,24
.
RESTANTE - R$ 44.314,18 -ENERGIA - REFERÊNCIA OUT/20 - LANÇADO PLANILHA PAGAMENTO GEFIC EM NOV/20 (VALOR INFORMADO PELA GAOS 374.314,18).
</t>
        </r>
        <r>
          <rPr>
            <sz val="9"/>
            <color rgb="FF000000"/>
            <rFont val="Segoe UI"/>
            <family val="2"/>
            <charset val="1"/>
          </rPr>
          <t xml:space="preserve">
</t>
        </r>
      </text>
    </comment>
    <comment ref="AE399" authorId="0" shapeId="0" xr:uid="{00000000-0006-0000-0000-00006F080000}">
      <text>
        <r>
          <rPr>
            <sz val="11"/>
            <color rgb="FF000000"/>
            <rFont val="Calibri"/>
            <family val="2"/>
            <charset val="1"/>
          </rPr>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
</t>
        </r>
      </text>
    </comment>
    <comment ref="Q400" authorId="0" shapeId="0" xr:uid="{00000000-0006-0000-0000-0000B1010000}">
      <text>
        <r>
          <rPr>
            <sz val="9"/>
            <color rgb="FF000000"/>
            <rFont val="Segoe UI"/>
            <family val="2"/>
            <charset val="1"/>
          </rPr>
          <t>Vigência 15/07/2020 a 14/07/2021
CUSTEIO: 24.638.895,63
RES.MÉDICA: 164.564,39</t>
        </r>
      </text>
    </comment>
    <comment ref="AD400" authorId="0" shapeId="0" xr:uid="{00000000-0006-0000-0000-000073060000}">
      <text>
        <r>
          <rPr>
            <sz val="11"/>
            <color rgb="FF000000"/>
            <rFont val="Calibri"/>
            <family val="2"/>
            <charset val="1"/>
          </rPr>
          <t xml:space="preserve">CELG JAN/21 LANÇADO NA PLANILHA DE FEV/21
</t>
        </r>
      </text>
    </comment>
    <comment ref="Q401" authorId="0" shapeId="0" xr:uid="{00000000-0006-0000-0000-0000B2010000}">
      <text>
        <r>
          <rPr>
            <sz val="9"/>
            <color rgb="FF000000"/>
            <rFont val="Segoe UI"/>
            <family val="2"/>
            <charset val="1"/>
          </rPr>
          <t>Vigência 15/07/2020 a 14/07/2021
CUSTEIO: 24.638.895,63
RES.MÉDICA: 164.564,39</t>
        </r>
      </text>
    </comment>
    <comment ref="AD401" authorId="0" shapeId="0" xr:uid="{00000000-0006-0000-0000-000074060000}">
      <text>
        <r>
          <rPr>
            <sz val="11"/>
            <color rgb="FF000000"/>
            <rFont val="Calibri"/>
            <family val="2"/>
            <charset val="1"/>
          </rPr>
          <t xml:space="preserve">CELG FEV/21 LANÇADO NA PLANILHA DE MAR/21
</t>
        </r>
      </text>
    </comment>
    <comment ref="AW401" authorId="0" shapeId="0" xr:uid="{00000000-0006-0000-0000-0000210A0000}">
      <text>
        <r>
          <rPr>
            <sz val="11"/>
            <color rgb="FF000000"/>
            <rFont val="Calibri"/>
            <family val="2"/>
            <charset val="1"/>
          </rPr>
          <t xml:space="preserve">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t>
        </r>
        <r>
          <rPr>
            <sz val="9"/>
            <color rgb="FF000000"/>
            <rFont val="Segoe UI"/>
            <family val="2"/>
            <charset val="1"/>
          </rPr>
          <t>.
DESPACHO Nº 505/2020 - GAOS- 14421</t>
        </r>
      </text>
    </comment>
    <comment ref="Q402" authorId="0" shapeId="0" xr:uid="{00000000-0006-0000-0000-0000B3010000}">
      <text>
        <r>
          <rPr>
            <sz val="9"/>
            <color rgb="FF000000"/>
            <rFont val="Segoe UI"/>
            <family val="2"/>
            <charset val="1"/>
          </rPr>
          <t>Vigência 15/07/2020 a 14/07/2021
CUSTEIO: 24.638.895,63
RES.MÉDICA: 164.564,39</t>
        </r>
      </text>
    </comment>
    <comment ref="AD402" authorId="0" shapeId="0" xr:uid="{00000000-0006-0000-0000-000075060000}">
      <text>
        <r>
          <rPr>
            <sz val="11"/>
            <color rgb="FF000000"/>
            <rFont val="Calibri"/>
            <family val="2"/>
            <charset val="1"/>
          </rPr>
          <t xml:space="preserve">CELG MAR/21 LANÇADO NA PLANILHA DE ABR/21
</t>
        </r>
      </text>
    </comment>
    <comment ref="Q403" authorId="0" shapeId="0" xr:uid="{00000000-0006-0000-0000-0000B4010000}">
      <text>
        <r>
          <rPr>
            <sz val="9"/>
            <color rgb="FF000000"/>
            <rFont val="Segoe UI"/>
            <family val="2"/>
            <charset val="1"/>
          </rPr>
          <t>Vigência 15/07/2020 a 14/07/2021
CUSTEIO: 24.638.895,63
RES.MÉDICA: 164.564,39</t>
        </r>
      </text>
    </comment>
    <comment ref="AD403" authorId="0" shapeId="0" xr:uid="{00000000-0006-0000-0000-000076060000}">
      <text>
        <r>
          <rPr>
            <sz val="11"/>
            <color rgb="FF000000"/>
            <rFont val="Calibri"/>
            <family val="2"/>
            <charset val="1"/>
          </rPr>
          <t xml:space="preserve">CELG ABR/21 LANÇADO NA PLANILHA DE MAI/21
</t>
        </r>
      </text>
    </comment>
    <comment ref="AE403" authorId="0" shapeId="0" xr:uid="{00000000-0006-0000-0000-000070080000}">
      <text>
        <r>
          <rPr>
            <sz val="11"/>
            <color rgb="FF000000"/>
            <rFont val="Calibri"/>
            <family val="2"/>
            <charset val="1"/>
          </rPr>
          <t xml:space="preserve">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3" authorId="0" shapeId="0" xr:uid="{00000000-0006-0000-0000-0000220A0000}">
      <text>
        <r>
          <rPr>
            <sz val="11"/>
            <color rgb="FF000000"/>
            <rFont val="Calibri"/>
            <family val="2"/>
            <charset val="1"/>
          </rPr>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r>
      </text>
    </comment>
    <comment ref="Q404" authorId="0" shapeId="0" xr:uid="{00000000-0006-0000-0000-0000B5010000}">
      <text>
        <r>
          <rPr>
            <sz val="9"/>
            <color rgb="FF000000"/>
            <rFont val="Segoe UI"/>
            <family val="2"/>
            <charset val="1"/>
          </rPr>
          <t>Vigência 15/07/2020 a 14/07/2021
CUSTEIO: 24.638.895,63
RES.MÉDICA: 164.564,39</t>
        </r>
      </text>
    </comment>
    <comment ref="AD404" authorId="0" shapeId="0" xr:uid="{00000000-0006-0000-0000-000077060000}">
      <text>
        <r>
          <rPr>
            <sz val="11"/>
            <color rgb="FF000000"/>
            <rFont val="Calibri"/>
            <family val="2"/>
            <charset val="1"/>
          </rPr>
          <t xml:space="preserve">CELG MA/21 LANÇADO NA PLANILHA DE JUN/21
</t>
        </r>
      </text>
    </comment>
    <comment ref="AE404" authorId="0" shapeId="0" xr:uid="{00000000-0006-0000-0000-000071080000}">
      <text>
        <r>
          <rPr>
            <sz val="11"/>
            <color rgb="FF000000"/>
            <rFont val="Calibri"/>
            <family val="2"/>
            <charset val="1"/>
          </rPr>
          <t xml:space="preserve">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4" authorId="0" shapeId="0" xr:uid="{00000000-0006-0000-0000-0000230A0000}">
      <text>
        <r>
          <rPr>
            <sz val="11"/>
            <color rgb="FF000000"/>
            <rFont val="Calibri"/>
            <family val="2"/>
            <charset val="1"/>
          </rPr>
          <t xml:space="preserve">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t>
        </r>
        <r>
          <rPr>
            <sz val="9"/>
            <color rgb="FF000000"/>
            <rFont val="Segoe UI"/>
            <family val="2"/>
            <charset val="1"/>
          </rPr>
          <t>.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r>
      </text>
    </comment>
    <comment ref="Q405" authorId="0" shapeId="0" xr:uid="{00000000-0006-0000-0000-0000B6010000}">
      <text>
        <r>
          <rPr>
            <sz val="9"/>
            <color rgb="FF000000"/>
            <rFont val="Segoe UI"/>
            <family val="2"/>
            <charset val="1"/>
          </rPr>
          <t>Vigência 15/07/2020 a 14/07/2021
CUSTEIO: 11.498.151,29
RES.MÉDICA: 76.796,72</t>
        </r>
      </text>
    </comment>
    <comment ref="AD405" authorId="0" shapeId="0" xr:uid="{00000000-0006-0000-0000-000078060000}">
      <text>
        <r>
          <rPr>
            <sz val="11"/>
            <color rgb="FF000000"/>
            <rFont val="Calibri"/>
            <family val="2"/>
            <charset val="1"/>
          </rPr>
          <t xml:space="preserve">CELG JUN/21 LANÇADO NA PLANILHA DE JUL/21
</t>
        </r>
      </text>
    </comment>
    <comment ref="AE405" authorId="0" shapeId="0" xr:uid="{00000000-0006-0000-0000-000072080000}">
      <text>
        <r>
          <rPr>
            <sz val="11"/>
            <color rgb="FF000000"/>
            <rFont val="Calibri"/>
            <family val="2"/>
            <charset val="1"/>
          </rPr>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X405" authorId="0" shapeId="0" xr:uid="{00000000-0006-0000-0000-0000920A0000}">
      <text>
        <r>
          <rPr>
            <sz val="11"/>
            <color rgb="FF000000"/>
            <rFont val="Calibri"/>
            <family val="2"/>
            <charset val="1"/>
          </rPr>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r>
      </text>
    </comment>
    <comment ref="AX406" authorId="0" shapeId="0" xr:uid="{00000000-0006-0000-0000-0000930A0000}">
      <text>
        <r>
          <rPr>
            <b/>
            <sz val="9"/>
            <color rgb="FF000000"/>
            <rFont val="Tahoma"/>
            <family val="2"/>
            <charset val="1"/>
          </rPr>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r>
      </text>
    </comment>
    <comment ref="AX407" authorId="0" shapeId="0" xr:uid="{00000000-0006-0000-0000-0000940A0000}">
      <text>
        <r>
          <rPr>
            <sz val="11"/>
            <color rgb="FF000000"/>
            <rFont val="Calibri"/>
            <family val="2"/>
            <charset val="1"/>
          </rPr>
          <t xml:space="preserve">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
</t>
        </r>
      </text>
    </comment>
    <comment ref="E410" authorId="0" shapeId="0" xr:uid="{00000000-0006-0000-0000-00001C000000}">
      <text>
        <r>
          <rPr>
            <sz val="9"/>
            <color rgb="FF000000"/>
            <rFont val="Tahoma"/>
            <family val="2"/>
            <charset val="1"/>
          </rPr>
          <t xml:space="preserve">VIGÊNCIA A PARTIR DE 27/11/18 (180 DIAS)
</t>
        </r>
      </text>
    </comment>
    <comment ref="AV410" authorId="0" shapeId="0" xr:uid="{00000000-0006-0000-0000-0000010A0000}">
      <text>
        <r>
          <rPr>
            <sz val="11"/>
            <color rgb="FF000000"/>
            <rFont val="Calibri"/>
            <family val="2"/>
            <charset val="1"/>
          </rPr>
          <t xml:space="preserve">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 EMPENHO REFERENTE A FOLHA SALARIAL E DEMAIS ENCARGOS TRABALHISTAS REFERENTES À 26 DIAS DO MÊS DE NOVEMBRO, EM COMPRIMENTO AÇÃO CIVIL PÚBLICA, AJUIZADA PELO MINISTÉRIO PÚBLICO DO TRABALHO, ACP 0012080-35.2017.5.18.0014, COM DETERMINAÇÃO JUDICIAL EXPEDIDA, CONFORME OFÍCIO OCD N.º 36/2018¿PROT . . VALOR DO EMPENHO: ........R$ 4.182.504,00
</t>
        </r>
      </text>
    </comment>
    <comment ref="E411" authorId="0" shapeId="0" xr:uid="{00000000-0006-0000-0000-00001D000000}">
      <text>
        <r>
          <rPr>
            <b/>
            <sz val="9"/>
            <color rgb="FF000000"/>
            <rFont val="Tahoma"/>
            <family val="2"/>
            <charset val="1"/>
          </rPr>
          <t xml:space="preserve">R$ 15.764.492,39 REPASSE MENSAL + R$ 203.880,01 PROGRAMA RES.MÈDICA + R$ 4.760.840,76 ESTIMATIVA DE FOLHA
</t>
        </r>
      </text>
    </comment>
    <comment ref="AA411" authorId="0" shapeId="0" xr:uid="{00000000-0006-0000-0000-00006B030000}">
      <text>
        <r>
          <rPr>
            <b/>
            <sz val="9"/>
            <color rgb="FF000000"/>
            <rFont val="Tahoma"/>
            <family val="2"/>
            <charset val="1"/>
          </rPr>
          <t xml:space="preserve">RESTANTE FOLHA NOV/18 (4 DIAS)
</t>
        </r>
      </text>
    </comment>
    <comment ref="AC411" authorId="0" shapeId="0" xr:uid="{00000000-0006-0000-0000-0000ED040000}">
      <text>
        <r>
          <rPr>
            <b/>
            <sz val="9"/>
            <color rgb="FF000000"/>
            <rFont val="Tahoma"/>
            <family val="2"/>
            <charset val="1"/>
          </rPr>
          <t>RESTANTE SERVIÇOS CONTRATO/SES  NOV/18 (4 DIAS)</t>
        </r>
      </text>
    </comment>
    <comment ref="AD411" authorId="0" shapeId="0" xr:uid="{00000000-0006-0000-0000-000079060000}">
      <text>
        <r>
          <rPr>
            <sz val="9"/>
            <color rgb="FF000000"/>
            <rFont val="Tahoma"/>
            <family val="2"/>
            <charset val="1"/>
          </rPr>
          <t xml:space="preserve">RESTANTE CELG NOV/18 (4 DIAS)
</t>
        </r>
      </text>
    </comment>
    <comment ref="AE411" authorId="0" shapeId="0" xr:uid="{00000000-0006-0000-0000-000073080000}">
      <text>
        <r>
          <rPr>
            <sz val="11"/>
            <color rgb="FF000000"/>
            <rFont val="Calibri"/>
            <family val="2"/>
            <charset val="1"/>
          </rPr>
          <t xml:space="preserve">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r>
          <rPr>
            <sz val="9"/>
            <color rgb="FF000000"/>
            <rFont val="Tahoma"/>
            <family val="2"/>
            <charset val="1"/>
          </rPr>
          <t>.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
R$1.761.851,97 - Processo nº 201900010047644 - efetivação do Ajuste financeiro, extemporaneamente, o Instituto HAVER apresentou resposta, via Representante Legal, sem nenhuma ordem técnica sobre a questão, o que não impactará no resultado apresentado pela Organização Social entre o período de  25 de agosto a 30 de novembro de 2019,  conforme Memorando nº: 507/2020 (000013251429), da Superintendência de Performance, o qual informa que retifica o Memorando nº 405/2020 - SUPER (v. 000012773409), pelos motivos expostos no documentos e na Errata do Relatório COMACG nº 012/2020 - COMACG/GAOS/SUPER/SES/GO (v. 000013003237).</t>
        </r>
      </text>
    </comment>
    <comment ref="AF411" authorId="0" shapeId="0" xr:uid="{00000000-0006-0000-0000-000006090000}">
      <text>
        <r>
          <rPr>
            <b/>
            <sz val="9"/>
            <color rgb="FF000000"/>
            <rFont val="Tahoma"/>
            <family val="2"/>
            <charset val="1"/>
          </rPr>
          <t xml:space="preserve">Custeio não serão repassada a parcela de DEZ/2018 (R$ 4.732.741,25) referente a glosa de pessoal  folha dez/18 conforme orientação da  SGPF (Lucas) para evitar que no final do contrato de gestão seja necessário efetuar duas glosas de folha para ajustar ao pactuado.
Processo nº 202000010021840, DESPACHO Nº 2522/2020 - SGI- 03079, determinou retorno do saldo para ser repassado a OS.
</t>
        </r>
      </text>
    </comment>
    <comment ref="E412" authorId="0" shapeId="0" xr:uid="{00000000-0006-0000-0000-00001E000000}">
      <text>
        <r>
          <rPr>
            <b/>
            <sz val="9"/>
            <color rgb="FF000000"/>
            <rFont val="Tahoma"/>
            <family val="2"/>
            <charset val="1"/>
          </rPr>
          <t xml:space="preserve">R$ 15.764.492,39 REPASSE MENSAL + R$ 203.880,01 PROGRAMA RES.MÈDICA + R$ 4.760.840,76 ESTIMATIVA DE FOLHA
</t>
        </r>
      </text>
    </comment>
    <comment ref="AD412" authorId="0" shapeId="0" xr:uid="{00000000-0006-0000-0000-00007A060000}">
      <text>
        <r>
          <rPr>
            <b/>
            <sz val="9"/>
            <color rgb="FF000000"/>
            <rFont val="Tahoma"/>
            <family val="2"/>
            <charset val="1"/>
          </rPr>
          <t xml:space="preserve">ENEL - 
* R$ 2.991,82 Diferença (4 dias) apurada referente a glosa efetuada a menor - no mês de dezembro;
* R$ 131.865,24 DEZ/18.
</t>
        </r>
      </text>
    </comment>
    <comment ref="AN412" authorId="0" shapeId="0" xr:uid="{00000000-0006-0000-0000-000046090000}">
      <text>
        <r>
          <rPr>
            <sz val="9"/>
            <color rgb="FF000000"/>
            <rFont val="Tahoma"/>
            <family val="2"/>
            <charset val="1"/>
          </rPr>
          <t xml:space="preserve">Diferença apurada referente a flosa de telefonia efetuada a maior - mês de dezembro/18, lançada na planilha de JAN de 2019, lançada na planilha de JAN de 2019
</t>
        </r>
      </text>
    </comment>
    <comment ref="E413" authorId="0" shapeId="0" xr:uid="{00000000-0006-0000-0000-00001F000000}">
      <text>
        <r>
          <rPr>
            <b/>
            <sz val="9"/>
            <color rgb="FF000000"/>
            <rFont val="Tahoma"/>
            <family val="2"/>
            <charset val="1"/>
          </rPr>
          <t xml:space="preserve">R$ 15.764.492,39 REPASSE MENSAL + R$ 203.880,01 PROGRAMA RES.MÈDICA + R$ 4.760.840,76 ESTIMATIVA DE FOLHA
</t>
        </r>
      </text>
    </comment>
    <comment ref="E414" authorId="0" shapeId="0" xr:uid="{00000000-0006-0000-0000-000020000000}">
      <text>
        <r>
          <rPr>
            <b/>
            <sz val="9"/>
            <color rgb="FF000000"/>
            <rFont val="Tahoma"/>
            <family val="2"/>
            <charset val="1"/>
          </rPr>
          <t xml:space="preserve">R$ 15.764.492,39 REPASSE MENSAL + R$ 203.880,01 PROGRAMA RES.MÈDICA + R$ 4.760.840,76 ESTIMATIVA DE FOLHA
</t>
        </r>
      </text>
    </comment>
    <comment ref="AA414" authorId="0" shapeId="0" xr:uid="{00000000-0006-0000-0000-00006C030000}">
      <text>
        <r>
          <rPr>
            <b/>
            <sz val="9"/>
            <color rgb="FF000000"/>
            <rFont val="Tahoma"/>
            <family val="2"/>
            <charset val="1"/>
          </rPr>
          <t xml:space="preserve">VALOR ESTIMADO PREVISTO CONTRATO GESTÃO. </t>
        </r>
      </text>
    </comment>
    <comment ref="AC414" authorId="0" shapeId="0" xr:uid="{00000000-0006-0000-0000-0000EE040000}">
      <text>
        <r>
          <rPr>
            <b/>
            <sz val="9"/>
            <color rgb="FF000000"/>
            <rFont val="Tahoma"/>
            <family val="2"/>
            <charset val="1"/>
          </rPr>
          <t xml:space="preserve">TELEFONIA FIXA -REFERÊNCIA FEV/19 - LANÇADO PLANILHA GEFIC EM FEV/19
</t>
        </r>
      </text>
    </comment>
    <comment ref="AD414" authorId="0" shapeId="0" xr:uid="{00000000-0006-0000-0000-00007B060000}">
      <text>
        <r>
          <rPr>
            <b/>
            <sz val="9"/>
            <color rgb="FF000000"/>
            <rFont val="Tahoma"/>
            <family val="2"/>
            <charset val="1"/>
          </rPr>
          <t xml:space="preserve">REFERÊNCIA JAN/19 - LANÇADO PLANILHA GEFIC EM FEV/19
</t>
        </r>
      </text>
    </comment>
    <comment ref="E415" authorId="0" shapeId="0" xr:uid="{00000000-0006-0000-0000-000021000000}">
      <text>
        <r>
          <rPr>
            <b/>
            <sz val="9"/>
            <color rgb="FF000000"/>
            <rFont val="Tahoma"/>
            <family val="2"/>
            <charset val="1"/>
          </rPr>
          <t xml:space="preserve">R$ 15.764.492,39 REPASSE MENSAL + R$ 203.880,01 PROGRAMA RES.MÈDICA + R$ 4.760.840,76 ESTIMATIVA DE FOLHA
</t>
        </r>
      </text>
    </comment>
    <comment ref="AA415" authorId="0" shapeId="0" xr:uid="{00000000-0006-0000-0000-00006D030000}">
      <text>
        <r>
          <rPr>
            <b/>
            <sz val="9"/>
            <color rgb="FF000000"/>
            <rFont val="Tahoma"/>
            <family val="2"/>
            <charset val="1"/>
          </rPr>
          <t xml:space="preserve">VALOR ESTIMADO PREVISTO CONTRATO GESTÃO. </t>
        </r>
      </text>
    </comment>
    <comment ref="AB415" authorId="0" shapeId="0" xr:uid="{00000000-0006-0000-0000-000096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C415" authorId="0" shapeId="0" xr:uid="{00000000-0006-0000-0000-0000EF040000}">
      <text>
        <r>
          <rPr>
            <b/>
            <sz val="9"/>
            <color rgb="FF000000"/>
            <rFont val="Tahoma"/>
            <family val="2"/>
            <charset val="1"/>
          </rPr>
          <t xml:space="preserve">TELEFONIA FIXA -REFERÊNCIA MAR/19 - LANÇADO PLANILHA GEFIC EM MAR/19
</t>
        </r>
      </text>
    </comment>
    <comment ref="AD415" authorId="0" shapeId="0" xr:uid="{00000000-0006-0000-0000-00007C060000}">
      <text>
        <r>
          <rPr>
            <b/>
            <sz val="9"/>
            <color rgb="FF000000"/>
            <rFont val="Tahoma"/>
            <family val="2"/>
            <charset val="1"/>
          </rPr>
          <t xml:space="preserve">REFERÊNCIA FEV/19 - LANÇADO PLANILHA GEFIC EM MAR19
</t>
        </r>
      </text>
    </comment>
    <comment ref="E416" authorId="0" shapeId="0" xr:uid="{00000000-0006-0000-0000-000022000000}">
      <text>
        <r>
          <rPr>
            <sz val="9"/>
            <color rgb="FF000000"/>
            <rFont val="Tahoma"/>
            <family val="2"/>
            <charset val="1"/>
          </rPr>
          <t xml:space="preserve">Até 26/05/19
</t>
        </r>
      </text>
    </comment>
    <comment ref="F416" authorId="0" shapeId="0" xr:uid="{00000000-0006-0000-0000-00004F000000}">
      <text>
        <r>
          <rPr>
            <sz val="11"/>
            <color rgb="FF000000"/>
            <rFont val="Calibri"/>
            <family val="2"/>
            <charset val="1"/>
          </rPr>
          <t xml:space="preserve">A PARTIR 27/05/19
CUSTEIO: 1.549.635,82
FOLHA: 634.296,24
RES.MÉDICA^: 27.184,00
</t>
        </r>
        <r>
          <rPr>
            <sz val="9"/>
            <color rgb="FF000000"/>
            <rFont val="Tahoma"/>
            <family val="2"/>
            <charset val="1"/>
          </rPr>
          <t xml:space="preserve">
</t>
        </r>
      </text>
    </comment>
    <comment ref="AA416" authorId="0" shapeId="0" xr:uid="{00000000-0006-0000-0000-00006E030000}">
      <text>
        <r>
          <rPr>
            <b/>
            <sz val="9"/>
            <color rgb="FF000000"/>
            <rFont val="Tahoma"/>
            <family val="2"/>
            <charset val="1"/>
          </rPr>
          <t xml:space="preserve">VALOR ESTIMADO PREVISTO CONTRATO GESTÃO. </t>
        </r>
      </text>
    </comment>
    <comment ref="AB416" authorId="0" shapeId="0" xr:uid="{00000000-0006-0000-0000-000097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416" authorId="0" shapeId="0" xr:uid="{00000000-0006-0000-0000-0000F0040000}">
      <text>
        <r>
          <rPr>
            <b/>
            <sz val="9"/>
            <color rgb="FF000000"/>
            <rFont val="Tahoma"/>
            <family val="2"/>
            <charset val="1"/>
          </rPr>
          <t xml:space="preserve">TELEFONIA FIXA -REFERÊNCIA ABR/19 - LANÇADO PLANILHA GEFIC EM ABR/19............................R$ 9.246,49
.
TELEFONIA FIXA -REFERÊNCIA MAI/19 - LANÇADO PLANILHA GEFIC EM MAI/19.........................R$ 8.039,11
</t>
        </r>
      </text>
    </comment>
    <comment ref="AD416" authorId="0" shapeId="0" xr:uid="{00000000-0006-0000-0000-00007D060000}">
      <text>
        <r>
          <rPr>
            <b/>
            <sz val="9"/>
            <color rgb="FF000000"/>
            <rFont val="Tahoma"/>
            <family val="2"/>
            <charset val="1"/>
          </rPr>
          <t xml:space="preserve">REFERÊNCIA MAR/19 - LANÇADO PLANILHA GEFIC EM ABR/19........................R$ 132.743,82
.
REFERÊNCIA ABR/19 - LANÇADO PLANILHA GEFIC EM MAI/19.......................R$ 130.297,41
</t>
        </r>
      </text>
    </comment>
    <comment ref="F417" authorId="0" shapeId="0" xr:uid="{00000000-0006-0000-0000-000050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7" authorId="0" shapeId="0" xr:uid="{00000000-0006-0000-0000-00006F030000}">
      <text>
        <r>
          <rPr>
            <sz val="11"/>
            <color rgb="FF000000"/>
            <rFont val="Calibri"/>
            <family val="2"/>
            <charset val="1"/>
          </rPr>
          <t xml:space="preserve">VALOR ESTIMADO PREVISTO CONTRATO GESTÃO. 
</t>
        </r>
      </text>
    </comment>
    <comment ref="F418" authorId="0" shapeId="0" xr:uid="{00000000-0006-0000-0000-000051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8" authorId="0" shapeId="0" xr:uid="{00000000-0006-0000-0000-000070030000}">
      <text>
        <r>
          <rPr>
            <sz val="11"/>
            <color rgb="FF000000"/>
            <rFont val="Calibri"/>
            <family val="2"/>
            <charset val="1"/>
          </rPr>
          <t xml:space="preserve">VALOR ESTIMADO PREVISTO CONTRATO GESTÃO. 
</t>
        </r>
      </text>
    </comment>
    <comment ref="AC418" authorId="0" shapeId="0" xr:uid="{00000000-0006-0000-0000-0000F1040000}">
      <text>
        <r>
          <rPr>
            <b/>
            <sz val="9"/>
            <color rgb="FF000000"/>
            <rFont val="Tahoma"/>
            <family val="2"/>
            <charset val="1"/>
          </rPr>
          <t>- TELEFONIA JUN / 19...........R$ 9.423,26
- TELEFONIA MAI / 19............R$ 1.236,79</t>
        </r>
      </text>
    </comment>
    <comment ref="AD418" authorId="0" shapeId="0" xr:uid="{00000000-0006-0000-0000-00007E060000}">
      <text>
        <r>
          <rPr>
            <b/>
            <sz val="9"/>
            <color rgb="FF000000"/>
            <rFont val="Tahoma"/>
            <family val="2"/>
            <charset val="1"/>
          </rPr>
          <t>CELG REFERÊNCIA MAI/19 - LANÇADO PLANILHA PAGAMENTO GEFIC EM JUN/19</t>
        </r>
      </text>
    </comment>
    <comment ref="F419" authorId="0" shapeId="0" xr:uid="{00000000-0006-0000-0000-000052000000}">
      <text>
        <r>
          <rPr>
            <sz val="11"/>
            <color rgb="FF000000"/>
            <rFont val="Calibri"/>
            <family val="2"/>
            <charset val="1"/>
          </rPr>
          <t xml:space="preserve">ATÉ 24/08/19
.
CUSTEIO: 14.196.104,43
RESIDENCIA MÉDICA: 176.702,80
</t>
        </r>
        <r>
          <rPr>
            <sz val="9"/>
            <color rgb="FF000000"/>
            <rFont val="Tahoma"/>
            <family val="2"/>
            <charset val="1"/>
          </rPr>
          <t xml:space="preserve">
</t>
        </r>
      </text>
    </comment>
    <comment ref="AA419" authorId="0" shapeId="0" xr:uid="{00000000-0006-0000-0000-000071030000}">
      <text>
        <r>
          <rPr>
            <sz val="9"/>
            <color rgb="FF000000"/>
            <rFont val="Tahoma"/>
            <family val="2"/>
            <charset val="1"/>
          </rPr>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r>
      </text>
    </comment>
    <comment ref="AB419" authorId="0" shapeId="0" xr:uid="{00000000-0006-0000-0000-000098040000}">
      <text>
        <r>
          <rPr>
            <sz val="11"/>
            <color rgb="FF000000"/>
            <rFont val="Calibri"/>
            <family val="2"/>
            <charset val="1"/>
          </rPr>
          <t xml:space="preserve">R$ 26.635,80 DIFERENÇA GLOSA DE FOLHA JUN/19 LANÇADA NA PLANILHA DE PREVISÃO DE PAGAMENTO JUL/19 DA GEFIC (O PAGAMENTO PASSOU A SER REALIZADO DENTRO DO MÊS DE REFERÊNCIA POR ISSO FOI LANÇADA GLOSA ESTIMADA PREVISTA NO CONTRATO DE GESTÃO)
</t>
        </r>
      </text>
    </comment>
    <comment ref="AC419" authorId="0" shapeId="0" xr:uid="{00000000-0006-0000-0000-0000F2040000}">
      <text>
        <r>
          <rPr>
            <sz val="11"/>
            <color rgb="FF000000"/>
            <rFont val="Calibri"/>
            <family val="2"/>
            <charset val="1"/>
          </rPr>
          <t xml:space="preserve">R$ 9.393,15 TELEFONIA FIXA -REFERÊNCIA JUL/19 - LANÇADO PLANILHA GEFIC EM JUL/19
</t>
        </r>
        <r>
          <rPr>
            <sz val="9"/>
            <color rgb="FF000000"/>
            <rFont val="Tahoma"/>
            <family val="2"/>
            <charset val="1"/>
          </rPr>
          <t>.
R$ 7.372,00 TELEFONIA FIXA -REFERÊNCIA AGO/19  (24 DIAS)- LANÇADO PLANILHA GEFIC EM AGO/19</t>
        </r>
      </text>
    </comment>
    <comment ref="AD419" authorId="0" shapeId="0" xr:uid="{00000000-0006-0000-0000-00007F060000}">
      <text>
        <r>
          <rPr>
            <sz val="11"/>
            <color rgb="FF000000"/>
            <rFont val="Calibri"/>
            <family val="2"/>
            <charset val="1"/>
          </rPr>
          <t xml:space="preserve">R$ 119.255,65 REFERÊNCIA JUN/19 - LANÇADO PLANILHA PAGAMENTO GEFIC EM JUL/19
</t>
        </r>
        <r>
          <rPr>
            <sz val="9"/>
            <color rgb="FF000000"/>
            <rFont val="Tahoma"/>
            <family val="2"/>
            <charset val="1"/>
          </rPr>
          <t>.
R$ 113.553,98 REFERÊNCIA JUL/19 (24 DIAS) - LANÇADO PLANILHA PAGAMENTO GEFIC EM  AGO/19</t>
        </r>
      </text>
    </comment>
    <comment ref="AE419" authorId="0" shapeId="0" xr:uid="{00000000-0006-0000-0000-000074080000}">
      <text>
        <r>
          <rPr>
            <sz val="11"/>
            <color rgb="FF000000"/>
            <rFont val="Calibri"/>
            <family val="2"/>
            <charset val="1"/>
          </rPr>
          <t xml:space="preserve">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text>
    </comment>
    <comment ref="G420" authorId="0" shapeId="0" xr:uid="{00000000-0006-0000-0000-000082000000}">
      <text>
        <r>
          <rPr>
            <sz val="11"/>
            <color rgb="FF000000"/>
            <rFont val="Calibri"/>
            <family val="2"/>
            <charset val="1"/>
          </rPr>
          <t xml:space="preserve">A partir de 25/08 a 30/09/19
</t>
        </r>
      </text>
    </comment>
    <comment ref="AC420" authorId="0" shapeId="0" xr:uid="{00000000-0006-0000-0000-0000F3040000}">
      <text>
        <r>
          <rPr>
            <sz val="11"/>
            <color rgb="FF000000"/>
            <rFont val="Calibri"/>
            <family val="2"/>
            <charset val="1"/>
          </rPr>
          <t xml:space="preserve">R$ 1.843,00 TELEFONIA FIXA -REFERÊNCIA AGO/19  (6 DIAS)- LANÇADO PLANILHA GEFIC EM SET/19.
.
R$ 9.203,65 TELEFONIA FIXA -REFERÊNCIA SET/19  - LANÇADO PLANILHA GEFIC EM SET/19.
</t>
        </r>
      </text>
    </comment>
    <comment ref="AD420" authorId="0" shapeId="0" xr:uid="{00000000-0006-0000-0000-000080060000}">
      <text>
        <r>
          <rPr>
            <sz val="11"/>
            <color rgb="FF000000"/>
            <rFont val="Calibri"/>
            <family val="2"/>
            <charset val="1"/>
          </rPr>
          <t xml:space="preserve">R$ 113.592,06 REFERÊNCIA AGO/19  - LANÇADO PLANILHA PAGAMENTO GEFIC EM  SET/19
</t>
        </r>
      </text>
    </comment>
    <comment ref="H421" authorId="0" shapeId="0" xr:uid="{00000000-0006-0000-0000-0000B9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21" authorId="0" shapeId="0" xr:uid="{00000000-0006-0000-0000-000072030000}">
      <text>
        <r>
          <rPr>
            <sz val="11"/>
            <color rgb="FF000000"/>
            <rFont val="Calibri"/>
            <family val="2"/>
            <charset val="1"/>
          </rPr>
          <t xml:space="preserve">VALOR ESTIMADO PREVISTO CONTRATO GESTÃO. 
</t>
        </r>
      </text>
    </comment>
    <comment ref="AC421" authorId="0" shapeId="0" xr:uid="{00000000-0006-0000-0000-0000F4040000}">
      <text>
        <r>
          <rPr>
            <b/>
            <sz val="9"/>
            <color rgb="FF000000"/>
            <rFont val="Tahoma"/>
            <family val="2"/>
            <charset val="1"/>
          </rPr>
          <t>R$ 9.008,72 TELEFONIA FIXA -REFERÊNCIA OUT/19  - LANÇADO PLANILHA GEFIC EM OUT/19</t>
        </r>
      </text>
    </comment>
    <comment ref="AD421" authorId="0" shapeId="0" xr:uid="{00000000-0006-0000-0000-000081060000}">
      <text>
        <r>
          <rPr>
            <sz val="11"/>
            <color rgb="FF000000"/>
            <rFont val="Calibri"/>
            <family val="2"/>
            <charset val="1"/>
          </rPr>
          <t xml:space="preserve">R$ 142.028,82 REFERÊNCIA SET/19  - LANÇADO PLANILHA PAGAMENTO GEFIC EM  OUT/19
</t>
        </r>
        <r>
          <rPr>
            <sz val="9"/>
            <color rgb="FF000000"/>
            <rFont val="Tahoma"/>
            <family val="2"/>
            <charset val="1"/>
          </rPr>
          <t xml:space="preserve">
</t>
        </r>
      </text>
    </comment>
    <comment ref="AE421" authorId="0" shapeId="0" xr:uid="{00000000-0006-0000-0000-000075080000}">
      <text>
        <r>
          <rPr>
            <sz val="11"/>
            <color rgb="FF000000"/>
            <rFont val="Calibri"/>
            <family val="2"/>
            <charset val="1"/>
          </rPr>
          <t xml:space="preserve">R$ 587 parcela 1/2 -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t>
        </r>
        <r>
          <rPr>
            <sz val="9"/>
            <color rgb="FF000000"/>
            <rFont val="Tahoma"/>
            <family val="2"/>
            <charset val="1"/>
          </rPr>
          <t>.
R$ 726.573,85  Parte do Ajuste financeiro, a menor, no valor de R$ 766.713,41 (setecentos e sessenta e seis mil e setecentos e treze reais e quarenta e um centavos) pelo não cumprimento de metas,do período de 27 de maio a 24 de agosto de 2019,  conforme Relatório de Execução nº 28/2019 COMFIC e Parecer COMFIC nº 17/2019, Processo nº 201900010031951.</t>
        </r>
      </text>
    </comment>
    <comment ref="H422" authorId="0" shapeId="0" xr:uid="{00000000-0006-0000-0000-0000BA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22" authorId="0" shapeId="0" xr:uid="{00000000-0006-0000-0000-000073030000}">
      <text>
        <r>
          <rPr>
            <sz val="11"/>
            <color rgb="FF000000"/>
            <rFont val="Calibri"/>
            <family val="2"/>
            <charset val="1"/>
          </rPr>
          <t xml:space="preserve">VALOR ESTIMADO PREVISTO CONTRATO GESTÃO. 
</t>
        </r>
      </text>
    </comment>
    <comment ref="AC422" authorId="0" shapeId="0" xr:uid="{00000000-0006-0000-0000-0000F5040000}">
      <text>
        <r>
          <rPr>
            <sz val="11"/>
            <color rgb="FF000000"/>
            <rFont val="Calibri"/>
            <family val="2"/>
            <charset val="1"/>
          </rPr>
          <t xml:space="preserve">R$ 9.007,39 TELEFONIA FIXA -REFERÊNCIA NOV/19  - LANÇADO PLANILHA GEFIC EM NOV/19
</t>
        </r>
      </text>
    </comment>
    <comment ref="AD422" authorId="0" shapeId="0" xr:uid="{00000000-0006-0000-0000-000082060000}">
      <text>
        <r>
          <rPr>
            <sz val="11"/>
            <color rgb="FF000000"/>
            <rFont val="Calibri"/>
            <family val="2"/>
            <charset val="1"/>
          </rPr>
          <t xml:space="preserve">R$ 154.106,54 REFERÊNCIA OUT/19  - LANÇADO PLANILHA PAGAMENTO GEFIC EM  NOV/19
</t>
        </r>
        <r>
          <rPr>
            <sz val="9"/>
            <color rgb="FF000000"/>
            <rFont val="Tahoma"/>
            <family val="2"/>
            <charset val="1"/>
          </rPr>
          <t>.
R$ 139.508,48 REFERÊNCIA NOV/19  - LANÇADO PLANILHA PAGAMENTO GEFIC ( RESERVADO PARA AJUSTE FINAL CONTRATO)</t>
        </r>
      </text>
    </comment>
    <comment ref="AE422" authorId="0" shapeId="0" xr:uid="{00000000-0006-0000-0000-000076080000}">
      <text>
        <r>
          <rPr>
            <b/>
            <sz val="9"/>
            <color rgb="FF000000"/>
            <rFont val="Tahoma"/>
            <family val="2"/>
            <charset val="1"/>
          </rPr>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r>
      </text>
    </comment>
    <comment ref="AF422" authorId="0" shapeId="0" xr:uid="{00000000-0006-0000-0000-000007090000}">
      <text>
        <r>
          <rPr>
            <sz val="11"/>
            <color rgb="FF000000"/>
            <rFont val="Calibri"/>
            <family val="2"/>
            <charset val="1"/>
          </rPr>
          <t xml:space="preserve">PESPECTIVA DE GLOSA  PRODUÇÃO DE METAS  NO PERÍODO DE 25/AGO A NOV/19, APRESENTADA PELA GERENCIA/GAOS
</t>
        </r>
        <r>
          <rPr>
            <sz val="9"/>
            <color rgb="FF000000"/>
            <rFont val="Tahoma"/>
            <family val="2"/>
            <charset val="1"/>
          </rPr>
          <t>.
Processo nº 201900003012310 - Memorando nº: 407/2019 - GAOS- 14421 - O PARCEIRO PÚBLICO promoverá o desbloqueio do valor contingenciado relativo ao 4º ciclo (ênfase acrescida).
3. Ante o exposto na linha retromencionda, qualquer valor que tenha sido contingenciado para efeito de previsão de desconto financeiro deverá ser liberado.</t>
        </r>
      </text>
    </comment>
    <comment ref="AP422" authorId="0" shapeId="0" xr:uid="{00000000-0006-0000-0000-000081090000}">
      <text>
        <r>
          <rPr>
            <sz val="11"/>
            <color rgb="FF000000"/>
            <rFont val="Calibri"/>
            <family val="2"/>
            <charset val="1"/>
          </rPr>
          <t xml:space="preserve">R$ 2.648.069,43 - RESSARCIMENTO VALOR DO ESTOQUE QUE PERMANECER NO HOSPITAL (HUGO) APÓS O EXAURIMENTO DA VIGÊNCIA DO CONTRATO, APURADO EM 30/11/2019 PELA COMISSÃO DE TRANSIÇÃO, REF PROC 201900003012310.
</t>
        </r>
      </text>
    </comment>
    <comment ref="AU422" authorId="0" shapeId="0" xr:uid="{00000000-0006-0000-0000-0000C6090000}">
      <text>
        <r>
          <rPr>
            <sz val="11"/>
            <color rgb="FF000000"/>
            <rFont val="Calibri"/>
            <family val="2"/>
            <charset val="1"/>
          </rPr>
          <t xml:space="preserve">R$ 28.580.675,4 - 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t>
        </r>
        <r>
          <rPr>
            <sz val="9"/>
            <color rgb="FF000000"/>
            <rFont val="Tahoma"/>
            <family val="2"/>
            <charset val="1"/>
          </rPr>
          <t>.
R$ 104.010,00 - ressarcimento de valores despendidos com acordos judiciais efetivados no curso do Contrato de Gestão nº 106/2018 - SES/GO, relativos ao Hospital Estadual de Urgências de Goiânia Dr. Valdemiro Cruz (HUGO), PROC.201900010044586.
.
R$ 50.177,22 - RESSARCIMENTO DE VALORES DESPENDIDOS COM ENCARGOS DAS RESCISÕES TRABALHISTAS DO HOSPITAL ESTADUAL DE URGÊNCIAS DE GOIÂNIA DR. VALDEMIRO CRUZ (HUGO), REFERENTES A OUTUBRO E NOVEMBRO DE 2019, REFERENTE AO PROCESSO 202000010010849 ;
.
R$ 954.152,04 - RESSARCIMENTO DE VALORES DESPENDIDOS COM ENCARGOS DAS RESCISÕES TRABALHISTAS DO HOSPITAL ESTADUAL DE URGÊNCIAS DE GOIÂNIA DR. VALDEMIRO CRUZ (HUGO), REFERENTES AOS MESES DE DEZEMBRO DE 2018 A NOVEMBRO DE 2019, PROCESSO 201900010044974.</t>
        </r>
      </text>
    </comment>
    <comment ref="E424" authorId="0" shapeId="0" xr:uid="{00000000-0006-0000-0000-000023000000}">
      <text>
        <r>
          <rPr>
            <b/>
            <sz val="9"/>
            <color rgb="FF000000"/>
            <rFont val="Tahoma"/>
            <family val="2"/>
            <charset val="1"/>
          </rPr>
          <t>vigência 01/10/19 a 30/11/2023;
CUSTEIO: R$ 10.0477.803,59
ESTIMATIVA FOLHA: R$ 4.760.840,76</t>
        </r>
      </text>
    </comment>
    <comment ref="AA424" authorId="0" shapeId="0" xr:uid="{00000000-0006-0000-0000-000074030000}">
      <text>
        <r>
          <rPr>
            <sz val="11"/>
            <color rgb="FF000000"/>
            <rFont val="Calibri"/>
            <family val="2"/>
            <charset val="1"/>
          </rPr>
          <t xml:space="preserve">VALOR ESTIMADO PREVISTO CONTRATO GESTÃO. 
</t>
        </r>
      </text>
    </comment>
    <comment ref="AC424" authorId="0" shapeId="0" xr:uid="{00000000-0006-0000-0000-0000F6040000}">
      <text>
        <r>
          <rPr>
            <sz val="11"/>
            <color rgb="FF000000"/>
            <rFont val="Calibri"/>
            <family val="2"/>
            <charset val="1"/>
          </rPr>
          <t xml:space="preserve">R$ 8.589,79 TELEFONIA FIXA -REFERÊNCIA DEZ/19 - LANÇADO PLANILHA GEFIC EM DEZ/19
</t>
        </r>
      </text>
    </comment>
    <comment ref="AD424" authorId="0" shapeId="0" xr:uid="{00000000-0006-0000-0000-000083060000}">
      <text>
        <r>
          <rPr>
            <sz val="9"/>
            <color rgb="FF000000"/>
            <rFont val="Tahoma"/>
            <family val="2"/>
            <charset val="1"/>
          </rPr>
          <t xml:space="preserve">
</t>
        </r>
      </text>
    </comment>
    <comment ref="F425" authorId="0" shapeId="0" xr:uid="{00000000-0006-0000-0000-000053000000}">
      <text>
        <r>
          <rPr>
            <sz val="9"/>
            <color rgb="FF000000"/>
            <rFont val="Segoe UI"/>
            <family val="2"/>
            <charset val="1"/>
          </rPr>
          <t xml:space="preserve">R$ 62.496,00 - SERVIÇOS SADT EXTERNOS;
.
R$ 431.545,20 - VALOR INTEGRAL FOLHA SERVIDORES VINDO DO CELAU (FIDI).
</t>
        </r>
      </text>
    </comment>
    <comment ref="AA425" authorId="0" shapeId="0" xr:uid="{00000000-0006-0000-0000-000075030000}">
      <text>
        <r>
          <rPr>
            <sz val="11"/>
            <color rgb="FF000000"/>
            <rFont val="Calibri"/>
            <family val="2"/>
            <charset val="1"/>
          </rPr>
          <t xml:space="preserve">ESTIMATIVA DE FOLHA
</t>
        </r>
      </text>
    </comment>
    <comment ref="AC425" authorId="0" shapeId="0" xr:uid="{00000000-0006-0000-0000-0000F7040000}">
      <text>
        <r>
          <rPr>
            <sz val="11"/>
            <color rgb="FF000000"/>
            <rFont val="Calibri"/>
            <family val="2"/>
            <charset val="1"/>
          </rPr>
          <t xml:space="preserve">TELEFONIA FIXA -REFERÊNCIA JAN/20 - LANÇADO PLANILHA GEFIC EM JAN/20
</t>
        </r>
      </text>
    </comment>
    <comment ref="AD425" authorId="0" shapeId="0" xr:uid="{00000000-0006-0000-0000-000084060000}">
      <text>
        <r>
          <rPr>
            <b/>
            <sz val="9"/>
            <color rgb="FF000000"/>
            <rFont val="Tahoma"/>
            <family val="2"/>
            <charset val="1"/>
          </rPr>
          <t>ENERGIA - REFERÊNCIA DEZ/19 - LANÇADO PLANILHA PAGAMENTO GEFIC EM JAN/20</t>
        </r>
      </text>
    </comment>
    <comment ref="AF425" authorId="0" shapeId="0" xr:uid="{00000000-0006-0000-0000-000008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6" authorId="0" shapeId="0" xr:uid="{00000000-0006-0000-0000-000054000000}">
      <text>
        <r>
          <rPr>
            <sz val="9"/>
            <color rgb="FF000000"/>
            <rFont val="Segoe UI"/>
            <family val="2"/>
            <charset val="1"/>
          </rPr>
          <t xml:space="preserve">R$ 62.496,00 - SERVIÇOS SADT EXTERNOS;
.
R$ 431.545,20 - VALOR INTEGRAL FOLHA SERVIDORES VINDO DO CELAU (FIDI).
</t>
        </r>
      </text>
    </comment>
    <comment ref="AA426" authorId="0" shapeId="0" xr:uid="{00000000-0006-0000-0000-000076030000}">
      <text>
        <r>
          <rPr>
            <sz val="11"/>
            <color rgb="FF000000"/>
            <rFont val="Calibri"/>
            <family val="2"/>
            <charset val="1"/>
          </rPr>
          <t xml:space="preserve">VALOR ESTIMADO PREVISTO CONTRATO GESTÃO. 
</t>
        </r>
      </text>
    </comment>
    <comment ref="AD426" authorId="0" shapeId="0" xr:uid="{00000000-0006-0000-0000-000085060000}">
      <text>
        <r>
          <rPr>
            <sz val="11"/>
            <color rgb="FF000000"/>
            <rFont val="Calibri"/>
            <family val="2"/>
            <charset val="1"/>
          </rPr>
          <t xml:space="preserve">ESTIMATIVA JAN/20
</t>
        </r>
      </text>
    </comment>
    <comment ref="AF426" authorId="0" shapeId="0" xr:uid="{00000000-0006-0000-0000-000009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7" authorId="0" shapeId="0" xr:uid="{00000000-0006-0000-0000-000055000000}">
      <text>
        <r>
          <rPr>
            <sz val="9"/>
            <color rgb="FF000000"/>
            <rFont val="Segoe UI"/>
            <family val="2"/>
            <charset val="1"/>
          </rPr>
          <t xml:space="preserve">R$ 62.496,00 - SERVIÇOS SADT EXTERNOS;
.
R$ 431.545,20 - VALOR INTEGRAL FOLHA SERVIDORES VINDO DO CELAU (FIDI).
</t>
        </r>
      </text>
    </comment>
    <comment ref="AD427" authorId="0" shapeId="0" xr:uid="{00000000-0006-0000-0000-000086060000}">
      <text>
        <r>
          <rPr>
            <sz val="11"/>
            <color rgb="FF000000"/>
            <rFont val="Calibri"/>
            <family val="2"/>
            <charset val="1"/>
          </rPr>
          <t xml:space="preserve">ENERGIA - REFERÊNCIA FEV20 - LANÇADO PLANILHA PAGAMENTO GEFIC EM MAR/20
</t>
        </r>
      </text>
    </comment>
    <comment ref="AF427" authorId="0" shapeId="0" xr:uid="{00000000-0006-0000-0000-00000A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O427" authorId="0" shapeId="0" xr:uid="{00000000-0006-0000-0000-000063090000}">
      <text>
        <r>
          <rPr>
            <b/>
            <sz val="9"/>
            <color rgb="FF000000"/>
            <rFont val="Segoe UI"/>
            <family val="2"/>
            <charset val="1"/>
          </rPr>
          <t>R$1.473.631,09 -  DIFERENÇA GLOSA DE FOLHA JAN/20 LANÇADA NA PLANILHA DE PREVISÃO DE PAGAMENTO FEV/20 DA GEFIC (O PAGAMENTO PASSOU A SER REALIZADO DENTRO DO MÊS DE REFERÊNCIA POR ISSO FOI LANÇADA GLOSA ESTIMADA PREVISTA NO CONTRATO DE GESTÃO).
.
R$ 323.646,47 - DESCONTO INDEVIDO DE RH NOS MESES DE DEZ/19 A JAN/20 - MEMORANDO 2216/2020 COFP - LANÇADO NA PLANILHA DE PAGAMENTO/GAOS DE  MAR/20</t>
        </r>
      </text>
    </comment>
    <comment ref="F428" authorId="0" shapeId="0" xr:uid="{00000000-0006-0000-0000-000056000000}">
      <text>
        <r>
          <rPr>
            <sz val="9"/>
            <color rgb="FF000000"/>
            <rFont val="Segoe UI"/>
            <family val="2"/>
            <charset val="1"/>
          </rPr>
          <t xml:space="preserve">R$ 62.496,00 - SERVIÇOS SADT EXTERNOS;
.
R$ 431.545,20 - VALOR INTEGRAL FOLHA SERVIDORES VINDO DO CELAU (FIDI).
</t>
        </r>
      </text>
    </comment>
    <comment ref="AD428" authorId="0" shapeId="0" xr:uid="{00000000-0006-0000-0000-000087060000}">
      <text>
        <r>
          <rPr>
            <sz val="11"/>
            <color rgb="FF000000"/>
            <rFont val="Calibri"/>
            <family val="2"/>
            <charset val="1"/>
          </rPr>
          <t xml:space="preserve">ESTIMATIVA FEV/20
</t>
        </r>
      </text>
    </comment>
    <comment ref="AF428" authorId="0" shapeId="0" xr:uid="{00000000-0006-0000-0000-00000B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9" authorId="0" shapeId="0" xr:uid="{00000000-0006-0000-0000-000057000000}">
      <text>
        <r>
          <rPr>
            <sz val="9"/>
            <color rgb="FF000000"/>
            <rFont val="Segoe UI"/>
            <family val="2"/>
            <charset val="1"/>
          </rPr>
          <t xml:space="preserve">R$ 62.496,00 - SERVIÇOS SADT EXTERNOS;
.
R$ 431.545,20 - VALOR INTEGRAL FOLHA SERVIDORES VINDO DO CELAU (FIDI).
</t>
        </r>
      </text>
    </comment>
    <comment ref="AD429" authorId="0" shapeId="0" xr:uid="{00000000-0006-0000-0000-000088060000}">
      <text>
        <r>
          <rPr>
            <sz val="11"/>
            <color rgb="FF000000"/>
            <rFont val="Calibri"/>
            <family val="2"/>
            <charset val="1"/>
          </rPr>
          <t xml:space="preserve">ENERGIA - REFERÊNCIA ABR/20 - LANÇADO PLANILHA PAGAMENTO GEFIC EM MAI/20
</t>
        </r>
      </text>
    </comment>
    <comment ref="AF429" authorId="0" shapeId="0" xr:uid="{00000000-0006-0000-0000-00000C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30" authorId="0" shapeId="0" xr:uid="{00000000-0006-0000-0000-000058000000}">
      <text>
        <r>
          <rPr>
            <sz val="9"/>
            <color rgb="FF000000"/>
            <rFont val="Segoe UI"/>
            <family val="2"/>
            <charset val="1"/>
          </rPr>
          <t xml:space="preserve">R$ 62.496,00 - SERVIÇOS SADT EXTERNOS;
.
R$ 431.545,20 - VALOR INTEGRAL FOLHA SERVIDORES VINDO DO CELAU (FIDI).
</t>
        </r>
      </text>
    </comment>
    <comment ref="AA430" authorId="0" shapeId="0" xr:uid="{00000000-0006-0000-0000-000077030000}">
      <text>
        <r>
          <rPr>
            <sz val="11"/>
            <color rgb="FF000000"/>
            <rFont val="Calibri"/>
            <family val="2"/>
            <charset val="1"/>
          </rPr>
          <t xml:space="preserve">ESTIMATIVO
</t>
        </r>
      </text>
    </comment>
    <comment ref="AD430" authorId="0" shapeId="0" xr:uid="{00000000-0006-0000-0000-000089060000}">
      <text>
        <r>
          <rPr>
            <sz val="11"/>
            <color rgb="FF000000"/>
            <rFont val="Calibri"/>
            <family val="2"/>
            <charset val="1"/>
          </rPr>
          <t xml:space="preserve">ENERGIA - REFERÊNCIA MAI/20 - LANÇADO PLANILHA PAGAMENTO GEFIC EM JUN/20
</t>
        </r>
      </text>
    </comment>
    <comment ref="AF430" authorId="0" shapeId="0" xr:uid="{00000000-0006-0000-0000-00000D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W430" authorId="0" shapeId="0" xr:uid="{00000000-0006-0000-0000-0000240A0000}">
      <text>
        <r>
          <rPr>
            <sz val="11"/>
            <color rgb="FF000000"/>
            <rFont val="Calibri"/>
            <family val="2"/>
            <charset val="1"/>
          </rPr>
          <t xml:space="preserve">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t>
        </r>
        <r>
          <rPr>
            <sz val="9"/>
            <color rgb="FF000000"/>
            <rFont val="Segoe UI"/>
            <family val="2"/>
            <charset val="1"/>
          </rPr>
          <t>.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r>
      </text>
    </comment>
    <comment ref="F431" authorId="0" shapeId="0" xr:uid="{00000000-0006-0000-0000-000059000000}">
      <text>
        <r>
          <rPr>
            <sz val="9"/>
            <color rgb="FF000000"/>
            <rFont val="Segoe UI"/>
            <family val="2"/>
            <charset val="1"/>
          </rPr>
          <t xml:space="preserve">R$ 62.496,00 - SERVIÇOS SADT EXTERNOS;
.
R$ 431.545,20 - VALOR INTEGRAL FOLHA SERVIDORES VINDO DO CELAU (FIDI).
</t>
        </r>
      </text>
    </comment>
    <comment ref="AA431" authorId="0" shapeId="0" xr:uid="{00000000-0006-0000-0000-000078030000}">
      <text>
        <r>
          <rPr>
            <b/>
            <sz val="9"/>
            <color rgb="FF000000"/>
            <rFont val="Segoe UI"/>
            <family val="2"/>
            <charset val="1"/>
          </rPr>
          <t xml:space="preserve">FOLHA - REFERÊNCIA JUN/20 - LANÇADO PLANILHA PAGAMENTO GEFIC EM JUL/20.
</t>
        </r>
      </text>
    </comment>
    <comment ref="AC431" authorId="0" shapeId="0" xr:uid="{00000000-0006-0000-0000-0000F8040000}">
      <text>
        <r>
          <rPr>
            <sz val="11"/>
            <color rgb="FF000000"/>
            <rFont val="Calibri"/>
            <family val="2"/>
            <charset val="1"/>
          </rPr>
          <t xml:space="preserve">OI - REFERÊNCIA JUL/20 - LANÇADO PLANILHA PAGAMENTO GEFIC EM JUL/20
</t>
        </r>
      </text>
    </comment>
    <comment ref="AD431" authorId="0" shapeId="0" xr:uid="{00000000-0006-0000-0000-00008A060000}">
      <text>
        <r>
          <rPr>
            <sz val="11"/>
            <color rgb="FF000000"/>
            <rFont val="Calibri"/>
            <family val="2"/>
            <charset val="1"/>
          </rPr>
          <t xml:space="preserve">ENERGIA - REFERÊNCIA JUN/20 - LANÇADO PLANILHA PAGAMENTO GEFIC EM JUL/20
</t>
        </r>
      </text>
    </comment>
    <comment ref="AW431" authorId="0" shapeId="0" xr:uid="{00000000-0006-0000-0000-0000250A0000}">
      <text>
        <r>
          <rPr>
            <sz val="11"/>
            <color rgb="FF000000"/>
            <rFont val="Calibri"/>
            <family val="2"/>
            <charset val="1"/>
          </rPr>
          <t xml:space="preserve">PROC 201900010048615-INVESTIMENTO, ITENS 1 HSM (equipamento) e 2
Sistema de integração 
</t>
        </r>
      </text>
    </comment>
    <comment ref="F432" authorId="0" shapeId="0" xr:uid="{00000000-0006-0000-0000-00005A000000}">
      <text>
        <r>
          <rPr>
            <sz val="9"/>
            <color rgb="FF000000"/>
            <rFont val="Segoe UI"/>
            <family val="2"/>
            <charset val="1"/>
          </rPr>
          <t xml:space="preserve">R$ 62.496,00 - SERVIÇOS SADT EXTERNOS;
.
R$ 431.545,20 - VALOR INTEGRAL FOLHA SERVIDORES VINDO DO CELAU (FIDI).
</t>
        </r>
      </text>
    </comment>
    <comment ref="Z432" authorId="0" shapeId="0" xr:uid="{00000000-0006-0000-0000-000066020000}">
      <text>
        <r>
          <rPr>
            <b/>
            <sz val="9"/>
            <color rgb="FF000000"/>
            <rFont val="Segoe UI"/>
            <family val="2"/>
            <charset val="1"/>
          </rPr>
          <t xml:space="preserve">FOLHA - REFERÊNCIA JUL/20 - LANÇADO PLANILHA PAGAMENTO GEFIC EM AGO/20.
</t>
        </r>
      </text>
    </comment>
    <comment ref="AA432" authorId="0" shapeId="0" xr:uid="{00000000-0006-0000-0000-000079030000}">
      <text>
        <r>
          <rPr>
            <b/>
            <sz val="9"/>
            <color rgb="FF000000"/>
            <rFont val="Segoe UI"/>
            <family val="2"/>
            <charset val="1"/>
          </rPr>
          <t xml:space="preserve">FOLHA - REFERÊNCIA JUL/20 - LANÇADO PLANILHA PAGAMENTO GEFIC EM AGO/20.
</t>
        </r>
      </text>
    </comment>
    <comment ref="AC432" authorId="0" shapeId="0" xr:uid="{00000000-0006-0000-0000-0000F9040000}">
      <text>
        <r>
          <rPr>
            <sz val="11"/>
            <color rgb="FF000000"/>
            <rFont val="Calibri"/>
            <family val="2"/>
            <charset val="1"/>
          </rPr>
          <t xml:space="preserve">OI - REFERÊNCIA AGO/20 - LANÇADO PLANILHA PAGAMENTO GEFIC EM AGO/20
</t>
        </r>
      </text>
    </comment>
    <comment ref="AD432" authorId="0" shapeId="0" xr:uid="{00000000-0006-0000-0000-00008B060000}">
      <text>
        <r>
          <rPr>
            <sz val="11"/>
            <color rgb="FF000000"/>
            <rFont val="Calibri"/>
            <family val="2"/>
            <charset val="1"/>
          </rPr>
          <t xml:space="preserve">ENERGIA - REFERÊNCIA JUL/20 - LANÇADO PLANILHA PAGAMENTO GEFIC EM AGO/20
</t>
        </r>
      </text>
    </comment>
    <comment ref="AW432" authorId="0" shapeId="0" xr:uid="{00000000-0006-0000-0000-0000260A0000}">
      <text>
        <r>
          <rPr>
            <sz val="11"/>
            <color rgb="FF000000"/>
            <rFont val="Calibri"/>
            <family val="2"/>
            <charset val="1"/>
          </rPr>
          <t xml:space="preserve">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
</t>
        </r>
      </text>
    </comment>
    <comment ref="F433" authorId="0" shapeId="0" xr:uid="{00000000-0006-0000-0000-00005B000000}">
      <text>
        <r>
          <rPr>
            <sz val="9"/>
            <color rgb="FF000000"/>
            <rFont val="Segoe UI"/>
            <family val="2"/>
            <charset val="1"/>
          </rPr>
          <t xml:space="preserve">R$ 62.496,00 - SERVIÇOS SADT EXTERNOS;
.
R$ 431.545,20 - VALOR INTEGRAL FOLHA SERVIDORES VINDO DO CELAU (FIDI).
</t>
        </r>
      </text>
    </comment>
    <comment ref="Z433" authorId="0" shapeId="0" xr:uid="{00000000-0006-0000-0000-000067020000}">
      <text>
        <r>
          <rPr>
            <b/>
            <sz val="9"/>
            <color rgb="FF000000"/>
            <rFont val="Segoe UI"/>
            <family val="2"/>
            <charset val="1"/>
          </rPr>
          <t xml:space="preserve">FOLHA - REFERÊNCIA AGO/20 - LANÇADO PLANILHA PAGAMENTO GEFIC EM SET/20.
</t>
        </r>
      </text>
    </comment>
    <comment ref="AA433" authorId="0" shapeId="0" xr:uid="{00000000-0006-0000-0000-00007A030000}">
      <text>
        <r>
          <rPr>
            <b/>
            <sz val="9"/>
            <color rgb="FF000000"/>
            <rFont val="Segoe UI"/>
            <family val="2"/>
            <charset val="1"/>
          </rPr>
          <t xml:space="preserve">FOLHA - REFERÊNCIA AGO/20 - LANÇADO PLANILHA PAGAMENTO GEFIC EM SET/20.
</t>
        </r>
      </text>
    </comment>
    <comment ref="AC433" authorId="0" shapeId="0" xr:uid="{00000000-0006-0000-0000-0000FA040000}">
      <text>
        <r>
          <rPr>
            <sz val="11"/>
            <color rgb="FF000000"/>
            <rFont val="Calibri"/>
            <family val="2"/>
            <charset val="1"/>
          </rPr>
          <t xml:space="preserve">OI - REFERÊNCIA SET/20 - LANÇADO PLANILHA PAGAMENTO GEFIC EM SET/20
</t>
        </r>
      </text>
    </comment>
    <comment ref="AD433" authorId="0" shapeId="0" xr:uid="{00000000-0006-0000-0000-00008C060000}">
      <text>
        <r>
          <rPr>
            <sz val="11"/>
            <color rgb="FF000000"/>
            <rFont val="Calibri"/>
            <family val="2"/>
            <charset val="1"/>
          </rPr>
          <t xml:space="preserve">ENERGIA - REFERÊNCIA AGO/20 - LANÇADO PLANILHA PAGAMENTO GEFIC EM SET/20
</t>
        </r>
      </text>
    </comment>
    <comment ref="F434" authorId="0" shapeId="0" xr:uid="{00000000-0006-0000-0000-00005C000000}">
      <text>
        <r>
          <rPr>
            <sz val="9"/>
            <color rgb="FF000000"/>
            <rFont val="Segoe UI"/>
            <family val="2"/>
            <charset val="1"/>
          </rPr>
          <t xml:space="preserve">R$ 62.496,00 - SERVIÇOS SADT EXTERNOS;
.
R$ 431.545,20 - VALOR INTEGRAL FOLHA SERVIDORES VINDO DO CELAU (FIDI).
</t>
        </r>
      </text>
    </comment>
    <comment ref="Z434" authorId="0" shapeId="0" xr:uid="{00000000-0006-0000-0000-000068020000}">
      <text>
        <r>
          <rPr>
            <b/>
            <sz val="9"/>
            <color rgb="FF000000"/>
            <rFont val="Segoe UI"/>
            <family val="2"/>
            <charset val="1"/>
          </rPr>
          <t>R$ 3.209.420,94 FOLHA - REFERÊNCIA SET/20 - LANÇADO PLANILHA PAGAMENTO GEFIC EM OUT/20;
R$ 387.837,52 FOLHA - CELAU MAR/20 - LANÇADO PLANILHA PAGAMENTO GEFIC EM OUT/20;
R$ 403.503,30 FOLHA - CELAU ABR/20 - LANÇADO PLANILHA PAGAMENTO GEFIC EM OUT/20;
R$ 426.150,15 FOLHA - CELAU MAI/20 - LANÇADO PLANILHA PAGAMENTO GEFIC EM OUT/20;
R$ 440.272,18 FOLHA - CELAU JUN/20 - LANÇADO PLANILHA PAGAMENTO GEFIC EM OUT/20.</t>
        </r>
      </text>
    </comment>
    <comment ref="AC434" authorId="0" shapeId="0" xr:uid="{00000000-0006-0000-0000-0000FB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34" authorId="0" shapeId="0" xr:uid="{00000000-0006-0000-0000-00008D060000}">
      <text>
        <r>
          <rPr>
            <sz val="11"/>
            <color rgb="FF000000"/>
            <rFont val="Calibri"/>
            <family val="2"/>
            <charset val="1"/>
          </rPr>
          <t xml:space="preserve">ENERGIA - REFERÊNCIA SET/20 - LANÇADO PLANILHA PAGAMENTO GEFIC EM OUT/20
</t>
        </r>
      </text>
    </comment>
    <comment ref="AO434" authorId="0" shapeId="0" xr:uid="{00000000-0006-0000-0000-000064090000}">
      <text>
        <r>
          <rPr>
            <sz val="9"/>
            <color rgb="FF000000"/>
            <rFont val="Segoe UI"/>
            <family val="2"/>
            <charset val="1"/>
          </rPr>
          <t xml:space="preserve">RESTITUIÇÃO REFERENTE A SERVIDORES, REMOVIDOS, EXONERADOS, AFASTADOS POR LICENÇA PARA TRATAR DE ASSUNTOS PARTICULARES OU QUE FORAM A ÓBITO, LANÇADO NA PLANILHA DE PAGAMENTO - GAOS OUTUBRO/20
</t>
        </r>
      </text>
    </comment>
    <comment ref="AW434" authorId="0" shapeId="0" xr:uid="{00000000-0006-0000-0000-000027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PARA SER EMPENHADO NO CONTRATO DE GESTÃO REFERENTE AO PROCESSO 201900010048614
</t>
        </r>
      </text>
    </comment>
    <comment ref="F435" authorId="0" shapeId="0" xr:uid="{00000000-0006-0000-0000-00005D000000}">
      <text>
        <r>
          <rPr>
            <sz val="9"/>
            <color rgb="FF000000"/>
            <rFont val="Segoe UI"/>
            <family val="2"/>
            <charset val="1"/>
          </rPr>
          <t xml:space="preserve">R$ 62.496,00 - SERVIÇOS SADT EXTERNOS;
.
R$ 431.545,20 - VALOR INTEGRAL FOLHA SERVIDORES VINDO DO CELAU (FIDI).
</t>
        </r>
      </text>
    </comment>
    <comment ref="Z435" authorId="0" shapeId="0" xr:uid="{00000000-0006-0000-0000-000069020000}">
      <text>
        <r>
          <rPr>
            <b/>
            <sz val="9"/>
            <color rgb="FF000000"/>
            <rFont val="Segoe UI"/>
            <family val="2"/>
            <charset val="1"/>
          </rPr>
          <t xml:space="preserve">FOLHA - REFERÊNCIA OUT/20 - LANÇADO PLANILHA PAGAMENTO GEFIC EM NOV/20.
</t>
        </r>
      </text>
    </comment>
    <comment ref="AA435" authorId="0" shapeId="0" xr:uid="{00000000-0006-0000-0000-00007B030000}">
      <text>
        <r>
          <rPr>
            <b/>
            <sz val="9"/>
            <color rgb="FF000000"/>
            <rFont val="Segoe UI"/>
            <family val="2"/>
            <charset val="1"/>
          </rPr>
          <t xml:space="preserve">FOLHA - REFERÊNCIA OUT/20 - LANÇADO PLANILHA PAGAMENTO GEFIC EM NOV/20.
</t>
        </r>
      </text>
    </comment>
    <comment ref="AB435" authorId="0" shapeId="0" xr:uid="{00000000-0006-0000-0000-000099040000}">
      <text>
        <r>
          <rPr>
            <sz val="11"/>
            <color rgb="FF000000"/>
            <rFont val="Calibri"/>
            <family val="2"/>
            <charset val="1"/>
          </rPr>
          <t xml:space="preserve">DIFERENÇA FOLHA - REFERÊNCIA SET/20 - LANÇADO PLANILHA PAGAMENTO GEFIC EM OUT/20 e O EFETUADO NO MÊS OUT/20.
</t>
        </r>
      </text>
    </comment>
    <comment ref="AC435" authorId="0" shapeId="0" xr:uid="{00000000-0006-0000-0000-0000FC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35" authorId="0" shapeId="0" xr:uid="{00000000-0006-0000-0000-00008E060000}">
      <text>
        <r>
          <rPr>
            <sz val="11"/>
            <color rgb="FF000000"/>
            <rFont val="Calibri"/>
            <family val="2"/>
            <charset val="1"/>
          </rPr>
          <t xml:space="preserve">ENERGIA - REFERÊNCIA OUT/20 - LANÇADO PLANILHA PAGAMENTO GEFIC EM NOV/20
</t>
        </r>
      </text>
    </comment>
    <comment ref="AW435" authorId="0" shapeId="0" xr:uid="{00000000-0006-0000-0000-000028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
</t>
        </r>
      </text>
    </comment>
    <comment ref="F436" authorId="0" shapeId="0" xr:uid="{00000000-0006-0000-0000-00005E000000}">
      <text>
        <r>
          <rPr>
            <sz val="9"/>
            <color rgb="FF000000"/>
            <rFont val="Segoe UI"/>
            <family val="2"/>
            <charset val="1"/>
          </rPr>
          <t xml:space="preserve">R$ 62.496,00 - SERVIÇOS SADT EXTERNOS;
.
R$ 431.545,20 - VALOR INTEGRAL FOLHA SERVIDORES VINDO DO CELAU (FIDI).
</t>
        </r>
      </text>
    </comment>
    <comment ref="Z436" authorId="0" shapeId="0" xr:uid="{00000000-0006-0000-0000-00006A020000}">
      <text>
        <r>
          <rPr>
            <b/>
            <sz val="9"/>
            <color rgb="FF000000"/>
            <rFont val="Segoe UI"/>
            <family val="2"/>
            <charset val="1"/>
          </rPr>
          <t xml:space="preserve">FOLHA - REFERÊNCIA NOV/20 - LANÇADO PLANILHA PAGAMENTO GEFIC EM DEZ/20.
</t>
        </r>
      </text>
    </comment>
    <comment ref="AA436" authorId="0" shapeId="0" xr:uid="{00000000-0006-0000-0000-00007C030000}">
      <text>
        <r>
          <rPr>
            <b/>
            <sz val="9"/>
            <color rgb="FF000000"/>
            <rFont val="Segoe UI"/>
            <family val="2"/>
            <charset val="1"/>
          </rPr>
          <t xml:space="preserve">FOLHA - REFERÊNCIA NOV/20 - LANÇADO PLANILHA PAGAMENTO GEFIC EM DEZ/20.
</t>
        </r>
      </text>
    </comment>
    <comment ref="AC436" authorId="0" shapeId="0" xr:uid="{00000000-0006-0000-0000-0000FD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36" authorId="0" shapeId="0" xr:uid="{00000000-0006-0000-0000-00008F060000}">
      <text>
        <r>
          <rPr>
            <sz val="11"/>
            <color rgb="FF000000"/>
            <rFont val="Calibri"/>
            <family val="2"/>
            <charset val="1"/>
          </rPr>
          <t xml:space="preserve">ENERGIA - LANÇADO PLANILHA PAGAMENTO GEFIC EM DEZ/20
.
NOV/20.......................... R$ 124.350,78
DEZ/20..........................R$ 131.382,90
</t>
        </r>
        <r>
          <rPr>
            <sz val="9"/>
            <color rgb="FF000000"/>
            <rFont val="Segoe UI"/>
            <family val="2"/>
            <charset val="1"/>
          </rPr>
          <t xml:space="preserve">
</t>
        </r>
      </text>
    </comment>
    <comment ref="AW436" authorId="0" shapeId="0" xr:uid="{00000000-0006-0000-0000-0000290A0000}">
      <text>
        <r>
          <rPr>
            <sz val="11"/>
            <color rgb="FF000000"/>
            <rFont val="Calibri"/>
            <family val="2"/>
            <charset val="1"/>
          </rPr>
          <t xml:space="preserve">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
</t>
        </r>
      </text>
    </comment>
    <comment ref="F437" authorId="0" shapeId="0" xr:uid="{00000000-0006-0000-0000-00005F000000}">
      <text>
        <r>
          <rPr>
            <sz val="9"/>
            <color rgb="FF000000"/>
            <rFont val="Segoe UI"/>
            <family val="2"/>
            <charset val="1"/>
          </rPr>
          <t xml:space="preserve">R$ 62.496,00 - SERVIÇOS SADT EXTERNOS;
.
R$ 431.545,20 - VALOR INTEGRAL FOLHA SERVIDORES VINDO DO CELAU (FIDI).
</t>
        </r>
      </text>
    </comment>
    <comment ref="Z437" authorId="0" shapeId="0" xr:uid="{00000000-0006-0000-0000-00006B020000}">
      <text>
        <r>
          <rPr>
            <sz val="11"/>
            <color rgb="FF000000"/>
            <rFont val="Calibri"/>
            <family val="2"/>
            <charset val="1"/>
          </rPr>
          <t xml:space="preserve">FOLHA - REFERÊNCIA DEZ/20- LANÇADO PLANILHA PAGAMENTO GEFIC EM JAN/21.
</t>
        </r>
      </text>
    </comment>
    <comment ref="AA437" authorId="0" shapeId="0" xr:uid="{00000000-0006-0000-0000-00007D030000}">
      <text>
        <r>
          <rPr>
            <sz val="11"/>
            <color rgb="FF000000"/>
            <rFont val="Calibri"/>
            <family val="2"/>
            <charset val="1"/>
          </rPr>
          <t xml:space="preserve">FOLHA - REFERÊNCIA DEZ/20- LANÇADO PLANILHA PAGAMENTO GEFIC EM JAN/21.
</t>
        </r>
      </text>
    </comment>
    <comment ref="AC437" authorId="0" shapeId="0" xr:uid="{00000000-0006-0000-0000-0000FE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F438" authorId="0" shapeId="0" xr:uid="{00000000-0006-0000-0000-000060000000}">
      <text>
        <r>
          <rPr>
            <sz val="9"/>
            <color rgb="FF000000"/>
            <rFont val="Segoe UI"/>
            <family val="2"/>
            <charset val="1"/>
          </rPr>
          <t xml:space="preserve">R$ 62.496,00 - SERVIÇOS SADT EXTERNOS;
.
R$ 431.545,20 - VALOR INTEGRAL FOLHA SERVIDORES VINDO DO CELAU (FIDI).
</t>
        </r>
      </text>
    </comment>
    <comment ref="Z438" authorId="0" shapeId="0" xr:uid="{00000000-0006-0000-0000-00006C020000}">
      <text>
        <r>
          <rPr>
            <sz val="11"/>
            <color rgb="FF000000"/>
            <rFont val="Calibri"/>
            <family val="2"/>
            <charset val="1"/>
          </rPr>
          <t xml:space="preserve">FOLHA - REFERÊNCIA JAN/21- LANÇADO PLANILHA PAGAMENTO GEFIC EM FEV/21.
</t>
        </r>
      </text>
    </comment>
    <comment ref="AA438" authorId="0" shapeId="0" xr:uid="{00000000-0006-0000-0000-00007E030000}">
      <text>
        <r>
          <rPr>
            <sz val="11"/>
            <color rgb="FF000000"/>
            <rFont val="Calibri"/>
            <family val="2"/>
            <charset val="1"/>
          </rPr>
          <t xml:space="preserve">FOLHA - REFERÊNCIA JAN/21- LANÇADO PLANILHA PAGAMENTO GEFIC EM FEV/21.
</t>
        </r>
      </text>
    </comment>
    <comment ref="AC438" authorId="0" shapeId="0" xr:uid="{00000000-0006-0000-0000-0000FF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38" authorId="0" shapeId="0" xr:uid="{00000000-0006-0000-0000-000090060000}">
      <text>
        <r>
          <rPr>
            <sz val="11"/>
            <color rgb="FF000000"/>
            <rFont val="Calibri"/>
            <family val="2"/>
            <charset val="1"/>
          </rPr>
          <t xml:space="preserve">CELG JAN/21 LANÇADO NA PLANILHA DE FEV/21
</t>
        </r>
      </text>
    </comment>
    <comment ref="F439" authorId="0" shapeId="0" xr:uid="{00000000-0006-0000-0000-000061000000}">
      <text>
        <r>
          <rPr>
            <sz val="9"/>
            <color rgb="FF000000"/>
            <rFont val="Segoe UI"/>
            <family val="2"/>
            <charset val="1"/>
          </rPr>
          <t xml:space="preserve">R$ 62.496,00 - SERVIÇOS SADT EXTERNOS;
.
R$ 431.545,20 - VALOR INTEGRAL FOLHA SERVIDORES VINDO DO CELAU (FIDI).
</t>
        </r>
      </text>
    </comment>
    <comment ref="Z439" authorId="0" shapeId="0" xr:uid="{00000000-0006-0000-0000-00006D020000}">
      <text>
        <r>
          <rPr>
            <sz val="11"/>
            <color rgb="FF000000"/>
            <rFont val="Calibri"/>
            <family val="2"/>
            <charset val="1"/>
          </rPr>
          <t xml:space="preserve">FOLHA - REFERÊNCIA FEV/21- LANÇADO PLANILHA PAGAMENTO GEFIC EM MAR/21.
</t>
        </r>
      </text>
    </comment>
    <comment ref="AA439" authorId="0" shapeId="0" xr:uid="{00000000-0006-0000-0000-00007F030000}">
      <text>
        <r>
          <rPr>
            <sz val="11"/>
            <color rgb="FF000000"/>
            <rFont val="Calibri"/>
            <family val="2"/>
            <charset val="1"/>
          </rPr>
          <t xml:space="preserve">FOLHA - REFERÊNCIA FEV/21- LANÇADO PLANILHA PAGAMENTO GEFIC EM MAR/21.
</t>
        </r>
      </text>
    </comment>
    <comment ref="AC439" authorId="0" shapeId="0" xr:uid="{00000000-0006-0000-0000-00000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39" authorId="0" shapeId="0" xr:uid="{00000000-0006-0000-0000-000091060000}">
      <text>
        <r>
          <rPr>
            <sz val="11"/>
            <color rgb="FF000000"/>
            <rFont val="Calibri"/>
            <family val="2"/>
            <charset val="1"/>
          </rPr>
          <t xml:space="preserve">CELG FEV/21 LANÇADO NA PLANILHA DE MAR/21
</t>
        </r>
      </text>
    </comment>
    <comment ref="AW439" authorId="0" shapeId="0" xr:uid="{00000000-0006-0000-0000-00002A0A0000}">
      <text>
        <r>
          <rPr>
            <sz val="11"/>
            <color rgb="FF000000"/>
            <rFont val="Calibri"/>
            <family val="2"/>
            <charset val="1"/>
          </rPr>
          <t xml:space="preserve">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.R$ 635.750,00 -INVESTIMENTO, PARA AQUISIÇÃO DE 10 (DEZ) MESAS CIRÚRGICAS - 202000010035909 - 
DESPACHO Nº 38/2021 - GAOS- 14421
área técnica pertinente avaliou a solicitação e emitiu o Despacho nº 100/2021 - GEAM (v. 000018076674),  com a avaliação técnica FAVORÁVEL ao pleito, aprovando a aquisição no valor de R$ 635.750,00;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t>
        </r>
        <r>
          <rPr>
            <sz val="9"/>
            <color rgb="FF000000"/>
            <rFont val="Tahoma"/>
            <family val="2"/>
            <charset val="1"/>
          </rPr>
          <t>.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r>
      </text>
    </comment>
    <comment ref="AX439" authorId="0" shapeId="0" xr:uid="{00000000-0006-0000-0000-0000950A0000}">
      <text>
        <r>
          <rPr>
            <sz val="11"/>
            <color rgb="FF000000"/>
            <rFont val="Calibri"/>
            <family val="2"/>
            <charset val="1"/>
          </rPr>
          <t xml:space="preserve">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text>
    </comment>
    <comment ref="F440" authorId="0" shapeId="0" xr:uid="{00000000-0006-0000-0000-000062000000}">
      <text>
        <r>
          <rPr>
            <sz val="9"/>
            <color rgb="FF000000"/>
            <rFont val="Segoe UI"/>
            <family val="2"/>
            <charset val="1"/>
          </rPr>
          <t xml:space="preserve">R$ 62.496,00 - SERVIÇOS SADT EXTERNOS;
.
R$ 431.545,20 - VALOR INTEGRAL FOLHA SERVIDORES VINDO DO CELAU (FIDI).
</t>
        </r>
      </text>
    </comment>
    <comment ref="Z440" authorId="0" shapeId="0" xr:uid="{00000000-0006-0000-0000-00006E020000}">
      <text>
        <r>
          <rPr>
            <sz val="11"/>
            <color rgb="FF000000"/>
            <rFont val="Calibri"/>
            <family val="2"/>
            <charset val="1"/>
          </rPr>
          <t xml:space="preserve">FOLHA - REFERÊNCIA MAR/21- LANÇADO PLANILHA PAGAMENTO GEFIC EM ABR/21.
</t>
        </r>
      </text>
    </comment>
    <comment ref="AA440" authorId="0" shapeId="0" xr:uid="{00000000-0006-0000-0000-000080030000}">
      <text>
        <r>
          <rPr>
            <sz val="11"/>
            <color rgb="FF000000"/>
            <rFont val="Calibri"/>
            <family val="2"/>
            <charset val="1"/>
          </rPr>
          <t xml:space="preserve">FOLHA - REFERÊNCIA MAR/21- LANÇADO PLANILHA PAGAMENTO GEFIC EM ABR/21.
</t>
        </r>
      </text>
    </comment>
    <comment ref="AC440" authorId="0" shapeId="0" xr:uid="{00000000-0006-0000-0000-000001050000}">
      <text>
        <r>
          <rPr>
            <sz val="11"/>
            <color rgb="FF000000"/>
            <rFont val="Calibri"/>
            <family val="2"/>
            <charset val="1"/>
          </rPr>
          <t xml:space="preserve">OI - REFERÊNCIA ABR/21 - LANÇADO PLANILHA PAGAMENTO GEFIC EM ABR/21
</t>
        </r>
      </text>
    </comment>
    <comment ref="AD440" authorId="0" shapeId="0" xr:uid="{00000000-0006-0000-0000-000092060000}">
      <text>
        <r>
          <rPr>
            <sz val="11"/>
            <color rgb="FF000000"/>
            <rFont val="Calibri"/>
            <family val="2"/>
            <charset val="1"/>
          </rPr>
          <t xml:space="preserve">CELG MAR/21 LANÇADO NA PLANILHA DE ABR/21
</t>
        </r>
      </text>
    </comment>
    <comment ref="AE440" authorId="0" shapeId="0" xr:uid="{00000000-0006-0000-0000-000077080000}">
      <text>
        <r>
          <rPr>
            <sz val="11"/>
            <color rgb="FF000000"/>
            <rFont val="Calibri"/>
            <family val="2"/>
            <charset val="1"/>
          </rPr>
          <t xml:space="preserve">R$ 11.260.416,00 -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0" authorId="0" shapeId="0" xr:uid="{00000000-0006-0000-0000-00002B0A0000}">
      <text>
        <r>
          <rPr>
            <sz val="11"/>
            <color rgb="FF000000"/>
            <rFont val="Calibri"/>
            <family val="2"/>
            <charset val="1"/>
          </rPr>
          <t xml:space="preserve">INVESTIMENTO, PARA AQUISIÇÃO DE INSTRUMENTAIS CIRÚRGICOS DESTINADOS AO HOSPITAL ESTADUAL DE URGÊNCIAS DE GOIÂNIA DR. VALDEMIRO CRUZ – HUGO, PROCESSO 202000010035933
</t>
        </r>
      </text>
    </comment>
    <comment ref="AX440" authorId="0" shapeId="0" xr:uid="{00000000-0006-0000-0000-0000960A0000}">
      <text>
        <r>
          <rPr>
            <sz val="11"/>
            <color rgb="FF000000"/>
            <rFont val="Calibri"/>
            <family val="2"/>
            <charset val="1"/>
          </rPr>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r>
      </text>
    </comment>
    <comment ref="F441" authorId="0" shapeId="0" xr:uid="{00000000-0006-0000-0000-000063000000}">
      <text>
        <r>
          <rPr>
            <sz val="9"/>
            <color rgb="FF000000"/>
            <rFont val="Segoe UI"/>
            <family val="2"/>
            <charset val="1"/>
          </rPr>
          <t xml:space="preserve">R$ 62.496,00 - SERVIÇOS SADT EXTERNOS;
.
R$ 431.545,20 - VALOR INTEGRAL FOLHA SERVIDORES VINDO DO CELAU (FIDI).
</t>
        </r>
      </text>
    </comment>
    <comment ref="Z441" authorId="0" shapeId="0" xr:uid="{00000000-0006-0000-0000-00006F020000}">
      <text>
        <r>
          <rPr>
            <sz val="11"/>
            <color rgb="FF000000"/>
            <rFont val="Calibri"/>
            <family val="2"/>
            <charset val="1"/>
          </rPr>
          <t xml:space="preserve">FOLHA - REFERÊNCIA ABR/21- LANÇADO PLANILHA PAGAMENTO GEFIC EM MAI/21.
</t>
        </r>
      </text>
    </comment>
    <comment ref="AA441" authorId="0" shapeId="0" xr:uid="{00000000-0006-0000-0000-000081030000}">
      <text>
        <r>
          <rPr>
            <sz val="11"/>
            <color rgb="FF000000"/>
            <rFont val="Calibri"/>
            <family val="2"/>
            <charset val="1"/>
          </rPr>
          <t xml:space="preserve">FOLHA - REFERÊNCIA ABR/21- LANÇADO PLANILHA PAGAMENTO GEFIC EM MAI/21.
</t>
        </r>
      </text>
    </comment>
    <comment ref="AC441" authorId="0" shapeId="0" xr:uid="{00000000-0006-0000-0000-000002050000}">
      <text>
        <r>
          <rPr>
            <sz val="11"/>
            <color rgb="FF000000"/>
            <rFont val="Calibri"/>
            <family val="2"/>
            <charset val="1"/>
          </rPr>
          <t xml:space="preserve">OI - REFERÊNCIA MAI/21 - LANÇADO PLANILHA PAGAMENTO GEFIC EM MAI/21
</t>
        </r>
      </text>
    </comment>
    <comment ref="AD441" authorId="0" shapeId="0" xr:uid="{00000000-0006-0000-0000-000093060000}">
      <text>
        <r>
          <rPr>
            <sz val="11"/>
            <color rgb="FF000000"/>
            <rFont val="Calibri"/>
            <family val="2"/>
            <charset val="1"/>
          </rPr>
          <t xml:space="preserve">CELG ABR/21 LANÇADO NA PLANILHA DE MAI/21
</t>
        </r>
      </text>
    </comment>
    <comment ref="AE441" authorId="0" shapeId="0" xr:uid="{00000000-0006-0000-0000-000078080000}">
      <text>
        <r>
          <rPr>
            <sz val="11"/>
            <color rgb="FF000000"/>
            <rFont val="Calibri"/>
            <family val="2"/>
            <charset val="1"/>
          </rPr>
          <t xml:space="preserve">R$ 429.898,82 - RESTANTE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1" authorId="0" shapeId="0" xr:uid="{00000000-0006-0000-0000-00002C0A0000}">
      <text>
        <r>
          <rPr>
            <sz val="11"/>
            <color rgb="FF000000"/>
            <rFont val="Calibri"/>
            <family val="2"/>
            <charset val="1"/>
          </rPr>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r>
      </text>
    </comment>
    <comment ref="AX441" authorId="0" shapeId="0" xr:uid="{00000000-0006-0000-0000-0000970A0000}">
      <text>
        <r>
          <rPr>
            <sz val="11"/>
            <color rgb="FF000000"/>
            <rFont val="Calibri"/>
            <family val="2"/>
            <charset val="1"/>
          </rPr>
          <t xml:space="preserve">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2" authorId="0" shapeId="0" xr:uid="{00000000-0006-0000-0000-000064000000}">
      <text>
        <r>
          <rPr>
            <sz val="9"/>
            <color rgb="FF000000"/>
            <rFont val="Segoe UI"/>
            <family val="2"/>
            <charset val="1"/>
          </rPr>
          <t xml:space="preserve">R$ 62.496,00 - SERVIÇOS SADT EXTERNOS;
.
R$ 431.545,20 - VALOR INTEGRAL FOLHA SERVIDORES VINDO DO CELAU (FIDI).
</t>
        </r>
      </text>
    </comment>
    <comment ref="G442" authorId="0" shapeId="0" xr:uid="{00000000-0006-0000-0000-000083000000}">
      <text>
        <r>
          <rPr>
            <sz val="11"/>
            <color rgb="FF000000"/>
            <rFont val="Calibri"/>
            <family val="2"/>
            <charset val="1"/>
          </rPr>
          <t xml:space="preserve">vigência a partir da publicação 09/06/21 a 30/11/23
</t>
        </r>
        <r>
          <rPr>
            <sz val="9"/>
            <color rgb="FF000000"/>
            <rFont val="Segoe UI"/>
            <family val="2"/>
            <charset val="1"/>
          </rPr>
          <t>CUSTEIO..............R$ 1.805.982,27
RES.MEDICA........R$ 27.616,86</t>
        </r>
      </text>
    </comment>
    <comment ref="Z442" authorId="0" shapeId="0" xr:uid="{00000000-0006-0000-0000-000070020000}">
      <text>
        <r>
          <rPr>
            <sz val="11"/>
            <color rgb="FF000000"/>
            <rFont val="Calibri"/>
            <family val="2"/>
            <charset val="1"/>
          </rPr>
          <t xml:space="preserve">FOLHA - REFERÊNCIA MAI/21- LANÇADO PLANILHA PAGAMENTO GEFIC EM JUN/21.
</t>
        </r>
      </text>
    </comment>
    <comment ref="AA442" authorId="0" shapeId="0" xr:uid="{00000000-0006-0000-0000-000082030000}">
      <text>
        <r>
          <rPr>
            <sz val="11"/>
            <color rgb="FF000000"/>
            <rFont val="Calibri"/>
            <family val="2"/>
            <charset val="1"/>
          </rPr>
          <t xml:space="preserve">FOLHA - REFERÊNCIA MAI/21- LANÇADO PLANILHA PAGAMENTO GEFIC EM JUN/21.
</t>
        </r>
      </text>
    </comment>
    <comment ref="AD442" authorId="0" shapeId="0" xr:uid="{00000000-0006-0000-0000-000094060000}">
      <text>
        <r>
          <rPr>
            <sz val="11"/>
            <color rgb="FF000000"/>
            <rFont val="Calibri"/>
            <family val="2"/>
            <charset val="1"/>
          </rPr>
          <t xml:space="preserve">CELG MAI/21 LANÇADO NA PLANILHA DE JUN/21
</t>
        </r>
      </text>
    </comment>
    <comment ref="AE442" authorId="0" shapeId="0" xr:uid="{00000000-0006-0000-0000-000079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2" authorId="0" shapeId="0" xr:uid="{00000000-0006-0000-0000-00002D0A0000}">
      <text>
        <r>
          <rPr>
            <sz val="11"/>
            <color rgb="FF000000"/>
            <rFont val="Calibri"/>
            <family val="2"/>
            <charset val="1"/>
          </rPr>
          <t xml:space="preserve">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t>
        </r>
        <r>
          <rPr>
            <sz val="9"/>
            <color rgb="FF000000"/>
            <rFont val="Segoe UI"/>
            <family val="2"/>
            <charset val="1"/>
          </rPr>
          <t>.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r>
      </text>
    </comment>
    <comment ref="AX442" authorId="0" shapeId="0" xr:uid="{00000000-0006-0000-0000-0000980A0000}">
      <text>
        <r>
          <rPr>
            <b/>
            <sz val="9"/>
            <color rgb="FF000000"/>
            <rFont val="Tahoma"/>
            <family val="2"/>
            <charset val="1"/>
          </rPr>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r>
      </text>
    </comment>
    <comment ref="F443" authorId="0" shapeId="0" xr:uid="{00000000-0006-0000-0000-000065000000}">
      <text>
        <r>
          <rPr>
            <sz val="9"/>
            <color rgb="FF000000"/>
            <rFont val="Segoe UI"/>
            <family val="2"/>
            <charset val="1"/>
          </rPr>
          <t xml:space="preserve">R$ 62.496,00 - SERVIÇOS SADT EXTERNOS;
.
R$ 431.545,20 - VALOR INTEGRAL FOLHA SERVIDORES VINDO DO CELAU (FIDI).
</t>
        </r>
      </text>
    </comment>
    <comment ref="G443" authorId="0" shapeId="0" xr:uid="{00000000-0006-0000-0000-000084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3" authorId="0" shapeId="0" xr:uid="{00000000-0006-0000-0000-000071020000}">
      <text>
        <r>
          <rPr>
            <sz val="11"/>
            <color rgb="FF000000"/>
            <rFont val="Calibri"/>
            <family val="2"/>
            <charset val="1"/>
          </rPr>
          <t xml:space="preserve">FOLHA - REFERÊNCIA JUN/21- LANÇADO PLANILHA PAGAMENTO GEFIC EM JUL/21.
</t>
        </r>
      </text>
    </comment>
    <comment ref="AA443" authorId="0" shapeId="0" xr:uid="{00000000-0006-0000-0000-000083030000}">
      <text>
        <r>
          <rPr>
            <sz val="11"/>
            <color rgb="FF000000"/>
            <rFont val="Calibri"/>
            <family val="2"/>
            <charset val="1"/>
          </rPr>
          <t xml:space="preserve">FOLHA - REFERÊNCIA JUN/21- LANÇADO PLANILHA PAGAMENTO GEFIC EM JUL/21.
</t>
        </r>
      </text>
    </comment>
    <comment ref="AD443" authorId="0" shapeId="0" xr:uid="{00000000-0006-0000-0000-000095060000}">
      <text>
        <r>
          <rPr>
            <sz val="11"/>
            <color rgb="FF000000"/>
            <rFont val="Calibri"/>
            <family val="2"/>
            <charset val="1"/>
          </rPr>
          <t xml:space="preserve">CELG JUN/21 LANÇADO NA PLANILHA DE JUL/21
</t>
        </r>
      </text>
    </comment>
    <comment ref="AE443" authorId="0" shapeId="0" xr:uid="{00000000-0006-0000-0000-00007A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3" authorId="0" shapeId="0" xr:uid="{00000000-0006-0000-0000-0000990A0000}">
      <text>
        <r>
          <rPr>
            <sz val="11"/>
            <color rgb="FF000000"/>
            <rFont val="Calibri"/>
            <family val="2"/>
            <charset val="1"/>
          </rPr>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r>
          <rPr>
            <sz val="9"/>
            <color rgb="FF000000"/>
            <rFont val="Tahoma"/>
            <family val="2"/>
            <charset val="1"/>
          </rPr>
          <t xml:space="preserve">
</t>
        </r>
      </text>
    </comment>
    <comment ref="F444" authorId="0" shapeId="0" xr:uid="{00000000-0006-0000-0000-000066000000}">
      <text>
        <r>
          <rPr>
            <sz val="9"/>
            <color rgb="FF000000"/>
            <rFont val="Segoe UI"/>
            <family val="2"/>
            <charset val="1"/>
          </rPr>
          <t xml:space="preserve">R$ 62.496,00 - SERVIÇOS SADT EXTERNOS;
.
R$ 431.545,20 - VALOR INTEGRAL FOLHA SERVIDORES VINDO DO CELAU (FIDI).
</t>
        </r>
      </text>
    </comment>
    <comment ref="G444" authorId="0" shapeId="0" xr:uid="{00000000-0006-0000-0000-000085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4" authorId="0" shapeId="0" xr:uid="{00000000-0006-0000-0000-000072020000}">
      <text>
        <r>
          <rPr>
            <sz val="11"/>
            <color rgb="FF000000"/>
            <rFont val="Calibri"/>
            <family val="2"/>
            <charset val="1"/>
          </rPr>
          <t xml:space="preserve">FOLHA - REFERÊNCIA JUL/21- LANÇADO PLANILHA PAGAMENTO GEFIC EM AGO/21.
</t>
        </r>
      </text>
    </comment>
    <comment ref="AA444" authorId="0" shapeId="0" xr:uid="{00000000-0006-0000-0000-000084030000}">
      <text>
        <r>
          <rPr>
            <sz val="11"/>
            <color rgb="FF000000"/>
            <rFont val="Calibri"/>
            <family val="2"/>
            <charset val="1"/>
          </rPr>
          <t xml:space="preserve">FOLHA - REFERÊNCIA JUL/21- LANÇADO PLANILHA PAGAMENTO GEFIC EM AGO/21.
</t>
        </r>
      </text>
    </comment>
    <comment ref="AD444" authorId="0" shapeId="0" xr:uid="{00000000-0006-0000-0000-000096060000}">
      <text>
        <r>
          <rPr>
            <sz val="11"/>
            <color rgb="FF000000"/>
            <rFont val="Calibri"/>
            <family val="2"/>
            <charset val="1"/>
          </rPr>
          <t xml:space="preserve">CELG JUL/21 LANÇADO NA PLANILHA DE AGO/21
</t>
        </r>
      </text>
    </comment>
    <comment ref="AE444" authorId="0" shapeId="0" xr:uid="{00000000-0006-0000-0000-00007B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4" authorId="0" shapeId="0" xr:uid="{00000000-0006-0000-0000-00009A0A0000}">
      <text>
        <r>
          <rPr>
            <sz val="11"/>
            <color rgb="FF000000"/>
            <rFont val="Calibri"/>
            <family val="2"/>
            <charset val="1"/>
          </rPr>
          <t xml:space="preserve">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5" authorId="0" shapeId="0" xr:uid="{00000000-0006-0000-0000-000067000000}">
      <text>
        <r>
          <rPr>
            <sz val="9"/>
            <color rgb="FF000000"/>
            <rFont val="Segoe UI"/>
            <family val="2"/>
            <charset val="1"/>
          </rPr>
          <t xml:space="preserve">R$ 62.496,00 - SERVIÇOS SADT EXTERNOS;
.
R$ 431.545,20 - VALOR INTEGRAL FOLHA SERVIDORES VINDO DO CELAU (FIDI).
</t>
        </r>
      </text>
    </comment>
    <comment ref="G445" authorId="0" shapeId="0" xr:uid="{00000000-0006-0000-0000-000086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5" authorId="0" shapeId="0" xr:uid="{00000000-0006-0000-0000-00007C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6" authorId="0" shapeId="0" xr:uid="{00000000-0006-0000-0000-000068000000}">
      <text>
        <r>
          <rPr>
            <sz val="9"/>
            <color rgb="FF000000"/>
            <rFont val="Segoe UI"/>
            <family val="2"/>
            <charset val="1"/>
          </rPr>
          <t xml:space="preserve">R$ 62.496,00 - SERVIÇOS SADT EXTERNOS;
.
R$ 431.545,20 - VALOR INTEGRAL FOLHA SERVIDORES VINDO DO CELAU (FIDI).
</t>
        </r>
      </text>
    </comment>
    <comment ref="G446" authorId="0" shapeId="0" xr:uid="{00000000-0006-0000-0000-000087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6" authorId="0" shapeId="0" xr:uid="{00000000-0006-0000-0000-00007D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8" authorId="0" shapeId="0" xr:uid="{00000000-0006-0000-0000-000069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8" authorId="0" shapeId="0" xr:uid="{00000000-0006-0000-0000-000085030000}">
      <text>
        <r>
          <rPr>
            <b/>
            <sz val="9"/>
            <color rgb="FF000000"/>
            <rFont val="Tahoma"/>
            <family val="2"/>
            <charset val="1"/>
          </rPr>
          <t xml:space="preserve">R$ 359.493,87 GLOSA FOLHA PLANILHA PAGAMENTO/GEFIC - JAN/17;
R$ 1.399.310,24 RETIFICAÇÃO GLOSA FOLHA PLANILHA PAGAMENTO/GEFIC - JAN/17 DIFERENÇA GLOSA DE FOLHA (ACRÉSCIMO FOLHA DE PESSOAL 1º T.ADITIVO).
</t>
        </r>
      </text>
    </comment>
    <comment ref="F449" authorId="0" shapeId="0" xr:uid="{00000000-0006-0000-0000-00006A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9" authorId="0" shapeId="0" xr:uid="{00000000-0006-0000-0000-000086030000}">
      <text>
        <r>
          <rPr>
            <sz val="9"/>
            <color rgb="FF000000"/>
            <rFont val="Tahoma"/>
            <family val="2"/>
            <charset val="1"/>
          </rPr>
          <t xml:space="preserve">R$ 269.083,79 GLOSA FOLHA PLANILHA PAGAMENTO/GEFIC - FEV/17;
R$ 1.123.233,89 RETIFICAÇÃO GLOSA FOLHA PLANILHA PAGAMENTO/GEFIC - FEV/17 DIFERENÇA GLOSA DE FOLHA (ACRÉSCIMO FOLHA DE PESSOAL 1º T.ADITIVO).
</t>
        </r>
      </text>
    </comment>
    <comment ref="F450" authorId="0" shapeId="0" xr:uid="{00000000-0006-0000-0000-00006B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50" authorId="0" shapeId="0" xr:uid="{00000000-0006-0000-0000-000087030000}">
      <text>
        <r>
          <rPr>
            <sz val="9"/>
            <color rgb="FF000000"/>
            <rFont val="Tahoma"/>
            <family val="2"/>
            <charset val="1"/>
          </rPr>
          <t xml:space="preserve">R$ 291.809,83  GLOSA FOLHA PLANILHA PAGAMENTO/GEFIC - MAR/17;
R$ 1.242.898,98  RETIFICAÇÃO GLOSA FOLHA PLANILHA PAGAMENTO/GEFIC - MAR/17 DIFERENÇA GLOSA DE FOLHA (ACRÉSCIMO FOLHA DE PESSOAL 1º T.ADITIVO).
</t>
        </r>
      </text>
    </comment>
    <comment ref="F451" authorId="0" shapeId="0" xr:uid="{00000000-0006-0000-0000-00006C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2" authorId="0" shapeId="0" xr:uid="{00000000-0006-0000-0000-00006D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3" authorId="0" shapeId="0" xr:uid="{00000000-0006-0000-0000-00006E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4" authorId="0" shapeId="0" xr:uid="{00000000-0006-0000-0000-00006F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5" authorId="0" shapeId="0" xr:uid="{00000000-0006-0000-0000-000070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5" authorId="0" shapeId="0" xr:uid="{00000000-0006-0000-0000-0000C7090000}">
      <text>
        <r>
          <rPr>
            <b/>
            <sz val="9"/>
            <color rgb="FF000000"/>
            <rFont val="Tahoma"/>
            <family val="2"/>
            <charset val="1"/>
          </rPr>
          <t xml:space="preserve">PROC.201700010012658 - RESSARCIMENTO DE ÓRTESE E PRÓTESE PACIENTE SEBASTIÃO RODRIGUES DA SILVA PROCEDIMENTO CIRÚRGICO. 
</t>
        </r>
      </text>
    </comment>
    <comment ref="F456" authorId="0" shapeId="0" xr:uid="{00000000-0006-0000-0000-000071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7" authorId="0" shapeId="0" xr:uid="{00000000-0006-0000-0000-000072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7" authorId="0" shapeId="0" xr:uid="{00000000-0006-0000-0000-0000C8090000}">
      <text>
        <r>
          <rPr>
            <b/>
            <sz val="9"/>
            <color rgb="FF000000"/>
            <rFont val="Tahoma"/>
            <family val="2"/>
            <charset val="1"/>
          </rPr>
          <t>PROC.201700010014024 - RESSARCIMENTO ÓRTESE/PRÓTESE PAC.RAIMUNDA PEREIRA DE OLIVEIRA PROCEDIMENTO CIRÚRGICO EM 30/006/17 , DE ACORDO COM A PREVISÃO ANEXO TÉCNICO I, ITEM 1.7, DAS ESPECIFICAÇÕES TÉCNICAS, DO PRIMEIRO TERMO ADITIVO AO CONTRATO DE GESTÃO Nº096/2016 - SES/GO.</t>
        </r>
      </text>
    </comment>
    <comment ref="F458" authorId="0" shapeId="0" xr:uid="{00000000-0006-0000-0000-000073000000}">
      <text>
        <r>
          <rPr>
            <sz val="11"/>
            <color rgb="FF000000"/>
            <rFont val="Calibri"/>
            <family val="2"/>
            <charset val="1"/>
          </rPr>
          <t xml:space="preserve">ATÉ 24/11/2017
</t>
        </r>
        <r>
          <rPr>
            <sz val="9"/>
            <color rgb="FF000000"/>
            <rFont val="Tahoma"/>
            <family val="2"/>
            <charset val="1"/>
          </rPr>
          <t xml:space="preserve">*R$ 1.460.944,06  ACRESCIMO REF.A FOLHA PESSOAL EFETIVO,                                        *R$ 280.319,18 ACRÉSCIMO CUSTEIO DE DESPESAS COM MANUTENÇÃO E CUSTEIO DE ATIVIDADES DE GERENCIAMENTO, OPERACIONALIZAÇÃO E EXECUÇÃO DE AÇÕES E SERVIÇOS DE SAUDE E                                                                                                                          * R$ 27.044,38  REPASSE DE RECURSO FINANCEIRO PARA CUSTEIO DOS PROGRAMAS DE RESIDÊNCIA MÉDICA.                                                                                                                                                   </t>
        </r>
      </text>
    </comment>
    <comment ref="G458" authorId="0" shapeId="0" xr:uid="{00000000-0006-0000-0000-000088000000}">
      <text>
        <r>
          <rPr>
            <b/>
            <sz val="9"/>
            <color rgb="FF000000"/>
            <rFont val="Tahoma"/>
            <family val="2"/>
            <charset val="1"/>
          </rPr>
          <t>PERÍODO DE 25/11 A 30/11/17 2º TA COMPOSTO POR CUSTEIO: R$ 1.036.424,49 E PROGRAMA RESIDENCIA MÉDICA R$ 6.761,09</t>
        </r>
      </text>
    </comment>
    <comment ref="AA458" authorId="0" shapeId="0" xr:uid="{00000000-0006-0000-0000-000088030000}">
      <text>
        <r>
          <rPr>
            <b/>
            <sz val="9"/>
            <color rgb="FF000000"/>
            <rFont val="Tahoma"/>
            <family val="2"/>
            <charset val="1"/>
          </rPr>
          <t>GLOSA ESTIMADA DE RH R$ 1.826.180,08 (FOI LANÇADO O VALOR DE 1.460.944,06 PROPORCIONAL AO PERÍODO DE 01/11 A 24/11/17) O RESTANTE ESTÁ AGUARDANDO A OUTORGA (lançado em 04/12/17)</t>
        </r>
      </text>
    </comment>
    <comment ref="AD458" authorId="0" shapeId="0" xr:uid="{00000000-0006-0000-0000-000097060000}">
      <text>
        <r>
          <rPr>
            <b/>
            <sz val="9"/>
            <color rgb="FF000000"/>
            <rFont val="Tahoma"/>
            <family val="2"/>
            <charset val="1"/>
          </rPr>
          <t>GLOSA REF.AO FORNECIMENTO EM SET/17.</t>
        </r>
      </text>
    </comment>
    <comment ref="G459" authorId="0" shapeId="0" xr:uid="{00000000-0006-0000-0000-000089000000}">
      <text>
        <r>
          <rPr>
            <b/>
            <sz val="9"/>
            <color rgb="FF000000"/>
            <rFont val="Tahoma"/>
            <family val="2"/>
            <charset val="1"/>
          </rPr>
          <t>2º TA  COMPOSTO POR CUSTEIO: R$ 5.182.122,44 E PROGRAMA RESIDENCIA MÉDICA R$ 33.805,47</t>
        </r>
      </text>
    </comment>
    <comment ref="AD459" authorId="0" shapeId="0" xr:uid="{00000000-0006-0000-0000-000098060000}">
      <text>
        <r>
          <rPr>
            <sz val="11"/>
            <color rgb="FF000000"/>
            <rFont val="Calibri"/>
            <family val="2"/>
            <charset val="1"/>
          </rPr>
          <t>GLOSA REF.AO FORNECIMENTO EM OUT/17.R$ 43.029,16E NOV/17 R</t>
        </r>
        <r>
          <rPr>
            <b/>
            <u/>
            <sz val="9"/>
            <color rgb="FF000000"/>
            <rFont val="Tahoma"/>
            <family val="2"/>
            <charset val="1"/>
          </rPr>
          <t xml:space="preserve">$ 24.022,77
</t>
        </r>
      </text>
    </comment>
    <comment ref="G460" authorId="0" shapeId="0" xr:uid="{00000000-0006-0000-0000-00008A000000}">
      <text>
        <r>
          <rPr>
            <b/>
            <sz val="9"/>
            <color rgb="FF000000"/>
            <rFont val="Tahoma"/>
            <family val="2"/>
            <charset val="1"/>
          </rPr>
          <t>2º TA  COMPOSTO POR CUSTEIO: R$ 5.182.122,44 E PROGRAMA RESIDENCIA MÉDICA R$ 33.805,47</t>
        </r>
      </text>
    </comment>
    <comment ref="AC460" authorId="0" shapeId="0" xr:uid="{00000000-0006-0000-0000-000003050000}">
      <text>
        <r>
          <rPr>
            <b/>
            <sz val="9"/>
            <color rgb="FF000000"/>
            <rFont val="Tahoma"/>
            <family val="2"/>
            <charset val="1"/>
          </rPr>
          <t xml:space="preserve">TELEFONE
</t>
        </r>
      </text>
    </comment>
    <comment ref="G461" authorId="0" shapeId="0" xr:uid="{00000000-0006-0000-0000-00008B000000}">
      <text>
        <r>
          <rPr>
            <b/>
            <sz val="9"/>
            <color rgb="FF000000"/>
            <rFont val="Tahoma"/>
            <family val="2"/>
            <charset val="1"/>
          </rPr>
          <t>2º TA  COMPOSTO POR CUSTEIO: R$ 5.182.122,44 E PROGRAMA RESIDENCIA MÉDICA R$ 33.805,47</t>
        </r>
      </text>
    </comment>
    <comment ref="AD461" authorId="0" shapeId="0" xr:uid="{00000000-0006-0000-0000-000099060000}">
      <text>
        <r>
          <rPr>
            <b/>
            <sz val="9"/>
            <color rgb="FF000000"/>
            <rFont val="Tahoma"/>
            <family val="2"/>
            <charset val="1"/>
          </rPr>
          <t xml:space="preserve">CELG - JANEIRO/18
</t>
        </r>
      </text>
    </comment>
    <comment ref="G462" authorId="0" shapeId="0" xr:uid="{00000000-0006-0000-0000-00008C000000}">
      <text>
        <r>
          <rPr>
            <b/>
            <sz val="9"/>
            <color rgb="FF000000"/>
            <rFont val="Tahoma"/>
            <family val="2"/>
            <charset val="1"/>
          </rPr>
          <t>2º TA  COMPOSTO POR CUSTEIO: R$ 5.182.122,44 E PROGRAMA RESIDENCIA MÉDICA R$ 33.805,47</t>
        </r>
      </text>
    </comment>
    <comment ref="AD462" authorId="0" shapeId="0" xr:uid="{00000000-0006-0000-0000-00009A060000}">
      <text>
        <r>
          <rPr>
            <b/>
            <sz val="9"/>
            <color rgb="FF000000"/>
            <rFont val="Tahoma"/>
            <family val="2"/>
            <charset val="1"/>
          </rPr>
          <t xml:space="preserve">CELG -FEVEREIRO/18
</t>
        </r>
      </text>
    </comment>
    <comment ref="AU462" authorId="0" shapeId="0" xr:uid="{00000000-0006-0000-0000-0000C9090000}">
      <text>
        <r>
          <rPr>
            <sz val="9"/>
            <color rgb="FF000000"/>
            <rFont val="Tahoma"/>
            <family val="2"/>
            <charset val="1"/>
          </rPr>
          <t xml:space="preserve">R$ 2406,00 - RESSARCIMENTO OPME - PACIENTE  DORI DE ARAÚJO SOARES UTILIZADA EM 06/09/17  NO HUAPA PROC.201700010015136.
R$ 6.944,49 - PROC.201800010001166 - RESSARC.OPME PAC.MARIA SOLONY LEITE MARTINS EM MAR/18 </t>
        </r>
      </text>
    </comment>
    <comment ref="G463" authorId="0" shapeId="0" xr:uid="{00000000-0006-0000-0000-00008D000000}">
      <text>
        <r>
          <rPr>
            <b/>
            <sz val="9"/>
            <color rgb="FF000000"/>
            <rFont val="Tahoma"/>
            <family val="2"/>
            <charset val="1"/>
          </rPr>
          <t>2º TA  COMPOSTO POR CUSTEIO: R$ 5.182.122,44 E PROGRAMA RESIDENCIA MÉDICA R$ 33.805,47</t>
        </r>
      </text>
    </comment>
    <comment ref="G464" authorId="0" shapeId="0" xr:uid="{00000000-0006-0000-0000-00008E000000}">
      <text>
        <r>
          <rPr>
            <b/>
            <sz val="9"/>
            <color rgb="FF000000"/>
            <rFont val="Tahoma"/>
            <family val="2"/>
            <charset val="1"/>
          </rPr>
          <t>2º TA  COMPOSTO POR CUSTEIO: R$ 5.182.122,44 E PROGRAMA RESIDENCIA MÉDICA R$ 33.805,47</t>
        </r>
      </text>
    </comment>
    <comment ref="AD464" authorId="0" shapeId="0" xr:uid="{00000000-0006-0000-0000-00009B060000}">
      <text>
        <r>
          <rPr>
            <b/>
            <sz val="9"/>
            <color rgb="FF000000"/>
            <rFont val="Tahoma"/>
            <family val="2"/>
            <charset val="1"/>
          </rPr>
          <t xml:space="preserve">CELG - ABRIL/2018:
</t>
        </r>
      </text>
    </comment>
    <comment ref="AU464" authorId="0" shapeId="0" xr:uid="{00000000-0006-0000-0000-0000CA090000}">
      <text>
        <r>
          <rPr>
            <b/>
            <sz val="9"/>
            <color rgb="FF000000"/>
            <rFont val="Tahoma"/>
            <family val="2"/>
            <charset val="1"/>
          </rPr>
          <t>RESSARCIMENTO OPME, PARA PACIENTE JOSÉ DA SILVA EM SET/17 PROC.201700010016296</t>
        </r>
      </text>
    </comment>
    <comment ref="G465" authorId="0" shapeId="0" xr:uid="{00000000-0006-0000-0000-00008F000000}">
      <text>
        <r>
          <rPr>
            <b/>
            <sz val="9"/>
            <color rgb="FF000000"/>
            <rFont val="Tahoma"/>
            <family val="2"/>
            <charset val="1"/>
          </rPr>
          <t>2º TA  COMPOSTO POR CUSTEIO: R$ 5.182.122,44 E PROGRAMA RESIDENCIA MÉDICA R$ 33.805,47</t>
        </r>
      </text>
    </comment>
    <comment ref="G466" authorId="0" shapeId="0" xr:uid="{00000000-0006-0000-0000-000090000000}">
      <text>
        <r>
          <rPr>
            <b/>
            <sz val="9"/>
            <color rgb="FF000000"/>
            <rFont val="Tahoma"/>
            <family val="2"/>
            <charset val="1"/>
          </rPr>
          <t>2º TA  COMPOSTO POR CUSTEIO: R$ 5.182.122,44 E PROGRAMA RESIDENCIA MÉDICA R$ 33.805,47</t>
        </r>
      </text>
    </comment>
    <comment ref="AD466" authorId="0" shapeId="0" xr:uid="{00000000-0006-0000-0000-00009C060000}">
      <text>
        <r>
          <rPr>
            <b/>
            <sz val="9"/>
            <color rgb="FF000000"/>
            <rFont val="Tahoma"/>
            <family val="2"/>
            <charset val="1"/>
          </rPr>
          <t xml:space="preserve">CELG - JUN/2018
</t>
        </r>
      </text>
    </comment>
    <comment ref="AE466" authorId="0" shapeId="0" xr:uid="{00000000-0006-0000-0000-00007E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7" authorId="0" shapeId="0" xr:uid="{00000000-0006-0000-0000-000091000000}">
      <text>
        <r>
          <rPr>
            <b/>
            <sz val="9"/>
            <color rgb="FF000000"/>
            <rFont val="Tahoma"/>
            <family val="2"/>
            <charset val="1"/>
          </rPr>
          <t>2º TA  COMPOSTO POR CUSTEIO: R$ 5.182.122,44 E PROGRAMA RESIDENCIA MÉDICA R$ 33.805,47</t>
        </r>
      </text>
    </comment>
    <comment ref="AD467" authorId="0" shapeId="0" xr:uid="{00000000-0006-0000-0000-00009D060000}">
      <text>
        <r>
          <rPr>
            <b/>
            <sz val="9"/>
            <color rgb="FF000000"/>
            <rFont val="Tahoma"/>
            <family val="2"/>
            <charset val="1"/>
          </rPr>
          <t xml:space="preserve">CELG - JUL/2018
</t>
        </r>
      </text>
    </comment>
    <comment ref="AE467" authorId="0" shapeId="0" xr:uid="{00000000-0006-0000-0000-00007F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8" authorId="0" shapeId="0" xr:uid="{00000000-0006-0000-0000-000092000000}">
      <text>
        <r>
          <rPr>
            <b/>
            <sz val="9"/>
            <color rgb="FF000000"/>
            <rFont val="Tahoma"/>
            <family val="2"/>
            <charset val="1"/>
          </rPr>
          <t>2º TA  COMPOSTO POR CUSTEIO: R$ 5.182.122,44 E PROGRAMA RESIDENCIA MÉDICA R$ 33.805,47</t>
        </r>
      </text>
    </comment>
    <comment ref="AD468" authorId="0" shapeId="0" xr:uid="{00000000-0006-0000-0000-00009E060000}">
      <text>
        <r>
          <rPr>
            <b/>
            <sz val="9"/>
            <color rgb="FF000000"/>
            <rFont val="Tahoma"/>
            <family val="2"/>
            <charset val="1"/>
          </rPr>
          <t xml:space="preserve">CELG - AGO/18
</t>
        </r>
      </text>
    </comment>
    <comment ref="AE468" authorId="0" shapeId="0" xr:uid="{00000000-0006-0000-0000-000080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9" authorId="0" shapeId="0" xr:uid="{00000000-0006-0000-0000-000093000000}">
      <text>
        <r>
          <rPr>
            <b/>
            <sz val="9"/>
            <color rgb="FF000000"/>
            <rFont val="Tahoma"/>
            <family val="2"/>
            <charset val="1"/>
          </rPr>
          <t>2º TA  COMPOSTO POR CUSTEIO: R$ 5.182.122,44 E PROGRAMA RESIDENCIA MÉDICA R$ 33.805,47</t>
        </r>
      </text>
    </comment>
    <comment ref="AD469" authorId="0" shapeId="0" xr:uid="{00000000-0006-0000-0000-00009F060000}">
      <text>
        <r>
          <rPr>
            <b/>
            <sz val="9"/>
            <color rgb="FF000000"/>
            <rFont val="Tahoma"/>
            <family val="2"/>
            <charset val="1"/>
          </rPr>
          <t xml:space="preserve">CELG - SET/18
</t>
        </r>
      </text>
    </comment>
    <comment ref="AE469" authorId="0" shapeId="0" xr:uid="{00000000-0006-0000-0000-000081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70" authorId="0" shapeId="0" xr:uid="{00000000-0006-0000-0000-000094000000}">
      <text>
        <r>
          <rPr>
            <sz val="11"/>
            <color rgb="FF000000"/>
            <rFont val="Calibri"/>
            <family val="2"/>
            <charset val="1"/>
          </rPr>
          <t xml:space="preserve">PERÍODO DE ATÉ 24/11/2018
 2º TA 
</t>
        </r>
        <r>
          <rPr>
            <sz val="9"/>
            <color rgb="FF000000"/>
            <rFont val="Tahoma"/>
            <family val="2"/>
            <charset val="1"/>
          </rPr>
          <t>COMPOSTO POR CUSTEIO: R$ 4.145.697,95 E PROGRAMA RESIDENCIA MÉDICA R$ 27.044,38</t>
        </r>
      </text>
    </comment>
    <comment ref="H470" authorId="0" shapeId="0" xr:uid="{00000000-0006-0000-0000-0000BB000000}">
      <text>
        <r>
          <rPr>
            <sz val="11"/>
            <color rgb="FF000000"/>
            <rFont val="Calibri"/>
            <family val="2"/>
            <charset val="1"/>
          </rPr>
          <t xml:space="preserve">A partir de 25/11/18
</t>
        </r>
        <r>
          <rPr>
            <sz val="9"/>
            <color rgb="FF000000"/>
            <rFont val="Tahoma"/>
            <family val="2"/>
            <charset val="1"/>
          </rPr>
          <t>R$ 671.188,47 PARCELA CUSTEIO, R$ 365.236,02 Aporte financeiro cobrir estimativa de folha de pagamento de servidores Estatutários cedidos e lotados no HUAPA E R$ 6.761,09 Recurso financeiro custeio Programa Residência Médica.</t>
        </r>
      </text>
    </comment>
    <comment ref="AE470" authorId="0" shapeId="0" xr:uid="{00000000-0006-0000-0000-000082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AO470" authorId="0" shapeId="0" xr:uid="{00000000-0006-0000-0000-000065090000}">
      <text>
        <r>
          <rPr>
            <sz val="9"/>
            <color rgb="FF000000"/>
            <rFont val="Tahoma"/>
            <family val="2"/>
            <charset val="1"/>
          </rPr>
          <t xml:space="preserve">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
</t>
        </r>
      </text>
    </comment>
    <comment ref="H471" authorId="0" shapeId="0" xr:uid="{00000000-0006-0000-0000-0000BC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E471" authorId="0" shapeId="0" xr:uid="{00000000-0006-0000-0000-000083080000}">
      <text>
        <r>
          <rPr>
            <b/>
            <sz val="9"/>
            <color rgb="FF000000"/>
            <rFont val="Tahoma"/>
            <family val="2"/>
            <charset val="1"/>
          </rPr>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r>
      </text>
    </comment>
    <comment ref="AF471" authorId="0" shapeId="0" xr:uid="{00000000-0006-0000-0000-00000E090000}">
      <text>
        <r>
          <rPr>
            <sz val="11"/>
            <color rgb="FF000000"/>
            <rFont val="Calibri"/>
            <family val="2"/>
            <charset val="1"/>
          </rPr>
          <t xml:space="preserve">OP 2015.2850.080.00064.003 - Empenho e Contrato da MNSL - FOI CRÉDITADA NA CONTA DO HUAPA INDEVIDAMENTE.
</t>
        </r>
        <r>
          <rPr>
            <sz val="9"/>
            <color rgb="FF000000"/>
            <rFont val="Tahoma"/>
            <family val="2"/>
            <charset val="1"/>
          </rPr>
          <t>LIQUIDAÇÃO: IGH -MNSL - JULHO/15</t>
        </r>
      </text>
    </comment>
    <comment ref="H472" authorId="0" shapeId="0" xr:uid="{00000000-0006-0000-0000-0000BD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D472" authorId="0" shapeId="0" xr:uid="{00000000-0006-0000-0000-0000A0060000}">
      <text>
        <r>
          <rPr>
            <b/>
            <sz val="9"/>
            <color rgb="FF000000"/>
            <rFont val="Tahoma"/>
            <family val="2"/>
            <charset val="1"/>
          </rPr>
          <t xml:space="preserve">ENEL - DEZ/18
</t>
        </r>
      </text>
    </comment>
    <comment ref="H473" authorId="0" shapeId="0" xr:uid="{00000000-0006-0000-0000-0000BE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H474" authorId="0" shapeId="0" xr:uid="{00000000-0006-0000-0000-0000BF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C474" authorId="0" shapeId="0" xr:uid="{00000000-0006-0000-0000-000004050000}">
      <text>
        <r>
          <rPr>
            <b/>
            <sz val="9"/>
            <color rgb="FF000000"/>
            <rFont val="Tahoma"/>
            <family val="2"/>
            <charset val="1"/>
          </rPr>
          <t>TELEFONIA FIXA -REFERÊNCIA FEV/19 - LANÇADO PLANILHA GEFIC EM FEV/19</t>
        </r>
      </text>
    </comment>
    <comment ref="AD474" authorId="0" shapeId="0" xr:uid="{00000000-0006-0000-0000-0000A1060000}">
      <text>
        <r>
          <rPr>
            <b/>
            <sz val="9"/>
            <color rgb="FF000000"/>
            <rFont val="Tahoma"/>
            <family val="2"/>
            <charset val="1"/>
          </rPr>
          <t xml:space="preserve">REFERÊNCIA JAN/19 - LANÇADO PLANILHA GEFIC EM FEV/19
</t>
        </r>
      </text>
    </comment>
    <comment ref="H475" authorId="0" shapeId="0" xr:uid="{00000000-0006-0000-0000-0000C0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5" authorId="0" shapeId="0" xr:uid="{00000000-0006-0000-0000-000089030000}">
      <text>
        <r>
          <rPr>
            <b/>
            <sz val="9"/>
            <color rgb="FF000000"/>
            <rFont val="Tahoma"/>
            <family val="2"/>
            <charset val="1"/>
          </rPr>
          <t xml:space="preserve">VALOR ESTIMADO PREVISTO CONTRATO GESTÃO. 
</t>
        </r>
      </text>
    </comment>
    <comment ref="AC475" authorId="0" shapeId="0" xr:uid="{00000000-0006-0000-0000-000005050000}">
      <text>
        <r>
          <rPr>
            <b/>
            <sz val="9"/>
            <color rgb="FF000000"/>
            <rFont val="Tahoma"/>
            <family val="2"/>
            <charset val="1"/>
          </rPr>
          <t xml:space="preserve">TELEFONIA FIXA -REFERÊNCIA MAR/19 - LANÇADO PLANILHA GEFIC EM MAR/19
</t>
        </r>
      </text>
    </comment>
    <comment ref="AD475" authorId="0" shapeId="0" xr:uid="{00000000-0006-0000-0000-0000A2060000}">
      <text>
        <r>
          <rPr>
            <b/>
            <sz val="9"/>
            <color rgb="FF000000"/>
            <rFont val="Tahoma"/>
            <family val="2"/>
            <charset val="1"/>
          </rPr>
          <t xml:space="preserve">REFERÊNCIA FEV/19 - LANÇADO PLANILHA GEFIC EM MAR19
</t>
        </r>
      </text>
    </comment>
    <comment ref="H476" authorId="0" shapeId="0" xr:uid="{00000000-0006-0000-0000-0000C1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6" authorId="0" shapeId="0" xr:uid="{00000000-0006-0000-0000-00008A030000}">
      <text>
        <r>
          <rPr>
            <b/>
            <sz val="9"/>
            <color rgb="FF000000"/>
            <rFont val="Tahoma"/>
            <family val="2"/>
            <charset val="1"/>
          </rPr>
          <t xml:space="preserve">VALOR ESTIMADO PREVISTO CONTRATO GESTÃO. 
</t>
        </r>
      </text>
    </comment>
    <comment ref="AC476" authorId="0" shapeId="0" xr:uid="{00000000-0006-0000-0000-000006050000}">
      <text>
        <r>
          <rPr>
            <b/>
            <sz val="9"/>
            <color rgb="FF000000"/>
            <rFont val="Tahoma"/>
            <family val="2"/>
            <charset val="1"/>
          </rPr>
          <t xml:space="preserve">TELEFONIA FIXA -REFERÊNCIA ABR/19 - LANÇADO PLANILHA GEFIC EM ABR/19
</t>
        </r>
      </text>
    </comment>
    <comment ref="AD476" authorId="0" shapeId="0" xr:uid="{00000000-0006-0000-0000-0000A3060000}">
      <text>
        <r>
          <rPr>
            <b/>
            <sz val="9"/>
            <color rgb="FF000000"/>
            <rFont val="Tahoma"/>
            <family val="2"/>
            <charset val="1"/>
          </rPr>
          <t xml:space="preserve">REFERÊNCIA MAR/19 - LANÇADO PLANILHA GEFIC EM ABR/19
</t>
        </r>
      </text>
    </comment>
    <comment ref="H477" authorId="0" shapeId="0" xr:uid="{00000000-0006-0000-0000-0000C2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7" authorId="0" shapeId="0" xr:uid="{00000000-0006-0000-0000-00008B030000}">
      <text>
        <r>
          <rPr>
            <b/>
            <sz val="9"/>
            <color rgb="FF000000"/>
            <rFont val="Tahoma"/>
            <family val="2"/>
            <charset val="1"/>
          </rPr>
          <t xml:space="preserve">VALOR ESTIMADO PREVISTO CONTRATO GESTÃO. 
</t>
        </r>
      </text>
    </comment>
    <comment ref="AC477" authorId="0" shapeId="0" xr:uid="{00000000-0006-0000-0000-000007050000}">
      <text>
        <r>
          <rPr>
            <b/>
            <sz val="9"/>
            <color rgb="FF000000"/>
            <rFont val="Tahoma"/>
            <family val="2"/>
            <charset val="1"/>
          </rPr>
          <t>TELEFONIA FIXA -REFERÊNCIA MAI/19 - LANÇADO PLANILHA GEFIC EM MAI/19</t>
        </r>
      </text>
    </comment>
    <comment ref="AD477" authorId="0" shapeId="0" xr:uid="{00000000-0006-0000-0000-0000A4060000}">
      <text>
        <r>
          <rPr>
            <b/>
            <sz val="9"/>
            <color rgb="FF000000"/>
            <rFont val="Tahoma"/>
            <family val="2"/>
            <charset val="1"/>
          </rPr>
          <t>REFERÊNCIA ABR/19 - LANÇADO PLANILHA GEFIC EM MAI/19</t>
        </r>
      </text>
    </comment>
    <comment ref="H478" authorId="0" shapeId="0" xr:uid="{00000000-0006-0000-0000-0000C3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8" authorId="0" shapeId="0" xr:uid="{00000000-0006-0000-0000-00008C030000}">
      <text>
        <r>
          <rPr>
            <b/>
            <sz val="9"/>
            <color rgb="FF000000"/>
            <rFont val="Tahoma"/>
            <family val="2"/>
            <charset val="1"/>
          </rPr>
          <t xml:space="preserve">VALOR ESTIMADO PREVISTO CONTRATO GESTÃO. 
</t>
        </r>
      </text>
    </comment>
    <comment ref="AC478" authorId="0" shapeId="0" xr:uid="{00000000-0006-0000-0000-000008050000}">
      <text>
        <r>
          <rPr>
            <b/>
            <sz val="9"/>
            <color rgb="FF000000"/>
            <rFont val="Tahoma"/>
            <family val="2"/>
            <charset val="1"/>
          </rPr>
          <t>TELEFONIA FIXA -REFERÊNCIA JUN/19 - LANÇADO PLANILHA GEFIC EM JUN/19</t>
        </r>
      </text>
    </comment>
    <comment ref="AD478" authorId="0" shapeId="0" xr:uid="{00000000-0006-0000-0000-0000A5060000}">
      <text>
        <r>
          <rPr>
            <b/>
            <sz val="9"/>
            <color rgb="FF000000"/>
            <rFont val="Tahoma"/>
            <family val="2"/>
            <charset val="1"/>
          </rPr>
          <t>REFERÊNCIA MAI/19 - LANÇADO PLANILHA GEFIC EM JUN/19</t>
        </r>
      </text>
    </comment>
    <comment ref="H479" authorId="0" shapeId="0" xr:uid="{00000000-0006-0000-0000-0000C4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9" authorId="0" shapeId="0" xr:uid="{00000000-0006-0000-0000-00008D030000}">
      <text>
        <r>
          <rPr>
            <b/>
            <sz val="9"/>
            <color rgb="FF000000"/>
            <rFont val="Tahoma"/>
            <family val="2"/>
            <charset val="1"/>
          </rPr>
          <t xml:space="preserve">VALOR ESTIMADO PREVISTO CONTRATO GESTÃO. 
</t>
        </r>
      </text>
    </comment>
    <comment ref="AC479" authorId="0" shapeId="0" xr:uid="{00000000-0006-0000-0000-000009050000}">
      <text>
        <r>
          <rPr>
            <sz val="11"/>
            <color rgb="FF000000"/>
            <rFont val="Calibri"/>
            <family val="2"/>
            <charset val="1"/>
          </rPr>
          <t xml:space="preserve">TELEFONIA FIXA -REFERÊNCIA JUL/19 - LANÇADO PLANILHA GEFIC EM JUL/19
</t>
        </r>
      </text>
    </comment>
    <comment ref="AD479" authorId="0" shapeId="0" xr:uid="{00000000-0006-0000-0000-0000A6060000}">
      <text>
        <r>
          <rPr>
            <sz val="11"/>
            <color rgb="FF000000"/>
            <rFont val="Calibri"/>
            <family val="2"/>
            <charset val="1"/>
          </rPr>
          <t xml:space="preserve">REFERÊNCIA JUN/19 - LANÇADO PLANILHA PAGAMENTO GEFIC EM JUL/19
</t>
        </r>
      </text>
    </comment>
    <comment ref="H480" authorId="0" shapeId="0" xr:uid="{00000000-0006-0000-0000-0000C5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80" authorId="0" shapeId="0" xr:uid="{00000000-0006-0000-0000-00008E030000}">
      <text>
        <r>
          <rPr>
            <b/>
            <sz val="9"/>
            <color rgb="FF000000"/>
            <rFont val="Tahoma"/>
            <family val="2"/>
            <charset val="1"/>
          </rPr>
          <t xml:space="preserve">VALOR ESTIMADO PREVISTO CONTRATO GESTÃO. 
</t>
        </r>
      </text>
    </comment>
    <comment ref="AC480" authorId="0" shapeId="0" xr:uid="{00000000-0006-0000-0000-00000A050000}">
      <text>
        <r>
          <rPr>
            <sz val="11"/>
            <color rgb="FF000000"/>
            <rFont val="Calibri"/>
            <family val="2"/>
            <charset val="1"/>
          </rPr>
          <t xml:space="preserve">R$ 3.388,48 TELEFONIA FIXA -REFERÊNCIA AGO/19 - LANÇADO PLANILHA GEFIC EM AGO/19;
.
R$ 3.416,04 TELEFONIA FIXA -REFERÊNCIA SET/19 - LANÇADO PLANILHA GEFIC EM SET/19
</t>
        </r>
      </text>
    </comment>
    <comment ref="AD480" authorId="0" shapeId="0" xr:uid="{00000000-0006-0000-0000-0000A7060000}">
      <text>
        <r>
          <rPr>
            <sz val="11"/>
            <color rgb="FF000000"/>
            <rFont val="Calibri"/>
            <family val="2"/>
            <charset val="1"/>
          </rPr>
          <t xml:space="preserve">R$ 45.353,15 ENERGIA - REFERÊNCIA JUL/19 - LANÇADO PLANILHA PAGAMENTO GEFIC EM AGO/19;
.
R$ 47.762,24 ENERGIA - REFERÊNCIA AGO/19 - LANÇADO PLANILHA PAGAMENTO GEFIC EM SET/19.
</t>
        </r>
      </text>
    </comment>
    <comment ref="H481" authorId="0" shapeId="0" xr:uid="{00000000-0006-0000-0000-0000C6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81" authorId="0" shapeId="0" xr:uid="{00000000-0006-0000-0000-00008F030000}">
      <text>
        <r>
          <rPr>
            <b/>
            <sz val="9"/>
            <color rgb="FF000000"/>
            <rFont val="Tahoma"/>
            <family val="2"/>
            <charset val="1"/>
          </rPr>
          <t xml:space="preserve">VALOR ESTIMADO PREVISTO CONTRATO GESTÃO. 
</t>
        </r>
      </text>
    </comment>
    <comment ref="AO481" authorId="0" shapeId="0" xr:uid="{00000000-0006-0000-0000-000066090000}">
      <text>
        <r>
          <rPr>
            <sz val="11"/>
            <color rgb="FF000000"/>
            <rFont val="Calibri"/>
            <family val="2"/>
            <charset val="1"/>
          </rPr>
          <t xml:space="preserve">R$ DIFERENÇA GLOSA DE FOLHA SET/19 LANÇADA NA PLANILHA DE PREVISÃO DE PAGAMENTO OUT/19 DA GEFIC (O PAGAMENTO PASSOU A SER REALIZADO DENTRO DO MÊS DE REFERÊNCIA POR ISSO FOI LANÇADA GLOSA ESTIMADA PREVISTA NO CONTRATO DE GESTÃO)
</t>
        </r>
      </text>
    </comment>
    <comment ref="AU481" authorId="0" shapeId="0" xr:uid="{00000000-0006-0000-0000-0000CB090000}">
      <text>
        <r>
          <rPr>
            <sz val="11"/>
            <color rgb="FF000000"/>
            <rFont val="Calibri"/>
            <family val="2"/>
            <charset val="1"/>
          </rPr>
          <t xml:space="preserve">R$ 329.796,92 RESSARCIMENTO DE VALORES DESPENDIDOS COM ENCARGOS DAS RESCISÕES TRABALHISTAS DO HOSPITAL ESTADUAL DE URGÊNCIAS DE APARECIDA DE GOIÂNIA CAIRO LOUZADA - HUAPA, REFERENTE AOS MESES DE MAIO A DEZEMBRO DE 2017, Processo nº 201800010012561.
</t>
        </r>
        <r>
          <rPr>
            <sz val="9"/>
            <color rgb="FF000000"/>
            <rFont val="Tahoma"/>
            <family val="2"/>
            <charset val="1"/>
          </rPr>
          <t>.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r>
      </text>
    </comment>
    <comment ref="H482" authorId="0" shapeId="0" xr:uid="{00000000-0006-0000-0000-0000C7000000}">
      <text>
        <r>
          <rPr>
            <b/>
            <sz val="9"/>
            <color rgb="FF000000"/>
            <rFont val="Tahoma"/>
            <family val="2"/>
            <charset val="1"/>
          </rPr>
          <t xml:space="preserve">R$ 2.684.753,89 PARCELA CUSTEIO, R$ 1.460.944,06 Aporte financeiro cobrir estimativa de folha de pagamento de servidores Estatutários cedidos e lotados no HUAPA E R$ 27.044,38 Recurso financeiro custeio Programa Residência Médica.
</t>
        </r>
      </text>
    </comment>
    <comment ref="K482" authorId="0" shapeId="0" xr:uid="{00000000-0006-0000-0000-0000D1000000}">
      <text>
        <r>
          <rPr>
            <sz val="11"/>
            <color rgb="FF000000"/>
            <rFont val="Calibri"/>
            <family val="2"/>
            <charset val="1"/>
          </rPr>
          <t xml:space="preserve">vigência 25/11/19 a 24/05/2020
CUSTEIO R$ 1.036.424,49;
RES.MÉDICA R$ 6.761,09
</t>
        </r>
      </text>
    </comment>
    <comment ref="AA482" authorId="0" shapeId="0" xr:uid="{00000000-0006-0000-0000-000090030000}">
      <text>
        <r>
          <rPr>
            <b/>
            <sz val="9"/>
            <color rgb="FF000000"/>
            <rFont val="Tahoma"/>
            <family val="2"/>
            <charset val="1"/>
          </rPr>
          <t xml:space="preserve">VALOR ESTIMADO PREVISTO CONTRATO GESTÃO. 
</t>
        </r>
      </text>
    </comment>
    <comment ref="AC482" authorId="0" shapeId="0" xr:uid="{00000000-0006-0000-0000-00000B050000}">
      <text>
        <r>
          <rPr>
            <sz val="11"/>
            <color rgb="FF000000"/>
            <rFont val="Calibri"/>
            <family val="2"/>
            <charset val="1"/>
          </rPr>
          <t xml:space="preserve">R$ 3.094,62 TELEFONIA FIXA -REFERÊNCIA OUT/19 - LANÇADO PLANILHA GEFIC EM OUT/19;
</t>
        </r>
        <r>
          <rPr>
            <sz val="9"/>
            <color rgb="FF000000"/>
            <rFont val="Tahoma"/>
            <family val="2"/>
            <charset val="1"/>
          </rPr>
          <t>.
R$ 2.536,70 (24 DIAS) TELEFONIA FIXA -REFERÊNCIA NOV/19 - LANÇADO PLANILHA GEFIC EM NOV/19</t>
        </r>
      </text>
    </comment>
    <comment ref="AD482" authorId="0" shapeId="0" xr:uid="{00000000-0006-0000-0000-0000A8060000}">
      <text>
        <r>
          <rPr>
            <sz val="11"/>
            <color rgb="FF000000"/>
            <rFont val="Calibri"/>
            <family val="2"/>
            <charset val="1"/>
          </rPr>
          <t xml:space="preserve">R$ 63.998,82 - ENERGIA - REFERÊNCIA SET/19 - LANÇADO PLANILHA PAGAMENTO GEFIC EM OUT/19;
.
R$ 68.181,18 - ENERGIA - REFERÊNCIA OUT/19 - LANÇADO PLANILHA PAGAMENTO GEFIC EM NOV/19
</t>
        </r>
        <r>
          <rPr>
            <sz val="9"/>
            <color rgb="FF000000"/>
            <rFont val="Tahoma"/>
            <family val="2"/>
            <charset val="1"/>
          </rPr>
          <t>.
R$ 53.059,01 - PARTE ( 24 DIAS) ENERGIA - REFERÊNCIA NOV/19 - LANÇADO PLANILHA PAGAMENTO GEFIC EM DEZ/19
.
R$ 13.264,75 - PARTE ( 6 DIAS) ENERGIA - REFERÊNCIA NOV/19 - LANÇADO PLANILHA PAGAMENTO GEFIC EM DEZ/19</t>
        </r>
      </text>
    </comment>
    <comment ref="AO482" authorId="0" shapeId="0" xr:uid="{00000000-0006-0000-0000-000067090000}">
      <text>
        <r>
          <rPr>
            <sz val="11"/>
            <color rgb="FF000000"/>
            <rFont val="Calibri"/>
            <family val="2"/>
            <charset val="1"/>
          </rPr>
          <t xml:space="preserve">R$ DIFERENÇA GLOSA DE FOLHA OUT/19 LANÇADA NA PLANILHA DE PREVISÃO DE PAGAMENTO NOV/19 DA GEFIC (O PAGAMENTO PASSOU A SER REALIZADO DENTRO DO MÊS DE REFERÊNCIA POR ISSO FOI LANÇADA GLOSA ESTIMADA PREVISTA NO CONTRATO DE GESTÃO)
</t>
        </r>
      </text>
    </comment>
    <comment ref="AU482" authorId="0" shapeId="0" xr:uid="{00000000-0006-0000-0000-0000CC090000}">
      <text>
        <r>
          <rPr>
            <sz val="11"/>
            <color rgb="FF000000"/>
            <rFont val="Calibri"/>
            <family val="2"/>
            <charset val="1"/>
          </rPr>
          <t xml:space="preserve">Processo nº 201800010046584 - RESSARCIMENTO DE VALORES DESPENDIDOS COM ENCAR
GOS DAS RESCISÕES TRABALHISTAS DO HOSPITAL ESTADUAL DE URGÊNCIAS DE APARECID
A DE GOIÂNIA CAIRO LOUZADA - HUAPA, REFERENTE AOS MESES DE JULHO, AGOSTO E S
ETEMBRO DE 2018.
</t>
        </r>
        <r>
          <rPr>
            <sz val="9"/>
            <color rgb="FF000000"/>
            <rFont val="Tahoma"/>
            <family val="2"/>
            <charset val="1"/>
          </rPr>
          <t xml:space="preserve">
</t>
        </r>
      </text>
    </comment>
    <comment ref="K483" authorId="0" shapeId="0" xr:uid="{00000000-0006-0000-0000-0000D2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C483" authorId="0" shapeId="0" xr:uid="{00000000-0006-0000-0000-00000C050000}">
      <text>
        <r>
          <rPr>
            <sz val="11"/>
            <color rgb="FF000000"/>
            <rFont val="Calibri"/>
            <family val="2"/>
            <charset val="1"/>
          </rPr>
          <t xml:space="preserve">R$ 528,48 (6 DIAS) PARTE TELEFONIA FIXA -REFERÊNCIA NOV/19 - LANÇADO PLANILHA GEFIC EM DEZ/19 (PLANILHA DEZ/19 FOI RETIFICADA- ALTERANDO O VALOR PARA 650,04.
</t>
        </r>
        <r>
          <rPr>
            <sz val="9"/>
            <color rgb="FF000000"/>
            <rFont val="Tahoma"/>
            <family val="2"/>
            <charset val="1"/>
          </rPr>
          <t>.
R$ 3.250,19 TELEFONIA FIXA -REFERÊNCIA DEZ/19 - LANÇADO PLANILHA GEFIC EM DEZ/19</t>
        </r>
      </text>
    </comment>
    <comment ref="K484" authorId="0" shapeId="0" xr:uid="{00000000-0006-0000-0000-0000D3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4" authorId="0" shapeId="0" xr:uid="{00000000-0006-0000-0000-000091030000}">
      <text>
        <r>
          <rPr>
            <b/>
            <sz val="9"/>
            <color rgb="FF000000"/>
            <rFont val="Tahoma"/>
            <family val="2"/>
            <charset val="1"/>
          </rPr>
          <t xml:space="preserve">VALOR ESTIMADO PREVISTO CONTRATO GESTÃO. 
</t>
        </r>
      </text>
    </comment>
    <comment ref="AC484" authorId="0" shapeId="0" xr:uid="{00000000-0006-0000-0000-00000D050000}">
      <text>
        <r>
          <rPr>
            <b/>
            <sz val="9"/>
            <color rgb="FF000000"/>
            <rFont val="Tahoma"/>
            <family val="2"/>
            <charset val="1"/>
          </rPr>
          <t>R$ 121,56 (6 DIAS) RESTANTE TELEFONIA FIXA -REFERÊNCIA NOV/19 - LANÇADO PLANILHA GEFIC EM DEZ/19 (PLANILHA DEZ/19 FOI RETIFICADA- ALTERANDO O VALOR PARA 650,04.
.
R$ 3.213,25TELEFONIA FIXA -REFERÊNCIA JAN/20 - LANÇADO PLANILHA GEFIC EM JAN/20</t>
        </r>
      </text>
    </comment>
    <comment ref="AD484" authorId="0" shapeId="0" xr:uid="{00000000-0006-0000-0000-0000A9060000}">
      <text>
        <r>
          <rPr>
            <sz val="11"/>
            <color rgb="FF000000"/>
            <rFont val="Calibri"/>
            <family val="2"/>
            <charset val="1"/>
          </rPr>
          <t xml:space="preserve">ENERGIA - REFERÊNCIA DEZ/19 - LANÇADO PLANILHA PAGAMENTO GEFIC EM JAN/20
</t>
        </r>
      </text>
    </comment>
    <comment ref="K485" authorId="0" shapeId="0" xr:uid="{00000000-0006-0000-0000-0000D4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5" authorId="0" shapeId="0" xr:uid="{00000000-0006-0000-0000-000092030000}">
      <text>
        <r>
          <rPr>
            <b/>
            <sz val="9"/>
            <color rgb="FF000000"/>
            <rFont val="Tahoma"/>
            <family val="2"/>
            <charset val="1"/>
          </rPr>
          <t xml:space="preserve">VALOR ESTIMADO PREVISTO CONTRATO GESTÃO. 
</t>
        </r>
      </text>
    </comment>
    <comment ref="AD485" authorId="0" shapeId="0" xr:uid="{00000000-0006-0000-0000-0000AA060000}">
      <text>
        <r>
          <rPr>
            <sz val="11"/>
            <color rgb="FF000000"/>
            <rFont val="Calibri"/>
            <family val="2"/>
            <charset val="1"/>
          </rPr>
          <t xml:space="preserve">ESTIMATIVA JAN/20
</t>
        </r>
      </text>
    </comment>
    <comment ref="K486" authorId="0" shapeId="0" xr:uid="{00000000-0006-0000-0000-0000D5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6" authorId="0" shapeId="0" xr:uid="{00000000-0006-0000-0000-000093030000}">
      <text>
        <r>
          <rPr>
            <b/>
            <sz val="9"/>
            <color rgb="FF000000"/>
            <rFont val="Tahoma"/>
            <family val="2"/>
            <charset val="1"/>
          </rPr>
          <t xml:space="preserve">VALOR ESTIMADO PREVISTO CONTRATO GESTÃO. 
</t>
        </r>
      </text>
    </comment>
    <comment ref="AD486" authorId="0" shapeId="0" xr:uid="{00000000-0006-0000-0000-0000AB060000}">
      <text>
        <r>
          <rPr>
            <sz val="11"/>
            <color rgb="FF000000"/>
            <rFont val="Calibri"/>
            <family val="2"/>
            <charset val="1"/>
          </rPr>
          <t xml:space="preserve">ENERGIA - REFERÊNCIA FEV20 - LANÇADO PLANILHA PAGAMENTO GEFIC EM MAR/20
</t>
        </r>
      </text>
    </comment>
    <comment ref="AO486" authorId="0" shapeId="0" xr:uid="{00000000-0006-0000-0000-000068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486" authorId="0" shapeId="0" xr:uid="{00000000-0006-0000-0000-0000CD090000}">
      <text>
        <r>
          <rPr>
            <sz val="11"/>
            <color rgb="FF000000"/>
            <rFont val="Calibri"/>
            <family val="2"/>
            <charset val="1"/>
          </rPr>
          <t xml:space="preserve">R$ 34.845,41 - RESSARCIMENTO DE VALORES DESPENDIDOS COM ENCAR GOS DAS RESCISÕES TRABALHISTAS DO HOSPITAL ESTADUAL DE URGÊNCIAS DE APARECID A DE GOIÂNIA CAIRO LOUZADA - HUAPA, REFERENTE AO MÊS DE AGOSTO DE 2019, 201900010037720.
</t>
        </r>
        <r>
          <rPr>
            <sz val="9"/>
            <color rgb="FF000000"/>
            <rFont val="Tahoma"/>
            <family val="2"/>
            <charset val="1"/>
          </rPr>
          <t>.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r>
      </text>
    </comment>
    <comment ref="K487" authorId="0" shapeId="0" xr:uid="{00000000-0006-0000-0000-0000D6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7" authorId="0" shapeId="0" xr:uid="{00000000-0006-0000-0000-000094030000}">
      <text>
        <r>
          <rPr>
            <b/>
            <sz val="9"/>
            <color rgb="FF000000"/>
            <rFont val="Tahoma"/>
            <family val="2"/>
            <charset val="1"/>
          </rPr>
          <t xml:space="preserve">VALOR ESTIMADO PREVISTO CONTRATO GESTÃO. 
</t>
        </r>
      </text>
    </comment>
    <comment ref="AD487" authorId="0" shapeId="0" xr:uid="{00000000-0006-0000-0000-0000AC060000}">
      <text>
        <r>
          <rPr>
            <sz val="11"/>
            <color rgb="FF000000"/>
            <rFont val="Calibri"/>
            <family val="2"/>
            <charset val="1"/>
          </rPr>
          <t xml:space="preserve">ESTIMATIVA FEV20
</t>
        </r>
      </text>
    </comment>
    <comment ref="AU487" authorId="0" shapeId="0" xr:uid="{00000000-0006-0000-0000-0000CE090000}">
      <text>
        <r>
          <rPr>
            <sz val="11"/>
            <color rgb="FF000000"/>
            <rFont val="Calibri"/>
            <family val="2"/>
            <charset val="1"/>
          </rPr>
          <t xml:space="preserve">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
</t>
        </r>
      </text>
    </comment>
    <comment ref="K488" authorId="0" shapeId="0" xr:uid="{00000000-0006-0000-0000-0000D7000000}">
      <text>
        <r>
          <rPr>
            <sz val="11"/>
            <color rgb="FF000000"/>
            <rFont val="Calibri"/>
            <family val="2"/>
            <charset val="1"/>
          </rPr>
          <t xml:space="preserve">vigência 25/11/19 a 24/05/2020
CUSTEIO R$ 4.145.697,95;
RES.MÉDICA R$ 27.044,38.
</t>
        </r>
        <r>
          <rPr>
            <sz val="9"/>
            <color rgb="FF000000"/>
            <rFont val="Tahoma"/>
            <family val="2"/>
            <charset val="1"/>
          </rPr>
          <t xml:space="preserve">
</t>
        </r>
      </text>
    </comment>
    <comment ref="O488" authorId="0" shapeId="0" xr:uid="{00000000-0006-0000-0000-000024010000}">
      <text>
        <r>
          <rPr>
            <sz val="11"/>
            <color rgb="FF000000"/>
            <rFont val="Calibri"/>
            <family val="2"/>
            <charset val="1"/>
          </rPr>
          <t xml:space="preserve">Vigência 25-05-20 a 24-05-2
.
</t>
        </r>
        <r>
          <rPr>
            <sz val="9"/>
            <color rgb="FF000000"/>
            <rFont val="Segoe UI"/>
            <family val="2"/>
            <charset val="1"/>
          </rPr>
          <t>CUSTEIO.........1.166.383,79
.
RESID.MÉDICA.........7.148,05</t>
        </r>
      </text>
    </comment>
    <comment ref="Z488" authorId="0" shapeId="0" xr:uid="{00000000-0006-0000-0000-000073020000}">
      <text>
        <r>
          <rPr>
            <sz val="11"/>
            <color rgb="FF000000"/>
            <rFont val="Calibri"/>
            <family val="2"/>
            <charset val="1"/>
          </rPr>
          <t xml:space="preserve">R$ 1.261.692,96- GLOSA DE FOLHA ABR/20 LANÇADA NA PLANILHA DE PREVISÃO DE PAGAMENTO MAI/20 DA GAOS
</t>
        </r>
        <r>
          <rPr>
            <sz val="9"/>
            <color rgb="FF000000"/>
            <rFont val="Segoe UI"/>
            <family val="2"/>
            <charset val="1"/>
          </rPr>
          <t>.
R$ 243.298,08- EXAME IMAGINOLOGIA</t>
        </r>
      </text>
    </comment>
    <comment ref="AD488" authorId="0" shapeId="0" xr:uid="{00000000-0006-0000-0000-0000AD060000}">
      <text>
        <r>
          <rPr>
            <sz val="11"/>
            <color rgb="FF000000"/>
            <rFont val="Calibri"/>
            <family val="2"/>
            <charset val="1"/>
          </rPr>
          <t xml:space="preserve">REFERÊNCIA ABR/20 - LANÇADO PLANILHA PAGAMENTO GEFIC EM MAI/20
</t>
        </r>
      </text>
    </comment>
    <comment ref="AW488" authorId="0" shapeId="0" xr:uid="{00000000-0006-0000-0000-00002E0A0000}">
      <text>
        <r>
          <rPr>
            <sz val="11"/>
            <color rgb="FF000000"/>
            <rFont val="Calibri"/>
            <family val="2"/>
            <charset val="1"/>
          </rPr>
          <t xml:space="preserve">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
</t>
        </r>
      </text>
    </comment>
    <comment ref="O489" authorId="0" shapeId="0" xr:uid="{00000000-0006-0000-0000-000025010000}">
      <text>
        <r>
          <rPr>
            <sz val="11"/>
            <color rgb="FF000000"/>
            <rFont val="Calibri"/>
            <family val="2"/>
            <charset val="1"/>
          </rPr>
          <t xml:space="preserve">.
CUSTEIO.........5.831.918,97
.
RESID.MÉDICA.........35.740,25
</t>
        </r>
      </text>
    </comment>
    <comment ref="Z489" authorId="0" shapeId="0" xr:uid="{00000000-0006-0000-0000-000074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A489" authorId="0" shapeId="0" xr:uid="{00000000-0006-0000-0000-000095030000}">
      <text>
        <r>
          <rPr>
            <sz val="11"/>
            <color rgb="FF000000"/>
            <rFont val="Calibri"/>
            <family val="2"/>
            <charset val="1"/>
          </rPr>
          <t xml:space="preserve">ESTIMADO
</t>
        </r>
      </text>
    </comment>
    <comment ref="AD489" authorId="0" shapeId="0" xr:uid="{00000000-0006-0000-0000-0000AE060000}">
      <text>
        <r>
          <rPr>
            <sz val="11"/>
            <color rgb="FF000000"/>
            <rFont val="Calibri"/>
            <family val="2"/>
            <charset val="1"/>
          </rPr>
          <t xml:space="preserve">ENERGIA - REFERÊNCIA MAI/20 - LANÇADO PLANILHA PAGAMENTO GEFIC EM JUN/20
</t>
        </r>
      </text>
    </comment>
    <comment ref="AU489" authorId="0" shapeId="0" xr:uid="{00000000-0006-0000-0000-0000CF090000}">
      <text>
        <r>
          <rPr>
            <sz val="11"/>
            <color rgb="FF000000"/>
            <rFont val="Calibri"/>
            <family val="2"/>
            <charset val="1"/>
          </rPr>
          <t xml:space="preserve">R$ 31.521,55 - PROCES-SO 202000010015602 - RESSARCIMENTO RESCISÕES TRABALHISTAS MÊS MARÇO DE 2020 - UNIDADE HUAPA 
.
R$ 240.055,35 - PROC Nº 201900010028124 - RESSARCIMENTO RESCISÕES TRABALHISTAS - REF.AOS MESES DE MAIO A JUNHO DE 2019 - UNIDADE HUAPA 
</t>
        </r>
      </text>
    </comment>
    <comment ref="AW489" authorId="0" shapeId="0" xr:uid="{00000000-0006-0000-0000-00002F0A0000}">
      <text>
        <r>
          <rPr>
            <sz val="11"/>
            <color rgb="FF000000"/>
            <rFont val="Calibri"/>
            <family val="2"/>
            <charset val="1"/>
          </rPr>
          <t xml:space="preserve">INVESTIMENTO PARA ADEQUAÇÃO DAS INSTALAÇÕES DE PREVENÇÃO E COM-BATE A INCÊNDIO. COMPONDO, INCLUSIVE, EXIGÊNCIA DA SECRE-TARIA DE REGULAÇÃO URBANA E RURAL DIRETORIA DE FISCALIZA-ÇÃO DA PREFEITURA DE APARECIDA DE GOIÂNIA. (PROCESSO SEI 201900010031407 )
</t>
        </r>
      </text>
    </comment>
    <comment ref="O490" authorId="0" shapeId="0" xr:uid="{00000000-0006-0000-0000-000026010000}">
      <text>
        <r>
          <rPr>
            <sz val="11"/>
            <color rgb="FF000000"/>
            <rFont val="Calibri"/>
            <family val="2"/>
            <charset val="1"/>
          </rPr>
          <t xml:space="preserve">.
CUSTEIO.........5.831.918,97
.
RESID.MÉDICA.........35.740,25
</t>
        </r>
      </text>
    </comment>
    <comment ref="AA490" authorId="0" shapeId="0" xr:uid="{00000000-0006-0000-0000-000096030000}">
      <text>
        <r>
          <rPr>
            <sz val="11"/>
            <color rgb="FF000000"/>
            <rFont val="Calibri"/>
            <family val="2"/>
            <charset val="1"/>
          </rPr>
          <t xml:space="preserve">ESTIMADO
</t>
        </r>
      </text>
    </comment>
    <comment ref="AD490" authorId="0" shapeId="0" xr:uid="{00000000-0006-0000-0000-0000AF060000}">
      <text>
        <r>
          <rPr>
            <sz val="11"/>
            <color rgb="FF000000"/>
            <rFont val="Calibri"/>
            <family val="2"/>
            <charset val="1"/>
          </rPr>
          <t xml:space="preserve">ENERGIA - REFERÊNCIA JUN/20 - LANÇADO PLANILHA PAGAMENTO GEFIC EM JUL/20
</t>
        </r>
      </text>
    </comment>
    <comment ref="AO490" authorId="0" shapeId="0" xr:uid="{00000000-0006-0000-0000-000069090000}">
      <text>
        <r>
          <rPr>
            <b/>
            <sz val="9"/>
            <color rgb="FF000000"/>
            <rFont val="Segoe UI"/>
            <family val="2"/>
            <charset val="1"/>
          </rPr>
          <t>DIFERENÇA ENTRE O ESTIMADO E O APLICADO DA FOLHA REFERÊNCIA JUN/20 - LANÇADO PLANILHA PAGAMENTO GEFIC EM JUL/20</t>
        </r>
      </text>
    </comment>
    <comment ref="AU490" authorId="0" shapeId="0" xr:uid="{00000000-0006-0000-0000-0000D0090000}">
      <text>
        <r>
          <rPr>
            <sz val="9"/>
            <color rgb="FF000000"/>
            <rFont val="Segoe UI"/>
            <family val="2"/>
            <charset val="1"/>
          </rPr>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r>
      </text>
    </comment>
    <comment ref="AW490" authorId="0" shapeId="0" xr:uid="{00000000-0006-0000-0000-0000300A0000}">
      <text>
        <r>
          <rPr>
            <sz val="11"/>
            <color rgb="FF000000"/>
            <rFont val="Calibri"/>
            <family val="2"/>
            <charset val="1"/>
          </rPr>
          <t xml:space="preserve">PROC.201900010046725 - ITENS 1Licença de Uso Perpétuas E 
3 Implantação do Cloud HUAPA 
</t>
        </r>
      </text>
    </comment>
    <comment ref="O491" authorId="0" shapeId="0" xr:uid="{00000000-0006-0000-0000-000027010000}">
      <text>
        <r>
          <rPr>
            <sz val="11"/>
            <color rgb="FF000000"/>
            <rFont val="Calibri"/>
            <family val="2"/>
            <charset val="1"/>
          </rPr>
          <t xml:space="preserve">.
CUSTEIO.........5.831.918,97
.
RESID.MÉDICA.........35.740,25
</t>
        </r>
      </text>
    </comment>
    <comment ref="Z491" authorId="0" shapeId="0" xr:uid="{00000000-0006-0000-0000-000075020000}">
      <text>
        <r>
          <rPr>
            <b/>
            <sz val="9"/>
            <color rgb="FF000000"/>
            <rFont val="Segoe UI"/>
            <family val="2"/>
            <charset val="1"/>
          </rPr>
          <t xml:space="preserve">FOLHA - REFERÊNCIA JUL/20 - LANÇADO PLANILHA PAGAMENTO GEFIC EM AGO/20.
</t>
        </r>
      </text>
    </comment>
    <comment ref="AA491" authorId="0" shapeId="0" xr:uid="{00000000-0006-0000-0000-000097030000}">
      <text>
        <r>
          <rPr>
            <b/>
            <sz val="9"/>
            <color rgb="FF000000"/>
            <rFont val="Segoe UI"/>
            <family val="2"/>
            <charset val="1"/>
          </rPr>
          <t xml:space="preserve">FOLHA - REFERÊNCIA JUL/20 - LANÇADO PLANILHA PAGAMENTO GEFIC EM AGO/20.
</t>
        </r>
      </text>
    </comment>
    <comment ref="AC491" authorId="0" shapeId="0" xr:uid="{00000000-0006-0000-0000-00000E050000}">
      <text>
        <r>
          <rPr>
            <sz val="11"/>
            <color rgb="FF000000"/>
            <rFont val="Calibri"/>
            <family val="2"/>
            <charset val="1"/>
          </rPr>
          <t xml:space="preserve">OI - REFERÊNCIA AGO/20 - LANÇADO PLANILHA PAGAMENTO GEFIC EM AGO/20
</t>
        </r>
      </text>
    </comment>
    <comment ref="AD491" authorId="0" shapeId="0" xr:uid="{00000000-0006-0000-0000-0000B0060000}">
      <text>
        <r>
          <rPr>
            <sz val="11"/>
            <color rgb="FF000000"/>
            <rFont val="Calibri"/>
            <family val="2"/>
            <charset val="1"/>
          </rPr>
          <t xml:space="preserve">ENERGIA - REFERÊNCIA JUL/20 - LANÇADO PLANILHA PAGAMENTO GEFIC EM AGO/20
</t>
        </r>
      </text>
    </comment>
    <comment ref="O492" authorId="0" shapeId="0" xr:uid="{00000000-0006-0000-0000-000028010000}">
      <text>
        <r>
          <rPr>
            <sz val="11"/>
            <color rgb="FF000000"/>
            <rFont val="Calibri"/>
            <family val="2"/>
            <charset val="1"/>
          </rPr>
          <t xml:space="preserve">.
CUSTEIO.........5.831.918,97
.
RESID.MÉDICA.........35.740,25
</t>
        </r>
      </text>
    </comment>
    <comment ref="Z492" authorId="0" shapeId="0" xr:uid="{00000000-0006-0000-0000-000076020000}">
      <text>
        <r>
          <rPr>
            <b/>
            <sz val="9"/>
            <color rgb="FF000000"/>
            <rFont val="Segoe UI"/>
            <family val="2"/>
            <charset val="1"/>
          </rPr>
          <t xml:space="preserve">FOLHA - REFERÊNCIA AGO/20 - LANÇADO PLANILHA PAGAMENTO GEFIC EM SET/20.
</t>
        </r>
      </text>
    </comment>
    <comment ref="AA492" authorId="0" shapeId="0" xr:uid="{00000000-0006-0000-0000-000098030000}">
      <text>
        <r>
          <rPr>
            <b/>
            <sz val="9"/>
            <color rgb="FF000000"/>
            <rFont val="Segoe UI"/>
            <family val="2"/>
            <charset val="1"/>
          </rPr>
          <t xml:space="preserve">FOLHA - REFERÊNCIA AGO/20 - LANÇADO PLANILHA PAGAMENTO GEFIC EM SET/20.
</t>
        </r>
      </text>
    </comment>
    <comment ref="AC492" authorId="0" shapeId="0" xr:uid="{00000000-0006-0000-0000-00000F050000}">
      <text>
        <r>
          <rPr>
            <sz val="11"/>
            <color rgb="FF000000"/>
            <rFont val="Calibri"/>
            <family val="2"/>
            <charset val="1"/>
          </rPr>
          <t xml:space="preserve">OI - REFERÊNCIA SET/20 - LANÇADO PLANILHA PAGAMENTO GEFIC EM SET/20
</t>
        </r>
      </text>
    </comment>
    <comment ref="AD492" authorId="0" shapeId="0" xr:uid="{00000000-0006-0000-0000-0000B1060000}">
      <text>
        <r>
          <rPr>
            <sz val="11"/>
            <color rgb="FF000000"/>
            <rFont val="Calibri"/>
            <family val="2"/>
            <charset val="1"/>
          </rPr>
          <t xml:space="preserve">ENERGIA - REFERÊNCIA AGO/20 - LANÇADO PLANILHA PAGAMENTO GEFIC EM SET/20
</t>
        </r>
      </text>
    </comment>
    <comment ref="O493" authorId="0" shapeId="0" xr:uid="{00000000-0006-0000-0000-000029010000}">
      <text>
        <r>
          <rPr>
            <sz val="11"/>
            <color rgb="FF000000"/>
            <rFont val="Calibri"/>
            <family val="2"/>
            <charset val="1"/>
          </rPr>
          <t xml:space="preserve">.
CUSTEIO.........5.831.918,97
.
RESID.MÉDICA.........35.740,25
</t>
        </r>
      </text>
    </comment>
    <comment ref="Z493" authorId="0" shapeId="0" xr:uid="{00000000-0006-0000-0000-000077020000}">
      <text>
        <r>
          <rPr>
            <b/>
            <sz val="9"/>
            <color rgb="FF000000"/>
            <rFont val="Segoe UI"/>
            <family val="2"/>
            <charset val="1"/>
          </rPr>
          <t xml:space="preserve">FOLHA - REFERÊNCIA SET/20 - LANÇADO PLANILHA PAGAMENTO GEFIC EM OUT/20 
</t>
        </r>
      </text>
    </comment>
    <comment ref="AA493" authorId="0" shapeId="0" xr:uid="{00000000-0006-0000-0000-000099030000}">
      <text>
        <r>
          <rPr>
            <b/>
            <sz val="9"/>
            <color rgb="FF000000"/>
            <rFont val="Segoe UI"/>
            <family val="2"/>
            <charset val="1"/>
          </rPr>
          <t xml:space="preserve">FOLHA - REFERÊNCIA SET/20 - LANÇADO PLANILHA PAGAMENTO GEFIC EM OUT/20 
</t>
        </r>
      </text>
    </comment>
    <comment ref="AC493" authorId="0" shapeId="0" xr:uid="{00000000-0006-0000-0000-000010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93" authorId="0" shapeId="0" xr:uid="{00000000-0006-0000-0000-0000B2060000}">
      <text>
        <r>
          <rPr>
            <sz val="11"/>
            <color rgb="FF000000"/>
            <rFont val="Calibri"/>
            <family val="2"/>
            <charset val="1"/>
          </rPr>
          <t xml:space="preserve">ENERGIA - REFERÊNCIA SET/20 - LANÇADO PLANILHA PAGAMENTO GEFIC EM OUT/20
</t>
        </r>
      </text>
    </comment>
    <comment ref="O494" authorId="0" shapeId="0" xr:uid="{00000000-0006-0000-0000-00002A010000}">
      <text>
        <r>
          <rPr>
            <sz val="11"/>
            <color rgb="FF000000"/>
            <rFont val="Calibri"/>
            <family val="2"/>
            <charset val="1"/>
          </rPr>
          <t xml:space="preserve">.
CUSTEIO.........5.831.918,97
.
RESID.MÉDICA.........35.740,25
</t>
        </r>
      </text>
    </comment>
    <comment ref="Z494" authorId="0" shapeId="0" xr:uid="{00000000-0006-0000-0000-000078020000}">
      <text>
        <r>
          <rPr>
            <b/>
            <sz val="9"/>
            <color rgb="FF000000"/>
            <rFont val="Segoe UI"/>
            <family val="2"/>
            <charset val="1"/>
          </rPr>
          <t xml:space="preserve">FOLHA - REFERÊNCIA OUT/20 - LANÇADO PLANILHA PAGAMENTO GEFIC EM NOV/20.
</t>
        </r>
      </text>
    </comment>
    <comment ref="AA494" authorId="0" shapeId="0" xr:uid="{00000000-0006-0000-0000-00009A030000}">
      <text>
        <r>
          <rPr>
            <b/>
            <sz val="9"/>
            <color rgb="FF000000"/>
            <rFont val="Segoe UI"/>
            <family val="2"/>
            <charset val="1"/>
          </rPr>
          <t xml:space="preserve">FOLHA - REFERÊNCIA OUT/20 - LANÇADO PLANILHA PAGAMENTO GEFIC EM NOV/20.
</t>
        </r>
      </text>
    </comment>
    <comment ref="AC494" authorId="0" shapeId="0" xr:uid="{00000000-0006-0000-0000-000011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94" authorId="0" shapeId="0" xr:uid="{00000000-0006-0000-0000-0000B3060000}">
      <text>
        <r>
          <rPr>
            <sz val="11"/>
            <color rgb="FF000000"/>
            <rFont val="Calibri"/>
            <family val="2"/>
            <charset val="1"/>
          </rPr>
          <t xml:space="preserve">ENERGIA - REFERÊNCIA OUT/20 - LANÇADO PLANILHA PAGAMENTO GEFIC EM NOV/20
</t>
        </r>
      </text>
    </comment>
    <comment ref="O495" authorId="0" shapeId="0" xr:uid="{00000000-0006-0000-0000-00002B010000}">
      <text>
        <r>
          <rPr>
            <sz val="11"/>
            <color rgb="FF000000"/>
            <rFont val="Calibri"/>
            <family val="2"/>
            <charset val="1"/>
          </rPr>
          <t xml:space="preserve">.
CUSTEIO.........5.831.918,97
.
RESID.MÉDICA.........35.740,25
</t>
        </r>
      </text>
    </comment>
    <comment ref="Z495" authorId="0" shapeId="0" xr:uid="{00000000-0006-0000-0000-000079020000}">
      <text>
        <r>
          <rPr>
            <b/>
            <sz val="9"/>
            <color rgb="FF000000"/>
            <rFont val="Segoe UI"/>
            <family val="2"/>
            <charset val="1"/>
          </rPr>
          <t xml:space="preserve">FOLHA - REFERÊNCIA NOV/20 - LANÇADO PLANILHA PAGAMENTO GEFIC EM DEZ/20.
</t>
        </r>
      </text>
    </comment>
    <comment ref="AA495" authorId="0" shapeId="0" xr:uid="{00000000-0006-0000-0000-00009B030000}">
      <text>
        <r>
          <rPr>
            <b/>
            <sz val="9"/>
            <color rgb="FF000000"/>
            <rFont val="Segoe UI"/>
            <family val="2"/>
            <charset val="1"/>
          </rPr>
          <t xml:space="preserve">FOLHA - REFERÊNCIA NOV/20 - LANÇADO PLANILHA PAGAMENTO GEFIC EM DEZ/20.
</t>
        </r>
      </text>
    </comment>
    <comment ref="AC495" authorId="0" shapeId="0" xr:uid="{00000000-0006-0000-0000-000012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95" authorId="0" shapeId="0" xr:uid="{00000000-0006-0000-0000-0000B4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AW495" authorId="0" shapeId="0" xr:uid="{00000000-0006-0000-0000-0000310A0000}">
      <text>
        <r>
          <rPr>
            <sz val="11"/>
            <color rgb="FF000000"/>
            <rFont val="Calibri"/>
            <family val="2"/>
            <charset val="1"/>
          </rPr>
          <t xml:space="preserve"> PROCESSO SEI 201900010043751 . AQUISIÇÃO DE MOBILIÁRIOS E EQUIPAMENTOS HOSPITALARES DESTINADOS AO HOSPITAL ESTADUAL DE URGÊNCIAS DE APARECIDA DE GOIÂNIA CAIO LOUZADA – HUAPA
</t>
        </r>
        <r>
          <rPr>
            <sz val="9"/>
            <color rgb="FF000000"/>
            <rFont val="Tahoma"/>
            <family val="2"/>
            <charset val="1"/>
          </rPr>
          <t xml:space="preserve">
</t>
        </r>
      </text>
    </comment>
    <comment ref="O496" authorId="0" shapeId="0" xr:uid="{00000000-0006-0000-0000-00002C010000}">
      <text>
        <r>
          <rPr>
            <sz val="11"/>
            <color rgb="FF000000"/>
            <rFont val="Calibri"/>
            <family val="2"/>
            <charset val="1"/>
          </rPr>
          <t xml:space="preserve">.
CUSTEIO.........5.831.918,97
.
RESID.MÉDICA.........35.740,25
</t>
        </r>
      </text>
    </comment>
    <comment ref="Z496" authorId="0" shapeId="0" xr:uid="{00000000-0006-0000-0000-00007A020000}">
      <text>
        <r>
          <rPr>
            <sz val="11"/>
            <color rgb="FF000000"/>
            <rFont val="Calibri"/>
            <family val="2"/>
            <charset val="1"/>
          </rPr>
          <t xml:space="preserve">FOLHA - REFERÊNCIA DEZ/20- LANÇADO PLANILHA PAGAMENTO GEFIC EM JAN/21.
</t>
        </r>
      </text>
    </comment>
    <comment ref="AA496" authorId="0" shapeId="0" xr:uid="{00000000-0006-0000-0000-00009C030000}">
      <text>
        <r>
          <rPr>
            <sz val="11"/>
            <color rgb="FF000000"/>
            <rFont val="Calibri"/>
            <family val="2"/>
            <charset val="1"/>
          </rPr>
          <t xml:space="preserve">FOLHA - REFERÊNCIA DEZ/20- LANÇADO PLANILHA PAGAMENTO GEFIC EM JAN/21.
</t>
        </r>
      </text>
    </comment>
    <comment ref="AC496" authorId="0" shapeId="0" xr:uid="{00000000-0006-0000-0000-000013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O497" authorId="0" shapeId="0" xr:uid="{00000000-0006-0000-0000-00002D010000}">
      <text>
        <r>
          <rPr>
            <sz val="11"/>
            <color rgb="FF000000"/>
            <rFont val="Calibri"/>
            <family val="2"/>
            <charset val="1"/>
          </rPr>
          <t xml:space="preserve">.
CUSTEIO.........5.831.918,97
.
RESID.MÉDICA.........35.740,25
</t>
        </r>
      </text>
    </comment>
    <comment ref="Z497" authorId="0" shapeId="0" xr:uid="{00000000-0006-0000-0000-00007B020000}">
      <text>
        <r>
          <rPr>
            <sz val="11"/>
            <color rgb="FF000000"/>
            <rFont val="Calibri"/>
            <family val="2"/>
            <charset val="1"/>
          </rPr>
          <t xml:space="preserve">FOLHA - REFERÊNCIA JAN/21- LANÇADO PLANILHA PAGAMENTO GEFIC EM FEV/21.
</t>
        </r>
      </text>
    </comment>
    <comment ref="AA497" authorId="0" shapeId="0" xr:uid="{00000000-0006-0000-0000-00009D030000}">
      <text>
        <r>
          <rPr>
            <sz val="11"/>
            <color rgb="FF000000"/>
            <rFont val="Calibri"/>
            <family val="2"/>
            <charset val="1"/>
          </rPr>
          <t xml:space="preserve">FOLHA - REFERÊNCIA JAN/21- LANÇADO PLANILHA PAGAMENTO GEFIC EM FEV/21.
</t>
        </r>
      </text>
    </comment>
    <comment ref="AC497" authorId="0" shapeId="0" xr:uid="{00000000-0006-0000-0000-000014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97" authorId="0" shapeId="0" xr:uid="{00000000-0006-0000-0000-0000B5060000}">
      <text>
        <r>
          <rPr>
            <sz val="11"/>
            <color rgb="FF000000"/>
            <rFont val="Calibri"/>
            <family val="2"/>
            <charset val="1"/>
          </rPr>
          <t xml:space="preserve">CELG JAN/21 LANÇADO NA PLANILHA DE FEV/21
</t>
        </r>
      </text>
    </comment>
    <comment ref="O498" authorId="0" shapeId="0" xr:uid="{00000000-0006-0000-0000-00002E010000}">
      <text>
        <r>
          <rPr>
            <sz val="11"/>
            <color rgb="FF000000"/>
            <rFont val="Calibri"/>
            <family val="2"/>
            <charset val="1"/>
          </rPr>
          <t xml:space="preserve">.
CUSTEIO.........5.831.918,97
.
RESID.MÉDICA.........35.740,25
</t>
        </r>
      </text>
    </comment>
    <comment ref="Z498" authorId="0" shapeId="0" xr:uid="{00000000-0006-0000-0000-00007C020000}">
      <text>
        <r>
          <rPr>
            <sz val="11"/>
            <color rgb="FF000000"/>
            <rFont val="Calibri"/>
            <family val="2"/>
            <charset val="1"/>
          </rPr>
          <t xml:space="preserve">FOLHA - REFERÊNCIA FEV/21- LANÇADO PLANILHA PAGAMENTO GEFIC EM MAR/21.
</t>
        </r>
      </text>
    </comment>
    <comment ref="AA498" authorId="0" shapeId="0" xr:uid="{00000000-0006-0000-0000-00009E030000}">
      <text>
        <r>
          <rPr>
            <sz val="11"/>
            <color rgb="FF000000"/>
            <rFont val="Calibri"/>
            <family val="2"/>
            <charset val="1"/>
          </rPr>
          <t xml:space="preserve">FOLHA - REFERÊNCIA FEV/21- LANÇADO PLANILHA PAGAMENTO GEFIC EM MAR/21.
</t>
        </r>
      </text>
    </comment>
    <comment ref="AC498" authorId="0" shapeId="0" xr:uid="{00000000-0006-0000-0000-000015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98" authorId="0" shapeId="0" xr:uid="{00000000-0006-0000-0000-0000B6060000}">
      <text>
        <r>
          <rPr>
            <sz val="11"/>
            <color rgb="FF000000"/>
            <rFont val="Calibri"/>
            <family val="2"/>
            <charset val="1"/>
          </rPr>
          <t xml:space="preserve">CELG FEV/21 LANÇADO NA PLANILHA DE MAR/21
</t>
        </r>
      </text>
    </comment>
    <comment ref="AU498" authorId="0" shapeId="0" xr:uid="{00000000-0006-0000-0000-0000D1090000}">
      <text>
        <r>
          <rPr>
            <sz val="11"/>
            <color rgb="FF000000"/>
            <rFont val="Calibri"/>
            <family val="2"/>
            <charset val="1"/>
          </rPr>
          <t xml:space="preserve">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
</t>
        </r>
      </text>
    </comment>
    <comment ref="AW498" authorId="0" shapeId="0" xr:uid="{00000000-0006-0000-0000-0000320A0000}">
      <text>
        <r>
          <rPr>
            <b/>
            <sz val="9"/>
            <color rgb="FF000000"/>
            <rFont val="Tahoma"/>
            <family val="2"/>
            <charset val="1"/>
          </rPr>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r>
      </text>
    </comment>
    <comment ref="O499" authorId="0" shapeId="0" xr:uid="{00000000-0006-0000-0000-00002F010000}">
      <text>
        <r>
          <rPr>
            <sz val="11"/>
            <color rgb="FF000000"/>
            <rFont val="Calibri"/>
            <family val="2"/>
            <charset val="1"/>
          </rPr>
          <t xml:space="preserve">.
CUSTEIO.........5.831.918,97
.
RESID.MÉDICA.........35.740,25
</t>
        </r>
      </text>
    </comment>
    <comment ref="Z499" authorId="0" shapeId="0" xr:uid="{00000000-0006-0000-0000-00007D020000}">
      <text>
        <r>
          <rPr>
            <sz val="11"/>
            <color rgb="FF000000"/>
            <rFont val="Calibri"/>
            <family val="2"/>
            <charset val="1"/>
          </rPr>
          <t xml:space="preserve">FOLHA - REFERÊNCIA MAR/21- LANÇADO PLANILHA PAGAMENTO GEFIC EM ABR/21.
</t>
        </r>
      </text>
    </comment>
    <comment ref="AA499" authorId="0" shapeId="0" xr:uid="{00000000-0006-0000-0000-00009F030000}">
      <text>
        <r>
          <rPr>
            <sz val="11"/>
            <color rgb="FF000000"/>
            <rFont val="Calibri"/>
            <family val="2"/>
            <charset val="1"/>
          </rPr>
          <t xml:space="preserve">FOLHA - REFERÊNCIA MAR/21- LANÇADO PLANILHA PAGAMENTO GEFIC EM ABR/21.
</t>
        </r>
      </text>
    </comment>
    <comment ref="AC499" authorId="0" shapeId="0" xr:uid="{00000000-0006-0000-0000-000016050000}">
      <text>
        <r>
          <rPr>
            <sz val="11"/>
            <color rgb="FF000000"/>
            <rFont val="Calibri"/>
            <family val="2"/>
            <charset val="1"/>
          </rPr>
          <t xml:space="preserve">OI - REFERÊNCIA ABR/21 - LANÇADO PLANILHA PAGAMENTO GEFIC EM ABR/21
</t>
        </r>
      </text>
    </comment>
    <comment ref="AD499" authorId="0" shapeId="0" xr:uid="{00000000-0006-0000-0000-0000B7060000}">
      <text>
        <r>
          <rPr>
            <sz val="11"/>
            <color rgb="FF000000"/>
            <rFont val="Calibri"/>
            <family val="2"/>
            <charset val="1"/>
          </rPr>
          <t xml:space="preserve">CELG MAR/21 LANÇADO NA PLANILHA DE ABR/21
</t>
        </r>
      </text>
    </comment>
    <comment ref="AW499" authorId="0" shapeId="0" xr:uid="{00000000-0006-0000-0000-0000330A0000}">
      <text>
        <r>
          <rPr>
            <sz val="11"/>
            <color rgb="FF000000"/>
            <rFont val="Calibri"/>
            <family val="2"/>
            <charset val="1"/>
          </rPr>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r>
      </text>
    </comment>
    <comment ref="O500" authorId="0" shapeId="0" xr:uid="{00000000-0006-0000-0000-000030010000}">
      <text>
        <r>
          <rPr>
            <sz val="11"/>
            <color rgb="FF000000"/>
            <rFont val="Calibri"/>
            <family val="2"/>
            <charset val="1"/>
          </rPr>
          <t xml:space="preserve">Vigência 25-05-20 a 24-05-2
.
</t>
        </r>
        <r>
          <rPr>
            <sz val="9"/>
            <color rgb="FF000000"/>
            <rFont val="Segoe UI"/>
            <family val="2"/>
            <charset val="1"/>
          </rPr>
          <t>CUSTEIO.........4.665.535,18
.
RESID.MÉDICA.........28.592,20</t>
        </r>
      </text>
    </comment>
    <comment ref="Z500" authorId="0" shapeId="0" xr:uid="{00000000-0006-0000-0000-00007E020000}">
      <text>
        <r>
          <rPr>
            <sz val="11"/>
            <color rgb="FF000000"/>
            <rFont val="Calibri"/>
            <family val="2"/>
            <charset val="1"/>
          </rPr>
          <t xml:space="preserve">FOLHA - REFERÊNCIA ABR/21- LANÇADO PLANILHA PAGAMENTO GEFIC EM MAI/21.
</t>
        </r>
      </text>
    </comment>
    <comment ref="AA500" authorId="0" shapeId="0" xr:uid="{00000000-0006-0000-0000-0000A0030000}">
      <text>
        <r>
          <rPr>
            <sz val="11"/>
            <color rgb="FF000000"/>
            <rFont val="Calibri"/>
            <family val="2"/>
            <charset val="1"/>
          </rPr>
          <t xml:space="preserve">FOLHA - REFERÊNCIA ABR/21- LANÇADO PLANILHA PAGAMENTO GEFIC EM MAI/21.
</t>
        </r>
      </text>
    </comment>
    <comment ref="AC500" authorId="0" shapeId="0" xr:uid="{00000000-0006-0000-0000-000017050000}">
      <text>
        <r>
          <rPr>
            <sz val="11"/>
            <color rgb="FF000000"/>
            <rFont val="Calibri"/>
            <family val="2"/>
            <charset val="1"/>
          </rPr>
          <t xml:space="preserve">OI - REFERÊNCIA MAI/21 - LANÇADO PLANILHA PAGAMENTO GEFIC EM MAI/21
</t>
        </r>
      </text>
    </comment>
    <comment ref="AD500" authorId="0" shapeId="0" xr:uid="{00000000-0006-0000-0000-0000B8060000}">
      <text>
        <r>
          <rPr>
            <sz val="11"/>
            <color rgb="FF000000"/>
            <rFont val="Calibri"/>
            <family val="2"/>
            <charset val="1"/>
          </rPr>
          <t xml:space="preserve">CELG ABR/21 LANÇADO NA PLANILHA DE MAI/21
</t>
        </r>
      </text>
    </comment>
    <comment ref="AX500" authorId="0" shapeId="0" xr:uid="{00000000-0006-0000-0000-00009B0A0000}">
      <text>
        <r>
          <rPr>
            <sz val="11"/>
            <color rgb="FF000000"/>
            <rFont val="Calibri"/>
            <family val="2"/>
            <charset val="1"/>
          </rPr>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r>
      </text>
    </comment>
    <comment ref="AX501" authorId="0" shapeId="0" xr:uid="{00000000-0006-0000-0000-00009C0A0000}">
      <text>
        <r>
          <rPr>
            <sz val="11"/>
            <color rgb="FF000000"/>
            <rFont val="Calibri"/>
            <family val="2"/>
            <charset val="1"/>
          </rPr>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t>
        </r>
        <r>
          <rPr>
            <sz val="9"/>
            <color rgb="FF000000"/>
            <rFont val="Tahoma"/>
            <family val="2"/>
            <charset val="1"/>
          </rPr>
          <t xml:space="preserve">.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r>
      </text>
    </comment>
    <comment ref="AX502" authorId="0" shapeId="0" xr:uid="{00000000-0006-0000-0000-00009D0A0000}">
      <text>
        <r>
          <rPr>
            <sz val="9"/>
            <color rgb="FF000000"/>
            <rFont val="Tahoma"/>
            <family val="2"/>
            <charset val="1"/>
          </rPr>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r>
      </text>
    </comment>
    <comment ref="AX503" authorId="0" shapeId="0" xr:uid="{00000000-0006-0000-0000-00009E0A0000}">
      <text>
        <r>
          <rPr>
            <sz val="11"/>
            <color rgb="FF000000"/>
            <rFont val="Calibri"/>
            <family val="2"/>
            <charset val="1"/>
          </rPr>
          <t xml:space="preserve">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
</t>
        </r>
      </text>
    </comment>
    <comment ref="AX504" authorId="0" shapeId="0" xr:uid="{00000000-0006-0000-0000-00009F0A0000}">
      <text>
        <r>
          <rPr>
            <b/>
            <sz val="9"/>
            <color rgb="FF000000"/>
            <rFont val="Segoe UI"/>
            <family val="2"/>
            <charset val="1"/>
          </rPr>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r>
      </text>
    </comment>
    <comment ref="AE509" authorId="0" shapeId="0" xr:uid="{00000000-0006-0000-0000-000084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0" authorId="0" shapeId="0" xr:uid="{00000000-0006-0000-0000-000085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1" authorId="0" shapeId="0" xr:uid="{00000000-0006-0000-0000-000086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2" authorId="0" shapeId="0" xr:uid="{00000000-0006-0000-0000-000087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U513" authorId="0" shapeId="0" xr:uid="{00000000-0006-0000-0000-0000D2090000}">
      <text>
        <r>
          <rPr>
            <sz val="11"/>
            <color rgb="FF000000"/>
            <rFont val="Calibri"/>
            <family val="2"/>
            <charset val="1"/>
          </rPr>
          <t xml:space="preserve">PAGAMENTO REFERENTE AO REEMBOLSO DE DESPESAS DECORRENTES DE RESCISÕES TRABAL
HISTA DE COLABORADORES DA UNIDADE/HDT, NOS TERMOS PREVISTOS NO ITEM 8.7 e 8.
7.1 DO 5º TERMO ADITIVO AO CONTRATO DE GESTÃO Nº091/2012 e CONFORME DESPACHO
Nº333/2017-SCAGES/SES E DESPACHO Nº1750/2017 - SGPF/SES FLS.212 E 213 NO P
ROC.201700010011891.
</t>
        </r>
        <r>
          <rPr>
            <sz val="9"/>
            <color rgb="FF000000"/>
            <rFont val="Segoe UI"/>
            <family val="2"/>
            <charset val="1"/>
          </rPr>
          <t xml:space="preserve">
</t>
        </r>
      </text>
    </comment>
    <comment ref="AD517" authorId="0" shapeId="0" xr:uid="{00000000-0006-0000-0000-0000B9060000}">
      <text>
        <r>
          <rPr>
            <b/>
            <sz val="9"/>
            <color rgb="FF000000"/>
            <rFont val="Tahoma"/>
            <family val="2"/>
            <charset val="1"/>
          </rPr>
          <t xml:space="preserve">GLOSA REF.AO FORNECIMENTO EM SET/17.
</t>
        </r>
      </text>
    </comment>
    <comment ref="AQ517" authorId="0" shapeId="0" xr:uid="{00000000-0006-0000-0000-000085090000}">
      <text>
        <r>
          <rPr>
            <sz val="11"/>
            <color rgb="FF000000"/>
            <rFont val="Calibri"/>
            <family val="2"/>
            <charset val="1"/>
          </rPr>
          <t xml:space="preserve">parte da suspensão glosa folha no montante de 4.012.019,91, conf.documentos proc.201700010005020 Despacho 3267 GAB ses autorizando a restituição.
</t>
        </r>
        <r>
          <rPr>
            <sz val="9"/>
            <color rgb="FF000000"/>
            <rFont val="Tahoma"/>
            <family val="2"/>
            <charset val="1"/>
          </rPr>
          <t>OBS: LANÇADO NA PLANILHA DA GEFIC A FOLHA DE NOV/17 É  O VALOR DE 1.663.570,95</t>
        </r>
      </text>
    </comment>
    <comment ref="AD518" authorId="0" shapeId="0" xr:uid="{00000000-0006-0000-0000-0000BA060000}">
      <text>
        <r>
          <rPr>
            <b/>
            <sz val="9"/>
            <color rgb="FF000000"/>
            <rFont val="Tahoma"/>
            <family val="2"/>
            <charset val="1"/>
          </rPr>
          <t>GLOSA REF.AO FORNECIMENTO EM OUT/17.</t>
        </r>
      </text>
    </comment>
    <comment ref="AQ518" authorId="0" shapeId="0" xr:uid="{00000000-0006-0000-0000-000086090000}">
      <text>
        <r>
          <rPr>
            <b/>
            <sz val="9"/>
            <color rgb="FF000000"/>
            <rFont val="Tahoma"/>
            <family val="2"/>
            <charset val="1"/>
          </rPr>
          <t>parte da suspensão glosa folha no montante de 4.012.019,91 conf.documentos proc.201700010005020.Despacho 3267 GAB ses autorizando a restituição.
OBS: LANÇADO NA PLANILHA DA GEFIC A FOLHA DE DEZ/17 É  O VALOR DE 1.676.212,91</t>
        </r>
      </text>
    </comment>
    <comment ref="AD519" authorId="0" shapeId="0" xr:uid="{00000000-0006-0000-0000-0000BB060000}">
      <text>
        <r>
          <rPr>
            <b/>
            <sz val="9"/>
            <color rgb="FF000000"/>
            <rFont val="Tahoma"/>
            <family val="2"/>
            <charset val="1"/>
          </rPr>
          <t xml:space="preserve">CELG - DEZ/17
</t>
        </r>
      </text>
    </comment>
    <comment ref="AO519" authorId="0" shapeId="0" xr:uid="{00000000-0006-0000-0000-00006A090000}">
      <text>
        <r>
          <rPr>
            <b/>
            <sz val="9"/>
            <color rgb="FF000000"/>
            <rFont val="Segoe UI"/>
            <family val="2"/>
            <charset val="1"/>
          </rPr>
          <t>Restante da restituição glosa folha no montante de 4.012.019,91 conf.documentos proc.201700010005020.Despacho 3267 GAB .lançada na planilha de previsão de repasse JAN de 2018, o valor de R$ 672.236,05</t>
        </r>
      </text>
    </comment>
    <comment ref="AQ519" authorId="0" shapeId="0" xr:uid="{00000000-0006-0000-0000-000087090000}">
      <text>
        <r>
          <rPr>
            <b/>
            <sz val="9"/>
            <color rgb="FF000000"/>
            <rFont val="Segoe UI"/>
            <family val="2"/>
            <charset val="1"/>
          </rPr>
          <t>Restante da suspensão glosa folha no montante de 4.012.019,91 conf.documentos proc.201700010005020.Despacho 3267 GAB .lançada na planilha de previsão de repasse JAN de 2018, o valor de R$ 672.236,05</t>
        </r>
      </text>
    </comment>
    <comment ref="AC520" authorId="0" shapeId="0" xr:uid="{00000000-0006-0000-0000-000018050000}">
      <text>
        <r>
          <rPr>
            <sz val="9"/>
            <color rgb="FF000000"/>
            <rFont val="Tahoma"/>
            <family val="2"/>
            <charset val="1"/>
          </rPr>
          <t xml:space="preserve">OI FEV/18
</t>
        </r>
      </text>
    </comment>
    <comment ref="AD520" authorId="0" shapeId="0" xr:uid="{00000000-0006-0000-0000-0000BC060000}">
      <text>
        <r>
          <rPr>
            <b/>
            <sz val="9"/>
            <color rgb="FF000000"/>
            <rFont val="Tahoma"/>
            <family val="2"/>
            <charset val="1"/>
          </rPr>
          <t xml:space="preserve">CELG - JANEIRO/18
</t>
        </r>
      </text>
    </comment>
    <comment ref="AW521" authorId="0" shapeId="0" xr:uid="{00000000-0006-0000-0000-0000340A0000}">
      <text>
        <r>
          <rPr>
            <b/>
            <sz val="9"/>
            <color rgb="FF000000"/>
            <rFont val="Tahoma"/>
            <family val="2"/>
            <charset val="1"/>
          </rPr>
          <t xml:space="preserve">NVESTIMENTO, PARA AQUISIÇÃO DE EQUIPAMENTO MÉDICO-HOSPITALAR , VISANDO A AQUISIÇÃO DE (02) TERMODESINFECTADORES PARA O HOSPITAL ESTADUAL DE DOENÇAS TROPICAIS DR. ANUAR AUAD ¿ HDT. PROC.201700010027195
</t>
        </r>
      </text>
    </comment>
    <comment ref="AD522" authorId="0" shapeId="0" xr:uid="{00000000-0006-0000-0000-0000BD060000}">
      <text>
        <r>
          <rPr>
            <sz val="11"/>
            <color rgb="FF000000"/>
            <rFont val="Calibri"/>
            <family val="2"/>
            <charset val="1"/>
          </rPr>
          <t xml:space="preserve">CELG LANÇADA NA PLANILHA DE ABR/18:
.
MARÇO A AGOSTO/2017............R$ 187.797,30
MARÇO/18...................................R$ 38.738,22
</t>
        </r>
      </text>
    </comment>
    <comment ref="AD523" authorId="0" shapeId="0" xr:uid="{00000000-0006-0000-0000-0000BE060000}">
      <text>
        <r>
          <rPr>
            <b/>
            <sz val="9"/>
            <color rgb="FF000000"/>
            <rFont val="Tahoma"/>
            <family val="2"/>
            <charset val="1"/>
          </rPr>
          <t>CELG - ABRIL/2018</t>
        </r>
      </text>
    </comment>
    <comment ref="P524" authorId="0" shapeId="0" xr:uid="{00000000-0006-0000-0000-000069010000}">
      <text>
        <r>
          <rPr>
            <b/>
            <sz val="9"/>
            <color rgb="FF000000"/>
            <rFont val="Tahoma"/>
            <family val="2"/>
            <charset val="1"/>
          </rPr>
          <t xml:space="preserve">A PARTIR DE 28/06/18:
PRORROGAÇÃO 680.139,20; RESIDENCIA MÉDICA R$ 6.734,10; APORTE OPERACIONALIZAÇÃO DO PROJETO ESPECIAL  MAIS SAUDE PARA TODOS GOIANOS 173.514,37 + PARC. PROJETO MAI/18 57.838,10
</t>
        </r>
      </text>
    </comment>
    <comment ref="AD524" authorId="0" shapeId="0" xr:uid="{00000000-0006-0000-0000-0000BF060000}">
      <text>
        <r>
          <rPr>
            <sz val="11"/>
            <color rgb="FF000000"/>
            <rFont val="Calibri"/>
            <family val="2"/>
            <charset val="1"/>
          </rPr>
          <t xml:space="preserve">CELG MAIO/18 - LANÇADO NA PLANILHA JUN/18
</t>
        </r>
      </text>
    </comment>
    <comment ref="AU524" authorId="0" shapeId="0" xr:uid="{00000000-0006-0000-0000-0000D3090000}">
      <text>
        <r>
          <rPr>
            <b/>
            <sz val="9"/>
            <color rgb="FF000000"/>
            <rFont val="Tahoma"/>
            <family val="2"/>
            <charset val="1"/>
          </rPr>
          <t xml:space="preserve">PROC. 201700010018332 - RESSARCIMENTO RESCISÕES TRABALHISTA DE MARÇO A SETEMBRO DE 2017. 
</t>
        </r>
      </text>
    </comment>
    <comment ref="P525" authorId="0" shapeId="0" xr:uid="{00000000-0006-0000-0000-00006A010000}">
      <text>
        <r>
          <rPr>
            <sz val="11"/>
            <color rgb="FF000000"/>
            <rFont val="Calibri"/>
            <family val="2"/>
            <charset val="1"/>
          </rPr>
          <t xml:space="preserve">
PRORROGAÇÃO 4.834.708,80; 
APORTE DE FOLHA 1.966.683,20; 
RECOMPOSIÇÃO DESEQUILIBRIO ACUMULADO 6.511.861,98 ; 
RESSARCIMENTO DESCONTO DE FOLHA PESSOAL SERVIDOR ESTATUTÁRIO CEDIDO 287.747,30;
RESIDENCIA MÉDICA R$ 67.341,03; 
APORTE OPERACIONALIZAÇÃO DO PROJETO ESPECIAL  MAIS SAUDE PARA TODOS GOIANOS 173.514,37 
</t>
        </r>
        <r>
          <rPr>
            <sz val="9"/>
            <color rgb="FF000000"/>
            <rFont val="Tahoma"/>
            <family val="2"/>
            <charset val="1"/>
          </rPr>
          <t>*INVESTIMENTO AQUISIÇÃO INSTRUMENTAIS CIRURGICOS PARA OPERACIONALIZAÇÃO DO PROJETO MAIS SAUDE PAGA TODOS GOIANOS R$ 13.790,40</t>
        </r>
      </text>
    </comment>
    <comment ref="AE525" authorId="0" shapeId="0" xr:uid="{00000000-0006-0000-0000-000088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6" authorId="0" shapeId="0" xr:uid="{00000000-0006-0000-0000-00006B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6" authorId="0" shapeId="0" xr:uid="{00000000-0006-0000-0000-0000C0060000}">
      <text>
        <r>
          <rPr>
            <b/>
            <sz val="9"/>
            <color rgb="FF000000"/>
            <rFont val="Tahoma"/>
            <family val="2"/>
            <charset val="1"/>
          </rPr>
          <t xml:space="preserve">CELG - JUL/2018
</t>
        </r>
      </text>
    </comment>
    <comment ref="AE526" authorId="0" shapeId="0" xr:uid="{00000000-0006-0000-0000-000089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7" authorId="0" shapeId="0" xr:uid="{00000000-0006-0000-0000-00006C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7" authorId="0" shapeId="0" xr:uid="{00000000-0006-0000-0000-0000C1060000}">
      <text>
        <r>
          <rPr>
            <b/>
            <sz val="9"/>
            <color rgb="FF000000"/>
            <rFont val="Tahoma"/>
            <family val="2"/>
            <charset val="1"/>
          </rPr>
          <t xml:space="preserve">CELG - AGO/18
</t>
        </r>
      </text>
    </comment>
    <comment ref="AE527" authorId="0" shapeId="0" xr:uid="{00000000-0006-0000-0000-00008A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8" authorId="0" shapeId="0" xr:uid="{00000000-0006-0000-0000-00006D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8" authorId="0" shapeId="0" xr:uid="{00000000-0006-0000-0000-0000C2060000}">
      <text>
        <r>
          <rPr>
            <b/>
            <sz val="9"/>
            <color rgb="FF000000"/>
            <rFont val="Tahoma"/>
            <family val="2"/>
            <charset val="1"/>
          </rPr>
          <t xml:space="preserve">CELG - SET/18
</t>
        </r>
      </text>
    </comment>
    <comment ref="AE528" authorId="0" shapeId="0" xr:uid="{00000000-0006-0000-0000-00008B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t>
        </r>
        <r>
          <rPr>
            <b/>
            <sz val="9"/>
            <color rgb="FF000000"/>
            <rFont val="Tahoma"/>
            <family val="2"/>
            <charset val="1"/>
          </rPr>
          <t>, CONFORME ABAIXO:
.
REFERENCIA......VALOR PREVISTO............VALOR REALIZADO............VALOR DIFERENÇA/GLOSA
OUT/18.................173.514,37...........................14.170,34.................................159.344,03</t>
        </r>
      </text>
    </comment>
    <comment ref="P529" authorId="0" shapeId="0" xr:uid="{00000000-0006-0000-0000-00006E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29" authorId="0" shapeId="0" xr:uid="{00000000-0006-0000-0000-0000A1030000}">
      <text>
        <r>
          <rPr>
            <b/>
            <sz val="9"/>
            <color rgb="FF000000"/>
            <rFont val="Tahoma"/>
            <family val="2"/>
            <charset val="1"/>
          </rPr>
          <t xml:space="preserve">GLOSA ESTIMADA NÃO VEIO PLANILHA DA GEFIC - 14-12-18
</t>
        </r>
      </text>
    </comment>
    <comment ref="AC529" authorId="0" shapeId="0" xr:uid="{00000000-0006-0000-0000-000019050000}">
      <text>
        <r>
          <rPr>
            <b/>
            <sz val="9"/>
            <color rgb="FF000000"/>
            <rFont val="Tahoma"/>
            <family val="2"/>
            <charset val="1"/>
          </rPr>
          <t xml:space="preserve">GLOSA ESTIMADA NÃO VEIO PLANILHA DA GEFIC - 14-12-18
</t>
        </r>
      </text>
    </comment>
    <comment ref="AD529" authorId="0" shapeId="0" xr:uid="{00000000-0006-0000-0000-0000C3060000}">
      <text>
        <r>
          <rPr>
            <b/>
            <sz val="9"/>
            <color rgb="FF000000"/>
            <rFont val="Tahoma"/>
            <family val="2"/>
            <charset val="1"/>
          </rPr>
          <t xml:space="preserve">GLOSA ESTIMADA NÃO VEIO PLANILHA DA GEFIC - 14-12-18
</t>
        </r>
      </text>
    </comment>
    <comment ref="AE529" authorId="0" shapeId="0" xr:uid="{00000000-0006-0000-0000-00008C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r>
      </text>
    </comment>
    <comment ref="AP529" authorId="0" shapeId="0" xr:uid="{00000000-0006-0000-0000-000082090000}">
      <text>
        <r>
          <rPr>
            <sz val="11"/>
            <color rgb="FF000000"/>
            <rFont val="Calibri"/>
            <family val="2"/>
            <charset val="1"/>
          </rPr>
          <t xml:space="preserve">DIFERENÇA PAGO A MAIOR  ISTO QUE HOUVE LIQUIDAÇÃO COM GLOSA ESTIMADA NÃO VEIO PLANILHA DA GEFIC - 14-12-18  EM JAN/19 A GEFIC ENCAMINHOU PLANILHA AO AJUSTAR O VALOR GEROU A DIFERENÇA A MAIOR ( FOI APLICADA A GLOSA NO MÊS DE DEZ/18)
</t>
        </r>
        <r>
          <rPr>
            <sz val="9"/>
            <color rgb="FF000000"/>
            <rFont val="Tahoma"/>
            <family val="2"/>
            <charset val="1"/>
          </rPr>
          <t xml:space="preserve">
</t>
        </r>
      </text>
    </comment>
    <comment ref="P530" authorId="0" shapeId="0" xr:uid="{00000000-0006-0000-0000-00006F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30" authorId="0" shapeId="0" xr:uid="{00000000-0006-0000-0000-0000A2030000}">
      <text>
        <r>
          <rPr>
            <b/>
            <sz val="9"/>
            <color rgb="FF000000"/>
            <rFont val="Tahoma"/>
            <family val="2"/>
            <charset val="1"/>
          </rPr>
          <t xml:space="preserve">GLOSA ESTIMADA NÃO VEIO PLANILHA DA GEFIC - 14-12-18
</t>
        </r>
      </text>
    </comment>
    <comment ref="AC530" authorId="0" shapeId="0" xr:uid="{00000000-0006-0000-0000-00001A050000}">
      <text>
        <r>
          <rPr>
            <b/>
            <sz val="9"/>
            <color rgb="FF000000"/>
            <rFont val="Tahoma"/>
            <family val="2"/>
            <charset val="1"/>
          </rPr>
          <t xml:space="preserve">GLOSA ESTIMADA NÃO VEIO PLANILHA DA GEFIC - 14-12-18
</t>
        </r>
      </text>
    </comment>
    <comment ref="AD530" authorId="0" shapeId="0" xr:uid="{00000000-0006-0000-0000-0000C4060000}">
      <text>
        <r>
          <rPr>
            <b/>
            <sz val="9"/>
            <color rgb="FF000000"/>
            <rFont val="Tahoma"/>
            <family val="2"/>
            <charset val="1"/>
          </rPr>
          <t xml:space="preserve">GLOSA ESTIMADA NÃO VEIO PLANILHA DA GEFIC - 14-12-18
</t>
        </r>
      </text>
    </comment>
    <comment ref="AE530" authorId="0" shapeId="0" xr:uid="{00000000-0006-0000-0000-00008D080000}">
      <text>
        <r>
          <rPr>
            <sz val="11"/>
            <color rgb="FF000000"/>
            <rFont val="Calibri"/>
            <family val="2"/>
            <charset val="1"/>
          </rPr>
          <t xml:space="preserve">AJUSTE FINANCEIRO POR NÃO CUMPRIMENTO DE METAS:R$ 120.302,12
</t>
        </r>
        <r>
          <rPr>
            <sz val="9"/>
            <color rgb="FF000000"/>
            <rFont val="Tahoma"/>
            <family val="2"/>
            <charset val="1"/>
          </rPr>
          <t xml:space="preserve">PROC.201700010027807 - PERIODO DE JULHO A DEZ/16 721.812,73  (DIVIDIDO EM 6 PARCELA DE </t>
        </r>
        <r>
          <rPr>
            <b/>
            <sz val="9"/>
            <color rgb="FF000000"/>
            <rFont val="Tahoma"/>
            <family val="2"/>
            <charset val="1"/>
          </rPr>
          <t>R$ 120.302,12</t>
        </r>
        <r>
          <rPr>
            <sz val="9"/>
            <color rgb="FF000000"/>
            <rFont val="Tahoma"/>
            <family val="2"/>
            <charset val="1"/>
          </rPr>
          <t xml:space="preserve">)  CONF.PARECER TÉCNICO Nº 025/2017 - COMACG/SES -GO E MEMO 2667/2018 SEI - SGPF - 03079
.
</t>
        </r>
        <r>
          <rPr>
            <b/>
            <sz val="9"/>
            <color rgb="FF000000"/>
            <rFont val="Tahoma"/>
            <family val="2"/>
            <charset val="1"/>
          </rPr>
          <t>R$ 432.309,46:</t>
        </r>
        <r>
          <rPr>
            <sz val="9"/>
            <color rgb="FF000000"/>
            <rFont val="Tahoma"/>
            <family val="2"/>
            <charset val="1"/>
          </rPr>
          <t xml:space="preserve">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
NO ENCONTRO DE CONTAS SALDO A SER GLOSADO DA OS..................R$ 432.309,46)
.
</t>
        </r>
        <r>
          <rPr>
            <b/>
            <sz val="9"/>
            <color rgb="FF000000"/>
            <rFont val="Tahoma"/>
            <family val="2"/>
            <charset val="1"/>
          </rPr>
          <t xml:space="preserve">R$ 28.801,00 </t>
        </r>
        <r>
          <rPr>
            <sz val="9"/>
            <color rgb="FF000000"/>
            <rFont val="Tahoma"/>
            <family val="2"/>
            <charset val="1"/>
          </rPr>
          <t>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t>
        </r>
      </text>
    </comment>
    <comment ref="P531" authorId="0" shapeId="0" xr:uid="{00000000-0006-0000-0000-000070010000}">
      <text>
        <r>
          <rPr>
            <b/>
            <sz val="9"/>
            <color rgb="FF000000"/>
            <rFont val="Tahoma"/>
            <family val="2"/>
            <charset val="1"/>
          </rPr>
          <t xml:space="preserve">PRORROGAÇÃO 4.834.708,80; 
APORTE DE FOLHA 1.966.683,20; 
RESIDENCIA MÉDICA R$ 67.341,03; 
</t>
        </r>
      </text>
    </comment>
    <comment ref="AD531" authorId="0" shapeId="0" xr:uid="{00000000-0006-0000-0000-0000C5060000}">
      <text>
        <r>
          <rPr>
            <b/>
            <sz val="9"/>
            <color rgb="FF000000"/>
            <rFont val="Tahoma"/>
            <family val="2"/>
            <charset val="1"/>
          </rPr>
          <t xml:space="preserve">ENEL - DEZ/18
</t>
        </r>
      </text>
    </comment>
    <comment ref="P532" authorId="0" shapeId="0" xr:uid="{00000000-0006-0000-0000-000071010000}">
      <text>
        <r>
          <rPr>
            <b/>
            <sz val="9"/>
            <color rgb="FF000000"/>
            <rFont val="Tahoma"/>
            <family val="2"/>
            <charset val="1"/>
          </rPr>
          <t xml:space="preserve">PRORROGAÇÃO 4.834.708,80; 
APORTE DE FOLHA 1.966.683,20; 
RESIDENCIA MÉDICA R$ 67.341,03; 
</t>
        </r>
      </text>
    </comment>
    <comment ref="P533" authorId="0" shapeId="0" xr:uid="{00000000-0006-0000-0000-000072010000}">
      <text>
        <r>
          <rPr>
            <b/>
            <sz val="9"/>
            <color rgb="FF000000"/>
            <rFont val="Tahoma"/>
            <family val="2"/>
            <charset val="1"/>
          </rPr>
          <t xml:space="preserve">PRORROGAÇÃO 4.834.708,80; 
APORTE DE FOLHA 1.966.683,20; 
RESIDENCIA MÉDICA R$ 67.341,03; 
</t>
        </r>
      </text>
    </comment>
    <comment ref="AA533" authorId="0" shapeId="0" xr:uid="{00000000-0006-0000-0000-0000A3030000}">
      <text>
        <r>
          <rPr>
            <b/>
            <sz val="9"/>
            <color rgb="FF000000"/>
            <rFont val="Tahoma"/>
            <family val="2"/>
            <charset val="1"/>
          </rPr>
          <t xml:space="preserve">VALOR ESTIMADO PREVISTO CONTRATO GESTÃO.
</t>
        </r>
      </text>
    </comment>
    <comment ref="AC533" authorId="0" shapeId="0" xr:uid="{00000000-0006-0000-0000-00001B050000}">
      <text>
        <r>
          <rPr>
            <b/>
            <sz val="9"/>
            <color rgb="FF000000"/>
            <rFont val="Tahoma"/>
            <family val="2"/>
            <charset val="1"/>
          </rPr>
          <t>TELEFONIA FIXA -REFERÊNCIA FEV/19 - LANÇADO PLANILHA GEFIC EM FEV/19</t>
        </r>
      </text>
    </comment>
    <comment ref="AD533" authorId="0" shapeId="0" xr:uid="{00000000-0006-0000-0000-0000C6060000}">
      <text>
        <r>
          <rPr>
            <b/>
            <sz val="9"/>
            <color rgb="FF000000"/>
            <rFont val="Tahoma"/>
            <family val="2"/>
            <charset val="1"/>
          </rPr>
          <t xml:space="preserve">REFERÊNCIA JAN/19 - LANÇADO PLANILHA GEFIC EM FEV/19
</t>
        </r>
      </text>
    </comment>
    <comment ref="P534" authorId="0" shapeId="0" xr:uid="{00000000-0006-0000-0000-000073010000}">
      <text>
        <r>
          <rPr>
            <b/>
            <sz val="9"/>
            <color rgb="FF000000"/>
            <rFont val="Tahoma"/>
            <family val="2"/>
            <charset val="1"/>
          </rPr>
          <t xml:space="preserve">PRORROGAÇÃO 4.834.708,80; 
APORTE DE FOLHA 1.966.683,20; 
RESIDENCIA MÉDICA R$ 67.341,03; 
</t>
        </r>
      </text>
    </comment>
    <comment ref="AA534" authorId="0" shapeId="0" xr:uid="{00000000-0006-0000-0000-0000A4030000}">
      <text>
        <r>
          <rPr>
            <b/>
            <sz val="9"/>
            <color rgb="FF000000"/>
            <rFont val="Tahoma"/>
            <family val="2"/>
            <charset val="1"/>
          </rPr>
          <t xml:space="preserve">VALOR ESTIMADO PREVISTO CONTRATO GESTÃO.
</t>
        </r>
      </text>
    </comment>
    <comment ref="AC534" authorId="0" shapeId="0" xr:uid="{00000000-0006-0000-0000-00001C050000}">
      <text>
        <r>
          <rPr>
            <b/>
            <sz val="9"/>
            <color rgb="FF000000"/>
            <rFont val="Tahoma"/>
            <family val="2"/>
            <charset val="1"/>
          </rPr>
          <t xml:space="preserve">TELEFONIA FIXA -REFERÊNCIA MAR/19 - LANÇADO PLANILHA GEFIC EM MAR/19
</t>
        </r>
      </text>
    </comment>
    <comment ref="AD534" authorId="0" shapeId="0" xr:uid="{00000000-0006-0000-0000-0000C7060000}">
      <text>
        <r>
          <rPr>
            <b/>
            <sz val="9"/>
            <color rgb="FF000000"/>
            <rFont val="Tahoma"/>
            <family val="2"/>
            <charset val="1"/>
          </rPr>
          <t xml:space="preserve">REFERÊNCIA FEV/19 - LANÇADO PLANILHA GEFIC EM MAR19
</t>
        </r>
      </text>
    </comment>
    <comment ref="P535" authorId="0" shapeId="0" xr:uid="{00000000-0006-0000-0000-000074010000}">
      <text>
        <r>
          <rPr>
            <b/>
            <sz val="9"/>
            <color rgb="FF000000"/>
            <rFont val="Tahoma"/>
            <family val="2"/>
            <charset val="1"/>
          </rPr>
          <t xml:space="preserve">PRORROGAÇÃO 4.834.708,80; 
APORTE DE FOLHA 1.966.683,20; 
RESIDENCIA MÉDICA R$ 67.341,03; 
</t>
        </r>
      </text>
    </comment>
    <comment ref="AA535" authorId="0" shapeId="0" xr:uid="{00000000-0006-0000-0000-0000A5030000}">
      <text>
        <r>
          <rPr>
            <b/>
            <sz val="9"/>
            <color rgb="FF000000"/>
            <rFont val="Tahoma"/>
            <family val="2"/>
            <charset val="1"/>
          </rPr>
          <t xml:space="preserve">VALOR ESTIMADO PREVISTO CONTRATO GESTÃO.
</t>
        </r>
      </text>
    </comment>
    <comment ref="AC535" authorId="0" shapeId="0" xr:uid="{00000000-0006-0000-0000-00001D050000}">
      <text>
        <r>
          <rPr>
            <b/>
            <sz val="9"/>
            <color rgb="FF000000"/>
            <rFont val="Tahoma"/>
            <family val="2"/>
            <charset val="1"/>
          </rPr>
          <t xml:space="preserve">TELEFONIA FIXA -REFERÊNCIA ABR/19 - LANÇADO PLANILHA GEFIC EM ABR/19
</t>
        </r>
      </text>
    </comment>
    <comment ref="AD535" authorId="0" shapeId="0" xr:uid="{00000000-0006-0000-0000-0000C8060000}">
      <text>
        <r>
          <rPr>
            <b/>
            <sz val="9"/>
            <color rgb="FF000000"/>
            <rFont val="Tahoma"/>
            <family val="2"/>
            <charset val="1"/>
          </rPr>
          <t xml:space="preserve">REFERÊNCIA MAR/19 - LANÇADO PLANILHA GEFIC EM ABR/19
</t>
        </r>
      </text>
    </comment>
    <comment ref="P536" authorId="0" shapeId="0" xr:uid="{00000000-0006-0000-0000-000075010000}">
      <text>
        <r>
          <rPr>
            <sz val="11"/>
            <color rgb="FF000000"/>
            <rFont val="Calibri"/>
            <family val="2"/>
            <charset val="1"/>
          </rPr>
          <t xml:space="preserve">ATÉ 27/06/19
</t>
        </r>
        <r>
          <rPr>
            <sz val="9"/>
            <color rgb="FF000000"/>
            <rFont val="Tahoma"/>
            <family val="2"/>
            <charset val="1"/>
          </rPr>
          <t xml:space="preserve">PRORROGAÇÃO 4.351.237,92 
APORTE DE FOLHA 1.770.014,88; 
RESIDENCIA MÉDICA R$ 60.606,93; </t>
        </r>
      </text>
    </comment>
    <comment ref="R536" authorId="0" shapeId="0" xr:uid="{00000000-0006-0000-0000-0000D8010000}">
      <text>
        <r>
          <rPr>
            <sz val="11"/>
            <color rgb="FF000000"/>
            <rFont val="Calibri"/>
            <family val="2"/>
            <charset val="1"/>
          </rPr>
          <t xml:space="preserve">a partir 28/06/19
</t>
        </r>
      </text>
    </comment>
    <comment ref="AA536" authorId="0" shapeId="0" xr:uid="{00000000-0006-0000-0000-0000A6030000}">
      <text>
        <r>
          <rPr>
            <b/>
            <sz val="9"/>
            <color rgb="FF000000"/>
            <rFont val="Tahoma"/>
            <family val="2"/>
            <charset val="1"/>
          </rPr>
          <t>FOLHA VALOR ESTIMADO PREVISTO CONTRATO GESTÃO R$ 1.966.683,23;
.
AJUSTE FOI DEDUZIDO VISTO QUE AINDA NÃO HOUVE OUTORGA
TEFEFONIA - R$ 5.833,96;
CELG - R$ 48.380,95</t>
        </r>
      </text>
    </comment>
    <comment ref="AC536" authorId="0" shapeId="0" xr:uid="{00000000-0006-0000-0000-00001E050000}">
      <text>
        <r>
          <rPr>
            <b/>
            <sz val="9"/>
            <color rgb="FF000000"/>
            <rFont val="Tahoma"/>
            <family val="2"/>
            <charset val="1"/>
          </rPr>
          <t xml:space="preserve">R$ 7.223,55 TELEFONIA FIXA -REFERÊNCIA MAI/19 - LANÇADO PLANILHA GEFIC EM MAI/19;
.
R$ 5.833,96 TELEFONIA FIXA -REFERÊNCIA JUN/19 - LANÇADO PLANILHA GEFIC EM JUL/19
</t>
        </r>
      </text>
    </comment>
    <comment ref="AD536" authorId="0" shapeId="0" xr:uid="{00000000-0006-0000-0000-0000C9060000}">
      <text>
        <r>
          <rPr>
            <b/>
            <sz val="9"/>
            <color rgb="FF000000"/>
            <rFont val="Tahoma"/>
            <family val="2"/>
            <charset val="1"/>
          </rPr>
          <t>R$ 49.909,78 REFERÊNCIA ABR/19 - LANÇADO PLANILHA GEFIC EM MAI/19:
.
R$ 48.380,95 REFERÊNCIA MAI/19 - LANÇADO PLANILHA GEFIC EM JUN/19</t>
        </r>
      </text>
    </comment>
    <comment ref="Z537" authorId="0" shapeId="0" xr:uid="{00000000-0006-0000-0000-00007F020000}">
      <text>
        <r>
          <rPr>
            <sz val="11"/>
            <color rgb="FF000000"/>
            <rFont val="Calibri"/>
            <family val="2"/>
            <charset val="1"/>
          </rPr>
          <t xml:space="preserve">REFERENCIA JUN/19 LANÇADO NA PLANILHA DE PAGAMENTO JUL/19
</t>
        </r>
      </text>
    </comment>
    <comment ref="AA537" authorId="0" shapeId="0" xr:uid="{00000000-0006-0000-0000-0000A7030000}">
      <text>
        <r>
          <rPr>
            <sz val="11"/>
            <color rgb="FF000000"/>
            <rFont val="Calibri"/>
            <family val="2"/>
            <charset val="1"/>
          </rPr>
          <t xml:space="preserve">REFERENCIA JUN/19 LANÇADO NA PLANILHA DE PAGAMENTO JUL/19
</t>
        </r>
      </text>
    </comment>
    <comment ref="AC537" authorId="0" shapeId="0" xr:uid="{00000000-0006-0000-0000-00001F050000}">
      <text>
        <r>
          <rPr>
            <sz val="11"/>
            <color rgb="FF000000"/>
            <rFont val="Calibri"/>
            <family val="2"/>
            <charset val="1"/>
          </rPr>
          <t xml:space="preserve">TELEFONIA FIXA -LANÇADO PLANILHA GEFIC EM JUL/19;
.
REFERÊNCIA JUN/19 (3 DIAS)........................R$    648,22
REFERÊNCIA JUL/19.........................................R$ 6.289,87
TOTAL................................................................R$ 6.938,09
</t>
        </r>
      </text>
    </comment>
    <comment ref="AD537" authorId="0" shapeId="0" xr:uid="{00000000-0006-0000-0000-0000CA060000}">
      <text>
        <r>
          <rPr>
            <sz val="11"/>
            <color rgb="FF000000"/>
            <rFont val="Calibri"/>
            <family val="2"/>
            <charset val="1"/>
          </rPr>
          <t xml:space="preserve">R$ 40.358,86 - CELG REFERÊNCIA JUN/19 - LANÇADO PLANILHA GEFIC EM JUL/19:
</t>
        </r>
        <r>
          <rPr>
            <sz val="9"/>
            <color rgb="FF000000"/>
            <rFont val="Tahoma"/>
            <family val="2"/>
            <charset val="1"/>
          </rPr>
          <t xml:space="preserve">
</t>
        </r>
      </text>
    </comment>
    <comment ref="AA538" authorId="0" shapeId="0" xr:uid="{00000000-0006-0000-0000-0000A8030000}">
      <text>
        <r>
          <rPr>
            <sz val="11"/>
            <color rgb="FF000000"/>
            <rFont val="Calibri"/>
            <family val="2"/>
            <charset val="1"/>
          </rPr>
          <t xml:space="preserve">VALOR ESTIMADO PREVISTO CONTRATO GESTÃO.
</t>
        </r>
      </text>
    </comment>
    <comment ref="AA539" authorId="0" shapeId="0" xr:uid="{00000000-0006-0000-0000-0000A9030000}">
      <text>
        <r>
          <rPr>
            <sz val="11"/>
            <color rgb="FF000000"/>
            <rFont val="Calibri"/>
            <family val="2"/>
            <charset val="1"/>
          </rPr>
          <t xml:space="preserve">VALOR ESTIMADO PREVISTO CONTRATO GESTÃO.
</t>
        </r>
      </text>
    </comment>
    <comment ref="AC539" authorId="0" shapeId="0" xr:uid="{00000000-0006-0000-0000-000020050000}">
      <text>
        <r>
          <rPr>
            <sz val="11"/>
            <color rgb="FF000000"/>
            <rFont val="Calibri"/>
            <family val="2"/>
            <charset val="1"/>
          </rPr>
          <t xml:space="preserve">R$ 6.603,39 TELEFONIA FIXA -REFERÊNCIA AGO/19 - LANÇADO PLANILHA GEFIC EM AGO/19;
.
R$ 6.750,22 TELEFONIA FIXA -REFERÊNCIA SET/19 - LANÇADO PLANILHA GEFIC EM SET/19.
</t>
        </r>
      </text>
    </comment>
    <comment ref="AD539" authorId="0" shapeId="0" xr:uid="{00000000-0006-0000-0000-0000CB060000}">
      <text>
        <r>
          <rPr>
            <sz val="11"/>
            <color rgb="FF000000"/>
            <rFont val="Calibri"/>
            <family val="2"/>
            <charset val="1"/>
          </rPr>
          <t xml:space="preserve">R$37.211,41 ENERGIA - REFERÊNCIA JUL/19 - LANÇADO PLANILHA PAGAMENTO GEFIC EM AGO/19;
</t>
        </r>
        <r>
          <rPr>
            <sz val="9"/>
            <color rgb="FF000000"/>
            <rFont val="Tahoma"/>
            <family val="2"/>
            <charset val="1"/>
          </rPr>
          <t>.
R$ 45.129,14 ENERGIA - REFERÊNCIA AGO/19 - LANÇADO PLANILHA PAGAMENTO GEFIC EM SET/19.</t>
        </r>
      </text>
    </comment>
    <comment ref="AA540" authorId="0" shapeId="0" xr:uid="{00000000-0006-0000-0000-0000AA030000}">
      <text>
        <r>
          <rPr>
            <sz val="11"/>
            <color rgb="FF000000"/>
            <rFont val="Calibri"/>
            <family val="2"/>
            <charset val="1"/>
          </rPr>
          <t xml:space="preserve">VALOR ESTIMADO PREVISTO CONTRATO GESTÃO.
</t>
        </r>
      </text>
    </comment>
    <comment ref="AO540" authorId="0" shapeId="0" xr:uid="{00000000-0006-0000-0000-00006B090000}">
      <text>
        <r>
          <rPr>
            <sz val="11"/>
            <color rgb="FF000000"/>
            <rFont val="Calibri"/>
            <family val="2"/>
            <charset val="1"/>
          </rPr>
          <t xml:space="preserve">R$ 372788,03 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R$ 4.367,24 AJUSTE DIFERENÇA FOLHA MÊS ANTERIOR, REFERÊNCIA SET/19 - LANÇADO PLANILHA PAGAMENTO GEFIC EM OUT/19, CONF.MEMO 409/2019 PROC.201900010033219</t>
        </r>
      </text>
    </comment>
    <comment ref="AU540" authorId="0" shapeId="0" xr:uid="{00000000-0006-0000-0000-0000D4090000}">
      <text>
        <r>
          <rPr>
            <sz val="11"/>
            <color rgb="FF000000"/>
            <rFont val="Calibri"/>
            <family val="2"/>
            <charset val="1"/>
          </rPr>
          <t xml:space="preserve">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t>
        </r>
        <r>
          <rPr>
            <sz val="9"/>
            <color rgb="FF000000"/>
            <rFont val="Tahoma"/>
            <family val="2"/>
            <charset val="1"/>
          </rPr>
          <t xml:space="preserve">.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
</t>
        </r>
      </text>
    </comment>
    <comment ref="AA541" authorId="0" shapeId="0" xr:uid="{00000000-0006-0000-0000-0000AB030000}">
      <text>
        <r>
          <rPr>
            <sz val="11"/>
            <color rgb="FF000000"/>
            <rFont val="Calibri"/>
            <family val="2"/>
            <charset val="1"/>
          </rPr>
          <t xml:space="preserve">VALOR ESTIMADO PREVISTO CONTRATO GESTÃO.
</t>
        </r>
      </text>
    </comment>
    <comment ref="AC541" authorId="0" shapeId="0" xr:uid="{00000000-0006-0000-0000-000021050000}">
      <text>
        <r>
          <rPr>
            <sz val="11"/>
            <color rgb="FF000000"/>
            <rFont val="Calibri"/>
            <family val="2"/>
            <charset val="1"/>
          </rPr>
          <t xml:space="preserve">TELEFONIA FIXA -REFERÊNCIA OUT/19 - LANÇADO PLANILHA GEFIC EM OUT/19
</t>
        </r>
      </text>
    </comment>
    <comment ref="AD541" authorId="0" shapeId="0" xr:uid="{00000000-0006-0000-0000-0000CC060000}">
      <text>
        <r>
          <rPr>
            <sz val="11"/>
            <color rgb="FF000000"/>
            <rFont val="Calibri"/>
            <family val="2"/>
            <charset val="1"/>
          </rPr>
          <t xml:space="preserve">ENERGIA - REFERÊNCIA SET/19 - LANÇADO PLANILHA PAGAMENTO GEFIC EM OUT/19
</t>
        </r>
      </text>
    </comment>
    <comment ref="R542" authorId="0" shapeId="0" xr:uid="{00000000-0006-0000-0000-0000D9010000}">
      <text>
        <r>
          <rPr>
            <b/>
            <sz val="9"/>
            <color rgb="FF000000"/>
            <rFont val="Tahoma"/>
            <family val="2"/>
            <charset val="1"/>
          </rPr>
          <t>até24/12/19</t>
        </r>
      </text>
    </comment>
    <comment ref="AC542" authorId="0" shapeId="0" xr:uid="{00000000-0006-0000-0000-000022050000}">
      <text>
        <r>
          <rPr>
            <sz val="11"/>
            <color rgb="FF000000"/>
            <rFont val="Calibri"/>
            <family val="2"/>
            <charset val="1"/>
          </rPr>
          <t xml:space="preserve">R$ 6.820,15 - TELEFONIA FIXA -REFERÊNCIA NOV/19 - LANÇADO PLANILHA GEFIC EM NOV/19
.
R$ 4.854,42 (24 DIAS)  TELEFONIA FIXA -REFERÊNCIA DEZ/19 - LANÇADO PLANILHA GEFIC EM DEZ/19
.
R$ 1.213,61 (6 dias) TELEFONIA FIXA -REFERÊNCIA DEZ/19- LANÇADO PLANILHA GEFIC EM JAN/20
</t>
        </r>
      </text>
    </comment>
    <comment ref="AD542" authorId="0" shapeId="0" xr:uid="{00000000-0006-0000-0000-0000CD060000}">
      <text>
        <r>
          <rPr>
            <sz val="9"/>
            <color rgb="FF000000"/>
            <rFont val="Tahoma"/>
            <family val="2"/>
            <charset val="1"/>
          </rPr>
          <t>R$ 52.987,59 ENERGIA - REFERÊNCIA OUT/19 - LANÇADO PLANILHA PAGAMENTO GEFIC EM NOVT/19;
.
R$ 54.597,27 - ENERGIA - REFERÊNCIA NOV/19 - LANÇADO PLANILHA PAGAMENTO GEFIC EM DEZ/19 
.
R$ 44.433,95
 - ENERGIA - REFERÊNCIA DEZ/19 - LANÇADO PLANILHA PAGAMENTO GEFIC EM JAN/20</t>
        </r>
      </text>
    </comment>
    <comment ref="AE542" authorId="0" shapeId="0" xr:uid="{00000000-0006-0000-0000-00008E080000}">
      <text>
        <r>
          <rPr>
            <sz val="9"/>
            <color rgb="FF000000"/>
            <rFont val="Tahoma"/>
            <family val="2"/>
            <charset val="1"/>
          </rPr>
          <t xml:space="preserve">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
</t>
        </r>
      </text>
    </comment>
    <comment ref="AO542" authorId="0" shapeId="0" xr:uid="{00000000-0006-0000-0000-00006C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542" authorId="0" shapeId="0" xr:uid="{00000000-0006-0000-0000-0000350A0000}">
      <text>
        <r>
          <rPr>
            <sz val="9"/>
            <color rgb="FF000000"/>
            <rFont val="Tahoma"/>
            <family val="2"/>
            <charset val="1"/>
          </rPr>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r>
      </text>
    </comment>
    <comment ref="AA543" authorId="0" shapeId="0" xr:uid="{00000000-0006-0000-0000-0000AC030000}">
      <text>
        <r>
          <rPr>
            <sz val="11"/>
            <color rgb="FF000000"/>
            <rFont val="Calibri"/>
            <family val="2"/>
            <charset val="1"/>
          </rPr>
          <t xml:space="preserve">VALOR ESTIMADO PREVISTO CONTRATO GESTÃO.
</t>
        </r>
      </text>
    </comment>
    <comment ref="AC543" authorId="0" shapeId="0" xr:uid="{00000000-0006-0000-0000-000023050000}">
      <text>
        <r>
          <rPr>
            <sz val="11"/>
            <color rgb="FF000000"/>
            <rFont val="Calibri"/>
            <family val="2"/>
            <charset val="1"/>
          </rPr>
          <t xml:space="preserve">TELEFONIA FIXA -REFERÊNCIA JAN/20 - LANÇADO PLANILHA GEFIC EM JAN/20
</t>
        </r>
      </text>
    </comment>
    <comment ref="T544" authorId="0" shapeId="0" xr:uid="{00000000-0006-0000-0000-000006020000}">
      <text>
        <r>
          <rPr>
            <sz val="11"/>
            <color rgb="FF000000"/>
            <rFont val="Calibri"/>
            <family val="2"/>
            <charset val="1"/>
          </rPr>
          <t xml:space="preserve">R$ 319.374,60 - SERVIÇOS DE IMAGINOLOGIA
.
R$ 27.900,00 - LOCAÇÃO DE TOMOGRAFO
</t>
        </r>
      </text>
    </comment>
    <comment ref="AA544" authorId="0" shapeId="0" xr:uid="{00000000-0006-0000-0000-0000AD030000}">
      <text>
        <r>
          <rPr>
            <sz val="11"/>
            <color rgb="FF000000"/>
            <rFont val="Calibri"/>
            <family val="2"/>
            <charset val="1"/>
          </rPr>
          <t xml:space="preserve">VALOR ESTIMADO PREVISTO CONTRATO GESTÃO.
</t>
        </r>
      </text>
    </comment>
    <comment ref="AD544" authorId="0" shapeId="0" xr:uid="{00000000-0006-0000-0000-0000CE060000}">
      <text>
        <r>
          <rPr>
            <sz val="11"/>
            <color rgb="FF000000"/>
            <rFont val="Calibri"/>
            <family val="2"/>
            <charset val="1"/>
          </rPr>
          <t xml:space="preserve">ENERGIA - REFERÊNCIA JAN/20 - LANÇADO PLANILHA PAGAMENTO GEFIC EM FEV/20
</t>
        </r>
      </text>
    </comment>
    <comment ref="T545" authorId="0" shapeId="0" xr:uid="{00000000-0006-0000-0000-000007020000}">
      <text>
        <r>
          <rPr>
            <sz val="11"/>
            <color rgb="FF000000"/>
            <rFont val="Calibri"/>
            <family val="2"/>
            <charset val="1"/>
          </rPr>
          <t xml:space="preserve">R$ 319.374,60 - SERVIÇOS DE IMAGINOLOGIA
.
R$ 27.900,00 - LOCAÇÃO DE TOMOGRAFO
</t>
        </r>
      </text>
    </comment>
    <comment ref="AA545" authorId="0" shapeId="0" xr:uid="{00000000-0006-0000-0000-0000AE030000}">
      <text>
        <r>
          <rPr>
            <sz val="11"/>
            <color rgb="FF000000"/>
            <rFont val="Calibri"/>
            <family val="2"/>
            <charset val="1"/>
          </rPr>
          <t xml:space="preserve">VALOR ESTIMADO PREVISTO CONTRATO GESTÃO.
</t>
        </r>
      </text>
    </comment>
    <comment ref="AD545" authorId="0" shapeId="0" xr:uid="{00000000-0006-0000-0000-0000CF060000}">
      <text>
        <r>
          <rPr>
            <sz val="11"/>
            <color rgb="FF000000"/>
            <rFont val="Calibri"/>
            <family val="2"/>
            <charset val="1"/>
          </rPr>
          <t xml:space="preserve">ENERGIA - REFERÊNCIA FEV20 - LANÇADO PLANILHA PAGAMENTO GEFIC EM MAR/20
</t>
        </r>
      </text>
    </comment>
    <comment ref="AO545" authorId="0" shapeId="0" xr:uid="{00000000-0006-0000-0000-00006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545" authorId="0" shapeId="0" xr:uid="{00000000-0006-0000-0000-0000D5090000}">
      <text>
        <r>
          <rPr>
            <sz val="11"/>
            <color rgb="FF000000"/>
            <rFont val="Calibri"/>
            <family val="2"/>
            <charset val="1"/>
          </rPr>
          <t xml:space="preserve">R$ 219.005,00 - RESSARCIMENTO DE VALORES DESPENDIDOS COM ENCARGOS DAS RESCISÕES TRABALHISTAS DO HOSPITAL ESTADUAL DE DOENÇAS TROPICAIS DR. ANUAR AUAD (HDT), REFERENTES AOS MESES DE JUNHO A AGOSTO DE 2019, REFERENTE AO PROCESSO 201900010035258.
</t>
        </r>
        <r>
          <rPr>
            <sz val="9"/>
            <color rgb="FF000000"/>
            <rFont val="Tahoma"/>
            <family val="2"/>
            <charset val="1"/>
          </rPr>
          <t>.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r>
      </text>
    </comment>
    <comment ref="T546" authorId="0" shapeId="0" xr:uid="{00000000-0006-0000-0000-000008020000}">
      <text>
        <r>
          <rPr>
            <sz val="11"/>
            <color rgb="FF000000"/>
            <rFont val="Calibri"/>
            <family val="2"/>
            <charset val="1"/>
          </rPr>
          <t xml:space="preserve">R$ 319.374,60 - SERVIÇOS DE IMAGINOLOGIA
.
R$ 27.900,00 - LOCAÇÃO DE TOMOGRAFO
</t>
        </r>
      </text>
    </comment>
    <comment ref="AA546" authorId="0" shapeId="0" xr:uid="{00000000-0006-0000-0000-0000AF030000}">
      <text>
        <r>
          <rPr>
            <sz val="11"/>
            <color rgb="FF000000"/>
            <rFont val="Calibri"/>
            <family val="2"/>
            <charset val="1"/>
          </rPr>
          <t xml:space="preserve">VALOR ESTIMADO PREVISTO CONTRATO GESTÃO.
</t>
        </r>
      </text>
    </comment>
    <comment ref="AD546" authorId="0" shapeId="0" xr:uid="{00000000-0006-0000-0000-0000D0060000}">
      <text>
        <r>
          <rPr>
            <sz val="11"/>
            <color rgb="FF000000"/>
            <rFont val="Calibri"/>
            <family val="2"/>
            <charset val="1"/>
          </rPr>
          <t xml:space="preserve">ESTIMATIVA FEV/20
</t>
        </r>
      </text>
    </comment>
    <comment ref="T547" authorId="0" shapeId="0" xr:uid="{00000000-0006-0000-0000-000009020000}">
      <text>
        <r>
          <rPr>
            <sz val="11"/>
            <color rgb="FF000000"/>
            <rFont val="Calibri"/>
            <family val="2"/>
            <charset val="1"/>
          </rPr>
          <t xml:space="preserve">R$ 319.374,60 - SERVIÇOS DE IMAGINOLOGIA
.
R$ 27.900,00 - LOCAÇÃO DE TOMOGRAFO
</t>
        </r>
      </text>
    </comment>
    <comment ref="Z547" authorId="0" shapeId="0" xr:uid="{00000000-0006-0000-0000-000080020000}">
      <text>
        <r>
          <rPr>
            <sz val="11"/>
            <color rgb="FF000000"/>
            <rFont val="Calibri"/>
            <family val="2"/>
            <charset val="1"/>
          </rPr>
          <t xml:space="preserve">R$ 1.504.566,31 - GLOSA DE FOLHA ABR/20 LANÇADA NA PLANILHA DE PREVISÃO DE PAGAMENTO MAI/20 DA GAOS
</t>
        </r>
        <r>
          <rPr>
            <sz val="9"/>
            <color rgb="FF000000"/>
            <rFont val="Segoe UI"/>
            <family val="2"/>
            <charset val="1"/>
          </rPr>
          <t>.
R$ 64.442,31 - EXAME IMAGINOLOGIA ABR-20
.
R$ 69.980,81 - EXAME IMAGINOLOGIA MAI-20</t>
        </r>
      </text>
    </comment>
    <comment ref="AD547" authorId="0" shapeId="0" xr:uid="{00000000-0006-0000-0000-0000D1060000}">
      <text>
        <r>
          <rPr>
            <sz val="11"/>
            <color rgb="FF000000"/>
            <rFont val="Calibri"/>
            <family val="2"/>
            <charset val="1"/>
          </rPr>
          <t xml:space="preserve">REFERÊNCIA ABR/20 - LANÇADO PLANILHA PAGAMENTO GEFIC EM MAI/20
</t>
        </r>
      </text>
    </comment>
    <comment ref="AW547" authorId="0" shapeId="0" xr:uid="{00000000-0006-0000-0000-0000360A0000}">
      <text>
        <r>
          <rPr>
            <sz val="11"/>
            <color rgb="FF000000"/>
            <rFont val="Calibri"/>
            <family val="2"/>
            <charset val="1"/>
          </rPr>
          <t xml:space="preserve">AQUISIÇÃO DE APARELHO DE TOMOGRAFIA COMPUTADORIZADA PARA O HOSPITAL ESTADUAL DE DOENÇAS TROPICAIS DR. ANUAR AUAD - HDT, CONFORME PREVISTO NA PORTARIA Nº 253/2020 – SES/GO, PROCESSO 20200001001551
</t>
        </r>
      </text>
    </comment>
    <comment ref="D548" authorId="0" shapeId="0" xr:uid="{00000000-0006-0000-0000-000004000000}">
      <text>
        <r>
          <rPr>
            <sz val="11"/>
            <color rgb="FF000000"/>
            <rFont val="Calibri"/>
            <family val="2"/>
            <charset val="1"/>
          </rPr>
          <t xml:space="preserve">12º Termo Aditivo -25-06-20 a 24-06-20
</t>
        </r>
      </text>
    </comment>
    <comment ref="T548" authorId="0" shapeId="0" xr:uid="{00000000-0006-0000-0000-00000A020000}">
      <text>
        <r>
          <rPr>
            <sz val="11"/>
            <color rgb="FF000000"/>
            <rFont val="Calibri"/>
            <family val="2"/>
            <charset val="1"/>
          </rPr>
          <t xml:space="preserve">R$ 255.499,68 - SERVIÇOS DE IMAGINOLOGIA
.
R$ 22.320,00 - LOCAÇÃO DE TOMOGRAFO
</t>
        </r>
      </text>
    </comment>
    <comment ref="U548" authorId="0" shapeId="0" xr:uid="{00000000-0006-0000-0000-000010020000}">
      <text>
        <r>
          <rPr>
            <sz val="9"/>
            <color rgb="FF000000"/>
            <rFont val="Segoe UI"/>
            <family val="2"/>
            <charset val="1"/>
          </rPr>
          <t xml:space="preserve">12 T.Aditivo -25-06-20 a 24-06-20
CUSTEIO: R$ 1.477.751,53
RES.MÉDICA: R$ 18.188,03
PROGRAMA  ESPECIAL E TEMPORÁRIO, IMPLANTAÇÃO 10 LEITOS - COVID: R$ 108.332,48
</t>
        </r>
      </text>
    </comment>
    <comment ref="Z548" authorId="0" shapeId="0" xr:uid="{00000000-0006-0000-0000-000081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D548" authorId="0" shapeId="0" xr:uid="{00000000-0006-0000-0000-0000D2060000}">
      <text>
        <r>
          <rPr>
            <sz val="11"/>
            <color rgb="FF000000"/>
            <rFont val="Calibri"/>
            <family val="2"/>
            <charset val="1"/>
          </rPr>
          <t xml:space="preserve">ENERGIA - REFERÊNCIA MAI/20 - LANÇADO PLANILHA PAGAMENTO GEFIC EM JUN/20
</t>
        </r>
      </text>
    </comment>
    <comment ref="AO548" authorId="0" shapeId="0" xr:uid="{00000000-0006-0000-0000-00006E090000}">
      <text>
        <r>
          <rPr>
            <sz val="9"/>
            <color rgb="FF000000"/>
            <rFont val="Segoe UI"/>
            <family val="2"/>
            <charset val="1"/>
          </rPr>
          <t>R$ 45.039,88 - DIFERENÇA FOLHA MAI-20 LANÇADA PLANILHA PAGAMENTO JUN-20.
.
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r>
      </text>
    </comment>
    <comment ref="U549" authorId="0" shapeId="0" xr:uid="{00000000-0006-0000-0000-000011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AD549" authorId="0" shapeId="0" xr:uid="{00000000-0006-0000-0000-0000D3060000}">
      <text>
        <r>
          <rPr>
            <sz val="11"/>
            <color rgb="FF000000"/>
            <rFont val="Calibri"/>
            <family val="2"/>
            <charset val="1"/>
          </rPr>
          <t xml:space="preserve">ENERGIA - REFERÊNCIA JUN/20 - LANÇADO PLANILHA PAGAMENTO GEFIC EM JUL/20
</t>
        </r>
      </text>
    </comment>
    <comment ref="AO549" authorId="0" shapeId="0" xr:uid="{00000000-0006-0000-0000-00006F090000}">
      <text>
        <r>
          <rPr>
            <b/>
            <sz val="9"/>
            <color rgb="FF000000"/>
            <rFont val="Segoe UI"/>
            <family val="2"/>
            <charset val="1"/>
          </rPr>
          <t>DIFERENÇA ENTRE O ESTIMADO E O APLICADO DA FOLHA REFERÊNCIA JUN/20 - LANÇADO PLANILHA PAGAMENTO GEFIC EM JUL/20</t>
        </r>
      </text>
    </comment>
    <comment ref="AU549" authorId="0" shapeId="0" xr:uid="{00000000-0006-0000-0000-0000D6090000}">
      <text>
        <r>
          <rPr>
            <sz val="11"/>
            <color rgb="FF000000"/>
            <rFont val="Calibri"/>
            <family val="2"/>
            <charset val="1"/>
          </rPr>
          <t xml:space="preserve">PROC.202000010017277 - RESSARCIMENTO DE VALORES DESPENDIDOS COM ENCARGOS DAS RESCISÕES TRABALHISTAS DO HOSPITAL ESTADUAL DE DOENÇAS TROPICAIS DR. ANUAR AUAD (HDT), REFERENTES AO PERÍODO DE FEVEREIRO A ABRIL DE 2020
</t>
        </r>
      </text>
    </comment>
    <comment ref="AW549" authorId="0" shapeId="0" xr:uid="{00000000-0006-0000-0000-0000370A0000}">
      <text>
        <r>
          <rPr>
            <sz val="11"/>
            <color rgb="FF000000"/>
            <rFont val="Calibri"/>
            <family val="2"/>
            <charset val="1"/>
          </rPr>
          <t xml:space="preserve">AQUISIÇÃO DE APARELHO DE AR CONDICIONADO PARA O DESENVOLVIMENTO E EXECUÇÃO DOS SERVIÇOS DE SAÚDE DO HOSPITAL ESTADUAL DE DOENÇAS TROPICAIS ANUAR AUAD-HDT DO PROCESSO 202000010000822.
</t>
        </r>
      </text>
    </comment>
    <comment ref="U550" authorId="0" shapeId="0" xr:uid="{00000000-0006-0000-0000-000012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0" authorId="0" shapeId="0" xr:uid="{00000000-0006-0000-0000-000082020000}">
      <text>
        <r>
          <rPr>
            <b/>
            <sz val="9"/>
            <color rgb="FF000000"/>
            <rFont val="Segoe UI"/>
            <family val="2"/>
            <charset val="1"/>
          </rPr>
          <t xml:space="preserve">FOLHA - REFERÊNCIA JUL/20 - LANÇADO PLANILHA PAGAMENTO GEFIC EM AGO/20.
</t>
        </r>
      </text>
    </comment>
    <comment ref="AA550" authorId="0" shapeId="0" xr:uid="{00000000-0006-0000-0000-0000B0030000}">
      <text>
        <r>
          <rPr>
            <b/>
            <sz val="9"/>
            <color rgb="FF000000"/>
            <rFont val="Segoe UI"/>
            <family val="2"/>
            <charset val="1"/>
          </rPr>
          <t xml:space="preserve">FOLHA - REFERÊNCIA JUL/20 - LANÇADO PLANILHA PAGAMENTO GEFIC EM AGO/20.
</t>
        </r>
      </text>
    </comment>
    <comment ref="AC550" authorId="0" shapeId="0" xr:uid="{00000000-0006-0000-0000-000024050000}">
      <text>
        <r>
          <rPr>
            <sz val="11"/>
            <color rgb="FF000000"/>
            <rFont val="Calibri"/>
            <family val="2"/>
            <charset val="1"/>
          </rPr>
          <t xml:space="preserve">OI - REFERÊNCIA AGO/20 - LANÇADO PLANILHA PAGAMENTO GEFIC EM AGO/20
</t>
        </r>
      </text>
    </comment>
    <comment ref="AD550" authorId="0" shapeId="0" xr:uid="{00000000-0006-0000-0000-0000D4060000}">
      <text>
        <r>
          <rPr>
            <sz val="11"/>
            <color rgb="FF000000"/>
            <rFont val="Calibri"/>
            <family val="2"/>
            <charset val="1"/>
          </rPr>
          <t xml:space="preserve">ENERGIA - REFERÊNCIA JUL/20 - LANÇADO PLANILHA PAGAMENTO GEFIC EM AGO/20
</t>
        </r>
      </text>
    </comment>
    <comment ref="AW550" authorId="0" shapeId="0" xr:uid="{00000000-0006-0000-0000-0000380A0000}">
      <text>
        <r>
          <rPr>
            <sz val="11"/>
            <color rgb="FF000000"/>
            <rFont val="Calibri"/>
            <family val="2"/>
            <charset val="1"/>
          </rPr>
          <t xml:space="preserve">PROCESSO 201900010049590, AQUISIÇÃO DE 257 COMPUTADORES, PARA O HDT, DESPACHO Nº 380/2020 - GAOS- 14421 e DESPACHO Nº 2753/2020 - SGI- 03079. 
</t>
        </r>
      </text>
    </comment>
    <comment ref="U551" authorId="0" shapeId="0" xr:uid="{00000000-0006-0000-0000-000013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1" authorId="0" shapeId="0" xr:uid="{00000000-0006-0000-0000-000083020000}">
      <text>
        <r>
          <rPr>
            <b/>
            <sz val="9"/>
            <color rgb="FF000000"/>
            <rFont val="Segoe UI"/>
            <family val="2"/>
            <charset val="1"/>
          </rPr>
          <t xml:space="preserve">FOLHA - REFERÊNCIA AGO/20 - LANÇADO PLANILHA PAGAMENTO GEFIC EM SET/20.
</t>
        </r>
      </text>
    </comment>
    <comment ref="AA551" authorId="0" shapeId="0" xr:uid="{00000000-0006-0000-0000-0000B1030000}">
      <text>
        <r>
          <rPr>
            <b/>
            <sz val="9"/>
            <color rgb="FF000000"/>
            <rFont val="Segoe UI"/>
            <family val="2"/>
            <charset val="1"/>
          </rPr>
          <t xml:space="preserve">FOLHA - REFERÊNCIA AGO/20 - LANÇADO PLANILHA PAGAMENTO GEFIC EM SET/20.
</t>
        </r>
      </text>
    </comment>
    <comment ref="AC551" authorId="0" shapeId="0" xr:uid="{00000000-0006-0000-0000-000025050000}">
      <text>
        <r>
          <rPr>
            <sz val="11"/>
            <color rgb="FF000000"/>
            <rFont val="Calibri"/>
            <family val="2"/>
            <charset val="1"/>
          </rPr>
          <t xml:space="preserve">OI - REFERÊNCIA SET/20 - LANÇADO PLANILHA PAGAMENTO GEFIC EM SET/20
</t>
        </r>
      </text>
    </comment>
    <comment ref="AD551" authorId="0" shapeId="0" xr:uid="{00000000-0006-0000-0000-0000D5060000}">
      <text>
        <r>
          <rPr>
            <sz val="11"/>
            <color rgb="FF000000"/>
            <rFont val="Calibri"/>
            <family val="2"/>
            <charset val="1"/>
          </rPr>
          <t xml:space="preserve">ENERGIA - REFERÊNCIA AGO/20 - LANÇADO PLANILHA PAGAMENTO GEFIC EM SET/20
</t>
        </r>
      </text>
    </comment>
    <comment ref="AE551" authorId="0" shapeId="0" xr:uid="{00000000-0006-0000-0000-00008F080000}">
      <text>
        <r>
          <rPr>
            <sz val="11"/>
            <color rgb="FF000000"/>
            <rFont val="Calibri"/>
            <family val="2"/>
            <charset val="1"/>
          </rPr>
          <t xml:space="preserve">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
</t>
        </r>
      </text>
    </comment>
    <comment ref="AW551" authorId="0" shapeId="0" xr:uid="{00000000-0006-0000-0000-0000390A0000}">
      <text>
        <r>
          <rPr>
            <sz val="11"/>
            <color rgb="FF000000"/>
            <rFont val="Calibri"/>
            <family val="2"/>
            <charset val="1"/>
          </rPr>
          <t xml:space="preserve">INVESTIMENTO, PARA AQUISIÇÃO 3 MEDIDORES DE CUFF CUFFÔMETROS) DESTINADOS AO HOSPITAL ESTADUAL DE DOENÇAS TROPICAIS DR. ANUAR AUAD (HDT), RELATIVO AO PROCESSO 202000010024076.
</t>
        </r>
      </text>
    </comment>
    <comment ref="U552" authorId="0" shapeId="0" xr:uid="{00000000-0006-0000-0000-000014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2" authorId="0" shapeId="0" xr:uid="{00000000-0006-0000-0000-000084020000}">
      <text>
        <r>
          <rPr>
            <b/>
            <sz val="9"/>
            <color rgb="FF000000"/>
            <rFont val="Segoe UI"/>
            <family val="2"/>
            <charset val="1"/>
          </rPr>
          <t xml:space="preserve">FOLHA - REFERÊNCIA SET/20 - LANÇADO PLANILHA PAGAMENTO GEFIC EM OUT/20 
</t>
        </r>
      </text>
    </comment>
    <comment ref="AA552" authorId="0" shapeId="0" xr:uid="{00000000-0006-0000-0000-0000B2030000}">
      <text>
        <r>
          <rPr>
            <b/>
            <sz val="9"/>
            <color rgb="FF000000"/>
            <rFont val="Segoe UI"/>
            <family val="2"/>
            <charset val="1"/>
          </rPr>
          <t xml:space="preserve">FOLHA - REFERÊNCIA SET/20 - LANÇADO PLANILHA PAGAMENTO GEFIC EM OUT/20 
</t>
        </r>
      </text>
    </comment>
    <comment ref="AC552" authorId="0" shapeId="0" xr:uid="{00000000-0006-0000-0000-000026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52" authorId="0" shapeId="0" xr:uid="{00000000-0006-0000-0000-0000D6060000}">
      <text>
        <r>
          <rPr>
            <sz val="11"/>
            <color rgb="FF000000"/>
            <rFont val="Calibri"/>
            <family val="2"/>
            <charset val="1"/>
          </rPr>
          <t xml:space="preserve">ENERGIA - REFERÊNCIA SET/20 - LANÇADO PLANILHA PAGAMENTO GEFIC EM OUT/20
</t>
        </r>
      </text>
    </comment>
    <comment ref="U553" authorId="0" shapeId="0" xr:uid="{00000000-0006-0000-0000-000015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3" authorId="0" shapeId="0" xr:uid="{00000000-0006-0000-0000-000085020000}">
      <text>
        <r>
          <rPr>
            <b/>
            <sz val="9"/>
            <color rgb="FF000000"/>
            <rFont val="Segoe UI"/>
            <family val="2"/>
            <charset val="1"/>
          </rPr>
          <t xml:space="preserve">FOLHA - REFERÊNCIA OUT/20 - LANÇADO PLANILHA PAGAMENTO GEFIC EM NOV/20.
</t>
        </r>
      </text>
    </comment>
    <comment ref="AA553" authorId="0" shapeId="0" xr:uid="{00000000-0006-0000-0000-0000B3030000}">
      <text>
        <r>
          <rPr>
            <b/>
            <sz val="9"/>
            <color rgb="FF000000"/>
            <rFont val="Segoe UI"/>
            <family val="2"/>
            <charset val="1"/>
          </rPr>
          <t xml:space="preserve">FOLHA - REFERÊNCIA OUT/20 - LANÇADO PLANILHA PAGAMENTO GEFIC EM NOV/20.
</t>
        </r>
      </text>
    </comment>
    <comment ref="AC553" authorId="0" shapeId="0" xr:uid="{00000000-0006-0000-0000-000027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53" authorId="0" shapeId="0" xr:uid="{00000000-0006-0000-0000-0000D7060000}">
      <text>
        <r>
          <rPr>
            <sz val="11"/>
            <color rgb="FF000000"/>
            <rFont val="Calibri"/>
            <family val="2"/>
            <charset val="1"/>
          </rPr>
          <t xml:space="preserve">ENERGIA - REFERÊNCIA OUT/20 - LANÇADO PLANILHA PAGAMENTO GEFIC EM NOV/20
</t>
        </r>
      </text>
    </comment>
    <comment ref="U554" authorId="0" shapeId="0" xr:uid="{00000000-0006-0000-0000-000016020000}">
      <text>
        <r>
          <rPr>
            <sz val="9"/>
            <color rgb="FF000000"/>
            <rFont val="Segoe UI"/>
            <family val="2"/>
            <charset val="1"/>
          </rPr>
          <t>12 T.Aditivo -25-06-20 a 24-06-20
CUSTEIO: R$ 7.388.757,63
RES.MÉDICA: R$ 90.940,17
PROGRAMA  ESPECIAL E TEMPORÁRIO, IMPLANTAÇÃO 10 LEITOS - COVID: R$ 433.329,90</t>
        </r>
      </text>
    </comment>
    <comment ref="Z554" authorId="0" shapeId="0" xr:uid="{00000000-0006-0000-0000-000086020000}">
      <text>
        <r>
          <rPr>
            <b/>
            <sz val="9"/>
            <color rgb="FF000000"/>
            <rFont val="Segoe UI"/>
            <family val="2"/>
            <charset val="1"/>
          </rPr>
          <t xml:space="preserve">FOLHA - REFERÊNCIA NOV/20 - LANÇADO PLANILHA PAGAMENTO GEFIC EM DEZ/20.
</t>
        </r>
      </text>
    </comment>
    <comment ref="AA554" authorId="0" shapeId="0" xr:uid="{00000000-0006-0000-0000-0000B4030000}">
      <text>
        <r>
          <rPr>
            <b/>
            <sz val="9"/>
            <color rgb="FF000000"/>
            <rFont val="Segoe UI"/>
            <family val="2"/>
            <charset val="1"/>
          </rPr>
          <t xml:space="preserve">FOLHA - REFERÊNCIA NOV/20 - LANÇADO PLANILHA PAGAMENTO GEFIC EM DEZ/20.
</t>
        </r>
      </text>
    </comment>
    <comment ref="AC554" authorId="0" shapeId="0" xr:uid="{00000000-0006-0000-0000-000028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54" authorId="0" shapeId="0" xr:uid="{00000000-0006-0000-0000-0000D8060000}">
      <text>
        <r>
          <rPr>
            <sz val="11"/>
            <color rgb="FF000000"/>
            <rFont val="Calibri"/>
            <family val="2"/>
            <charset val="1"/>
          </rPr>
          <t xml:space="preserve">ENERGIA - REFERÊNCIA NOV/20 - LANÇADO PLANILHA PAGAMENTO GEFIC EM DEZ/20
</t>
        </r>
      </text>
    </comment>
    <comment ref="AU554" authorId="0" shapeId="0" xr:uid="{00000000-0006-0000-0000-0000D7090000}">
      <text>
        <r>
          <rPr>
            <sz val="11"/>
            <color rgb="FF000000"/>
            <rFont val="Calibri"/>
            <family val="2"/>
            <charset val="1"/>
          </rPr>
          <t xml:space="preserve">RESSARCIMENTO DE VALORES DESPENDIDOS COM ENCARGOS DAS RESCISÕES TRABALHISTAS DO HOSPITAL ESTADUAL DE DOENÇAS TROPICAIS ANUAR AUAD (HDT), REFERENTE AO PERÍODO DE MAIO A OUTUBRO DE 2020, PROCESSO 202000010034078
</t>
        </r>
      </text>
    </comment>
    <comment ref="U555" authorId="0" shapeId="0" xr:uid="{00000000-0006-0000-0000-000017020000}">
      <text>
        <r>
          <rPr>
            <sz val="9"/>
            <color rgb="FF000000"/>
            <rFont val="Segoe UI"/>
            <family val="2"/>
            <charset val="1"/>
          </rPr>
          <t xml:space="preserve">12 T.Aditivo -25-06-20 a 24-06-20
CUSTEIO: R$ 7.388.757,63
RES.MÉDICA: R$ 90.940,17
</t>
        </r>
      </text>
    </comment>
    <comment ref="Z555" authorId="0" shapeId="0" xr:uid="{00000000-0006-0000-0000-000087020000}">
      <text>
        <r>
          <rPr>
            <sz val="11"/>
            <color rgb="FF000000"/>
            <rFont val="Calibri"/>
            <family val="2"/>
            <charset val="1"/>
          </rPr>
          <t xml:space="preserve">FOLHA - REFERÊNCIA DEZ/20- LANÇADO PLANILHA PAGAMENTO GEFIC EM JAN/21.
</t>
        </r>
      </text>
    </comment>
    <comment ref="AA555" authorId="0" shapeId="0" xr:uid="{00000000-0006-0000-0000-0000B5030000}">
      <text>
        <r>
          <rPr>
            <sz val="11"/>
            <color rgb="FF000000"/>
            <rFont val="Calibri"/>
            <family val="2"/>
            <charset val="1"/>
          </rPr>
          <t xml:space="preserve">FOLHA - REFERÊNCIA DEZ/20- LANÇADO PLANILHA PAGAMENTO GEFIC EM JAN/21.
</t>
        </r>
      </text>
    </comment>
    <comment ref="AC555" authorId="0" shapeId="0" xr:uid="{00000000-0006-0000-0000-000029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O555" authorId="0" shapeId="0" xr:uid="{00000000-0006-0000-0000-000070090000}">
      <text>
        <r>
          <rPr>
            <sz val="11"/>
            <color rgb="FF000000"/>
            <rFont val="Calibri"/>
            <family val="2"/>
            <charset val="1"/>
          </rPr>
          <t xml:space="preserve">RESTITUIÇÃO GLOSA INDEVIDA, LANÇAD NA PLANILHA DE JAN/21:
.
-SERVIDORA MARIA ROZA DOS SANTOS - CONF.DESPACHO 78/2021-SGI PROC.202000010030591.............R$ 3.185,83
.
-SERVIDOR WANDESIO LUIZ CORREIA - CONF.DESPACHO 63/2021 - SGI PROC.202000010043158.............R$ 10.388,50
</t>
        </r>
      </text>
    </comment>
    <comment ref="AX555" authorId="0" shapeId="0" xr:uid="{00000000-0006-0000-0000-0000A00A0000}">
      <text>
        <r>
          <rPr>
            <sz val="11"/>
            <color rgb="FF000000"/>
            <rFont val="Calibri"/>
            <family val="2"/>
            <charset val="1"/>
          </rPr>
          <t xml:space="preserve">REG.DESPESA - PERÍODO DE 25/12/2020 A 31/01/2021, RELATIVA A CONTRATAÇÃO DE 10 (DEZ) LEITOS CRÍTICOS DO 13º TERMO ADITIVO, PROC.202100010003600
</t>
        </r>
      </text>
    </comment>
    <comment ref="U556" authorId="0" shapeId="0" xr:uid="{00000000-0006-0000-0000-000018020000}">
      <text>
        <r>
          <rPr>
            <sz val="9"/>
            <color rgb="FF000000"/>
            <rFont val="Segoe UI"/>
            <family val="2"/>
            <charset val="1"/>
          </rPr>
          <t xml:space="preserve">12 T.Aditivo -25-06-20 a 24-06-20
CUSTEIO: R$ 7.388.757,63
RES.MÉDICA: R$ 90.940,17
</t>
        </r>
      </text>
    </comment>
    <comment ref="Z556" authorId="0" shapeId="0" xr:uid="{00000000-0006-0000-0000-000088020000}">
      <text>
        <r>
          <rPr>
            <sz val="11"/>
            <color rgb="FF000000"/>
            <rFont val="Calibri"/>
            <family val="2"/>
            <charset val="1"/>
          </rPr>
          <t xml:space="preserve">FOLHA - REFERÊNCIA JAN/21- LANÇADO PLANILHA PAGAMENTO GEFIC EM FEV/21.
</t>
        </r>
      </text>
    </comment>
    <comment ref="AA556" authorId="0" shapeId="0" xr:uid="{00000000-0006-0000-0000-0000B6030000}">
      <text>
        <r>
          <rPr>
            <sz val="11"/>
            <color rgb="FF000000"/>
            <rFont val="Calibri"/>
            <family val="2"/>
            <charset val="1"/>
          </rPr>
          <t xml:space="preserve">FOLHA - REFERÊNCIA JAN/21- LANÇADO PLANILHA PAGAMENTO GEFIC EM FEV/21.
</t>
        </r>
      </text>
    </comment>
    <comment ref="AC556" authorId="0" shapeId="0" xr:uid="{00000000-0006-0000-0000-00002A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56" authorId="0" shapeId="0" xr:uid="{00000000-0006-0000-0000-0000D9060000}">
      <text>
        <r>
          <rPr>
            <sz val="11"/>
            <color rgb="FF000000"/>
            <rFont val="Calibri"/>
            <family val="2"/>
            <charset val="1"/>
          </rPr>
          <t xml:space="preserve">CELG JAN/21 LANÇADO NA PLANILHA DE FEV/21
</t>
        </r>
      </text>
    </comment>
    <comment ref="AU556" authorId="0" shapeId="0" xr:uid="{00000000-0006-0000-0000-0000D8090000}">
      <text>
        <r>
          <rPr>
            <sz val="11"/>
            <color rgb="FF000000"/>
            <rFont val="Calibri"/>
            <family val="2"/>
            <charset val="1"/>
          </rPr>
          <t xml:space="preserve">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r>
      </text>
    </comment>
    <comment ref="AX556" authorId="0" shapeId="0" xr:uid="{00000000-0006-0000-0000-0000A10A0000}">
      <text>
        <r>
          <rPr>
            <sz val="11"/>
            <color rgb="FF000000"/>
            <rFont val="Calibri"/>
            <family val="2"/>
            <charset val="1"/>
          </rPr>
          <t xml:space="preserve">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r>
      </text>
    </comment>
    <comment ref="U557" authorId="0" shapeId="0" xr:uid="{00000000-0006-0000-0000-000019020000}">
      <text>
        <r>
          <rPr>
            <sz val="9"/>
            <color rgb="FF000000"/>
            <rFont val="Segoe UI"/>
            <family val="2"/>
            <charset val="1"/>
          </rPr>
          <t xml:space="preserve">12 T.Aditivo -25-06-20 a 24-06-20
CUSTEIO: R$ 7.388.757,63
RES.MÉDICA: R$ 90.940,17
</t>
        </r>
      </text>
    </comment>
    <comment ref="V557" authorId="0" shapeId="0" xr:uid="{00000000-0006-0000-0000-00002A020000}">
      <text>
        <r>
          <rPr>
            <sz val="11"/>
            <color rgb="FF000000"/>
            <rFont val="Calibri"/>
            <family val="2"/>
            <charset val="1"/>
          </rPr>
          <t xml:space="preserve">VIGÊNCIA A PARTIR DA OUTORGA, QUE FOI 19/03/21 A 24/06/21
</t>
        </r>
        <r>
          <rPr>
            <sz val="9"/>
            <color rgb="FF000000"/>
            <rFont val="Segoe UI"/>
            <family val="2"/>
            <charset val="1"/>
          </rPr>
          <t>.
implementação de 10 leitos críticos para atendimento de todos os pacientes agravos infectocontagiosos que necessitam de isolamento do HDT,</t>
        </r>
      </text>
    </comment>
    <comment ref="Z557" authorId="0" shapeId="0" xr:uid="{00000000-0006-0000-0000-000089020000}">
      <text>
        <r>
          <rPr>
            <sz val="11"/>
            <color rgb="FF000000"/>
            <rFont val="Calibri"/>
            <family val="2"/>
            <charset val="1"/>
          </rPr>
          <t xml:space="preserve">FOLHA - REFERÊNCIA FEV/21- LANÇADO PLANILHA PAGAMENTO GEFIC EM MAR/21.
</t>
        </r>
      </text>
    </comment>
    <comment ref="AA557" authorId="0" shapeId="0" xr:uid="{00000000-0006-0000-0000-0000B7030000}">
      <text>
        <r>
          <rPr>
            <sz val="11"/>
            <color rgb="FF000000"/>
            <rFont val="Calibri"/>
            <family val="2"/>
            <charset val="1"/>
          </rPr>
          <t xml:space="preserve">FOLHA - REFERÊNCIA FEV/21- LANÇADO PLANILHA PAGAMENTO GEFIC EM MAR/21.
</t>
        </r>
      </text>
    </comment>
    <comment ref="AC557" authorId="0" shapeId="0" xr:uid="{00000000-0006-0000-0000-00002B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57" authorId="0" shapeId="0" xr:uid="{00000000-0006-0000-0000-0000DA060000}">
      <text>
        <r>
          <rPr>
            <sz val="11"/>
            <color rgb="FF000000"/>
            <rFont val="Calibri"/>
            <family val="2"/>
            <charset val="1"/>
          </rPr>
          <t xml:space="preserve">CELG FEV/21 LANÇADO NA PLANILHA DE MAR/21
</t>
        </r>
      </text>
    </comment>
    <comment ref="U558" authorId="0" shapeId="0" xr:uid="{00000000-0006-0000-0000-00001A020000}">
      <text>
        <r>
          <rPr>
            <sz val="9"/>
            <color rgb="FF000000"/>
            <rFont val="Segoe UI"/>
            <family val="2"/>
            <charset val="1"/>
          </rPr>
          <t xml:space="preserve">12 T.Aditivo -25-06-20 a 24-06-20
CUSTEIO: R$ 7.388.757,63
RES.MÉDICA: R$ 90.940,17
</t>
        </r>
      </text>
    </comment>
    <comment ref="V558" authorId="0" shapeId="0" xr:uid="{00000000-0006-0000-0000-00002B020000}">
      <text>
        <r>
          <rPr>
            <b/>
            <sz val="9"/>
            <color rgb="FF000000"/>
            <rFont val="Segoe UI"/>
            <family val="2"/>
            <charset val="1"/>
          </rPr>
          <t>implementação de 10 leitos críticos para atendimento de todos os pacientes agravos infectocontagiosos que necessitam de isolamento do HDT,</t>
        </r>
      </text>
    </comment>
    <comment ref="Z558" authorId="0" shapeId="0" xr:uid="{00000000-0006-0000-0000-00008A020000}">
      <text>
        <r>
          <rPr>
            <sz val="11"/>
            <color rgb="FF000000"/>
            <rFont val="Calibri"/>
            <family val="2"/>
            <charset val="1"/>
          </rPr>
          <t xml:space="preserve">FOLHA - REFERÊNCIA MAR/21- LANÇADO PLANILHA PAGAMENTO GEFIC EM ABR/21.
</t>
        </r>
      </text>
    </comment>
    <comment ref="AA558" authorId="0" shapeId="0" xr:uid="{00000000-0006-0000-0000-0000B8030000}">
      <text>
        <r>
          <rPr>
            <sz val="11"/>
            <color rgb="FF000000"/>
            <rFont val="Calibri"/>
            <family val="2"/>
            <charset val="1"/>
          </rPr>
          <t xml:space="preserve">FOLHA - REFERÊNCIA MAR/21- LANÇADO PLANILHA PAGAMENTO GEFIC EM ABR/21.
</t>
        </r>
      </text>
    </comment>
    <comment ref="AC558" authorId="0" shapeId="0" xr:uid="{00000000-0006-0000-0000-00002C050000}">
      <text>
        <r>
          <rPr>
            <sz val="11"/>
            <color rgb="FF000000"/>
            <rFont val="Calibri"/>
            <family val="2"/>
            <charset val="1"/>
          </rPr>
          <t xml:space="preserve">OI - REFERÊNCIA ABR/21 - LANÇADO PLANILHA PAGAMENTO GEFIC EM ABR/21
</t>
        </r>
      </text>
    </comment>
    <comment ref="AD558" authorId="0" shapeId="0" xr:uid="{00000000-0006-0000-0000-0000DB060000}">
      <text>
        <r>
          <rPr>
            <sz val="11"/>
            <color rgb="FF000000"/>
            <rFont val="Calibri"/>
            <family val="2"/>
            <charset val="1"/>
          </rPr>
          <t xml:space="preserve">CELG MAR/21 LANÇADO NA PLANILHA DE ABR/21
</t>
        </r>
      </text>
    </comment>
    <comment ref="U559" authorId="0" shapeId="0" xr:uid="{00000000-0006-0000-0000-00001B020000}">
      <text>
        <r>
          <rPr>
            <sz val="9"/>
            <color rgb="FF000000"/>
            <rFont val="Segoe UI"/>
            <family val="2"/>
            <charset val="1"/>
          </rPr>
          <t xml:space="preserve">12 T.Aditivo -25-06-20 a 24-06-20
CUSTEIO: R$ 7.388.757,63
RES.MÉDICA: R$ 90.940,17
</t>
        </r>
      </text>
    </comment>
    <comment ref="V559" authorId="0" shapeId="0" xr:uid="{00000000-0006-0000-0000-00002C020000}">
      <text>
        <r>
          <rPr>
            <b/>
            <sz val="9"/>
            <color rgb="FF000000"/>
            <rFont val="Segoe UI"/>
            <family val="2"/>
            <charset val="1"/>
          </rPr>
          <t>implementação de 10 leitos críticos para atendimento de todos os pacientes agravos infectocontagiosos que necessitam de isolamento do HDT,</t>
        </r>
      </text>
    </comment>
    <comment ref="Z559" authorId="0" shapeId="0" xr:uid="{00000000-0006-0000-0000-00008B020000}">
      <text>
        <r>
          <rPr>
            <sz val="11"/>
            <color rgb="FF000000"/>
            <rFont val="Calibri"/>
            <family val="2"/>
            <charset val="1"/>
          </rPr>
          <t xml:space="preserve">FOLHA - REFERÊNCIA ABR/21- LANÇADO PLANILHA PAGAMENTO GEFIC EM MAI/21.
</t>
        </r>
      </text>
    </comment>
    <comment ref="AA559" authorId="0" shapeId="0" xr:uid="{00000000-0006-0000-0000-0000B9030000}">
      <text>
        <r>
          <rPr>
            <sz val="11"/>
            <color rgb="FF000000"/>
            <rFont val="Calibri"/>
            <family val="2"/>
            <charset val="1"/>
          </rPr>
          <t xml:space="preserve">FOLHA - REFERÊNCIA ABR/21- LANÇADO PLANILHA PAGAMENTO GEFIC EM MAI/21.
</t>
        </r>
      </text>
    </comment>
    <comment ref="AC559" authorId="0" shapeId="0" xr:uid="{00000000-0006-0000-0000-00002D050000}">
      <text>
        <r>
          <rPr>
            <sz val="11"/>
            <color rgb="FF000000"/>
            <rFont val="Calibri"/>
            <family val="2"/>
            <charset val="1"/>
          </rPr>
          <t xml:space="preserve">OI - REFERÊNCIA MAI/21 - LANÇADO PLANILHA PAGAMENTO GEFIC EM MAI/21
</t>
        </r>
      </text>
    </comment>
    <comment ref="AD559" authorId="0" shapeId="0" xr:uid="{00000000-0006-0000-0000-0000DC060000}">
      <text>
        <r>
          <rPr>
            <sz val="11"/>
            <color rgb="FF000000"/>
            <rFont val="Calibri"/>
            <family val="2"/>
            <charset val="1"/>
          </rPr>
          <t xml:space="preserve">CELG ABR/21 LANÇADO NA PLANILHA DE MAI/21
</t>
        </r>
      </text>
    </comment>
    <comment ref="D560" authorId="0" shapeId="0" xr:uid="{00000000-0006-0000-0000-000005000000}">
      <text>
        <r>
          <rPr>
            <sz val="11"/>
            <color rgb="FF000000"/>
            <rFont val="Calibri"/>
            <family val="2"/>
            <charset val="1"/>
          </rPr>
          <t xml:space="preserve">12 T.Aditivo -25-06-20 a 24-06-20
</t>
        </r>
      </text>
    </comment>
    <comment ref="U560" authorId="0" shapeId="0" xr:uid="{00000000-0006-0000-0000-00001C020000}">
      <text>
        <r>
          <rPr>
            <sz val="9"/>
            <color rgb="FF000000"/>
            <rFont val="Segoe UI"/>
            <family val="2"/>
            <charset val="1"/>
          </rPr>
          <t xml:space="preserve">12 T.Aditivo -25-06-20 a 24-06-20
CUSTEIO: R$5.911.006,10
RES.MÉDICA: R$ 72.752,14
</t>
        </r>
      </text>
    </comment>
    <comment ref="V560" authorId="0" shapeId="0" xr:uid="{00000000-0006-0000-0000-00002D020000}">
      <text>
        <r>
          <rPr>
            <sz val="11"/>
            <color rgb="FF000000"/>
            <rFont val="Calibri"/>
            <family val="2"/>
            <charset val="1"/>
          </rPr>
          <t xml:space="preserve">VIGÊNCIA A PARTIR DA OUTORGA, QUE FOI 19/03/21 A 24/06/21
.
implementação de 10 leitos críticos para atendimento de todos os pacientes agravos infectocontagiosos que necessitam de isolamento do HDT,
</t>
        </r>
      </text>
    </comment>
    <comment ref="Z560" authorId="0" shapeId="0" xr:uid="{00000000-0006-0000-0000-00008C020000}">
      <text>
        <r>
          <rPr>
            <sz val="11"/>
            <color rgb="FF000000"/>
            <rFont val="Calibri"/>
            <family val="2"/>
            <charset val="1"/>
          </rPr>
          <t xml:space="preserve">FOLHA - REFERÊNCIA MAI/21- LANÇADO PLANILHA PAGAMENTO GEFIC EM JUN/21.
</t>
        </r>
      </text>
    </comment>
    <comment ref="AA560" authorId="0" shapeId="0" xr:uid="{00000000-0006-0000-0000-0000BA030000}">
      <text>
        <r>
          <rPr>
            <sz val="11"/>
            <color rgb="FF000000"/>
            <rFont val="Calibri"/>
            <family val="2"/>
            <charset val="1"/>
          </rPr>
          <t xml:space="preserve">FOLHA - REFERÊNCIA MAI/21- LANÇADO PLANILHA PAGAMENTO GEFIC EM JUN/21.
</t>
        </r>
      </text>
    </comment>
    <comment ref="AD560" authorId="0" shapeId="0" xr:uid="{00000000-0006-0000-0000-0000DD060000}">
      <text>
        <r>
          <rPr>
            <sz val="11"/>
            <color rgb="FF000000"/>
            <rFont val="Calibri"/>
            <family val="2"/>
            <charset val="1"/>
          </rPr>
          <t xml:space="preserve">CELG MA/21 LANÇADO NA PLANILHA DE JUN/21
</t>
        </r>
      </text>
    </comment>
    <comment ref="AX560" authorId="0" shapeId="0" xr:uid="{00000000-0006-0000-0000-0000A20A0000}">
      <text>
        <r>
          <rPr>
            <sz val="11"/>
            <color rgb="FF000000"/>
            <rFont val="Calibri"/>
            <family val="2"/>
            <charset val="1"/>
          </rPr>
          <t xml:space="preserve">R$ 1.612.247,54 - REGULARIZAÇÃO DE DESPESA PARCIAL PELO PERÍODO DE 25/06/2021 A 30/
06/2021, RELATIVA AO 14º TERMO ADITIVO AO CONTRATO DE GESTÃO Nº 091/2012-SES
/GO A SER FIRMADO ENTRE O ESTADO DE GOIÁS, ATRAVÉS DA SECRETARIA DE ESTADO D
A SAÚDE - SES/GO E A ORGANIZAÇÃO SOCIAL INSTITUTO SÓCRATES GUANAES — ISG, PA
RA O GERENCIAMENTO, OPERACIONALIZAÇÃO E EXECUÇÃO DAS AÇÕES NO HOSPITAL ESTAD
UAL DE DOENÇAS TROPICAIS DR. ANUAR AUAD (HDT).............. R$ 1.612.247,54
.DOCUMENTAÇÃO:DESPACHO Nº 1422/2021 - SUPER, REQUISIÇÃO DE DESPESA N° 110/20
21 – SUPER, ANEXO II DESPACHO Nº 01448/2021, DESPACHO Nº 3952/2021 - SGI. PROC.202100010028618.
</t>
        </r>
      </text>
    </comment>
    <comment ref="AX561" authorId="0" shapeId="0" xr:uid="{00000000-0006-0000-0000-0000A30A0000}">
      <text>
        <r>
          <rPr>
            <sz val="11"/>
            <color rgb="FF000000"/>
            <rFont val="Calibri"/>
            <family val="2"/>
            <charset val="1"/>
          </rPr>
          <t xml:space="preserve">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 PROC.202100010028618
</t>
        </r>
        <r>
          <rPr>
            <sz val="9"/>
            <color rgb="FF000000"/>
            <rFont val="Tahoma"/>
            <family val="2"/>
            <charset val="1"/>
          </rPr>
          <t xml:space="preserve">.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r>
      </text>
    </comment>
    <comment ref="AX562" authorId="0" shapeId="0" xr:uid="{00000000-0006-0000-0000-0000A40A0000}">
      <text>
        <r>
          <rPr>
            <sz val="11"/>
            <color rgb="FF000000"/>
            <rFont val="Calibri"/>
            <family val="2"/>
            <charset val="1"/>
          </rPr>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t>
        </r>
        <r>
          <rPr>
            <sz val="9"/>
            <color rgb="FF000000"/>
            <rFont val="Segoe UI"/>
            <family val="2"/>
            <charset val="1"/>
          </rPr>
          <t xml:space="preserve">.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r>
      </text>
    </comment>
    <comment ref="AX563" authorId="0" shapeId="0" xr:uid="{00000000-0006-0000-0000-0000A50A0000}">
      <text>
        <r>
          <rPr>
            <b/>
            <sz val="9"/>
            <color rgb="FF000000"/>
            <rFont val="Segoe UI"/>
            <family val="2"/>
            <charset val="1"/>
          </rPr>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r>
      </text>
    </comment>
    <comment ref="AD576" authorId="0" shapeId="0" xr:uid="{00000000-0006-0000-0000-0000DE060000}">
      <text>
        <r>
          <rPr>
            <b/>
            <sz val="9"/>
            <color rgb="FF000000"/>
            <rFont val="Tahoma"/>
            <family val="2"/>
            <charset val="1"/>
          </rPr>
          <t>GLOSA REF.AO FORNECIMENTO EM SET/17.</t>
        </r>
      </text>
    </comment>
    <comment ref="AD577" authorId="0" shapeId="0" xr:uid="{00000000-0006-0000-0000-0000DF060000}">
      <text>
        <r>
          <rPr>
            <b/>
            <sz val="9"/>
            <color rgb="FF000000"/>
            <rFont val="Tahoma"/>
            <family val="2"/>
            <charset val="1"/>
          </rPr>
          <t>GLOSA REF.AO FORNECIMENTO EM OUT/17 R$ 5.849,05 E NOV/17 1.251,85.</t>
        </r>
      </text>
    </comment>
    <comment ref="AP577" authorId="0" shapeId="0" xr:uid="{00000000-0006-0000-0000-000083090000}">
      <text>
        <r>
          <rPr>
            <sz val="9"/>
            <color rgb="FF000000"/>
            <rFont val="Tahoma"/>
            <family val="2"/>
            <charset val="1"/>
          </rPr>
          <t xml:space="preserve">VALOR FOI LIQUIDADO A MAIOR E PAGO  COMO CUSTEIO  - HOUVE DEDUÇÃO COMO GLOSA NO MÊS DE MARÇO/18
</t>
        </r>
      </text>
    </comment>
    <comment ref="AW577" authorId="0" shapeId="0" xr:uid="{00000000-0006-0000-0000-00003A0A0000}">
      <text>
        <r>
          <rPr>
            <sz val="9"/>
            <color rgb="FF000000"/>
            <rFont val="Tahoma"/>
            <family val="2"/>
            <charset val="1"/>
          </rPr>
          <t xml:space="preserve">PROC.201700010012378 - AQUISIÇÃO DE 33 AR CONDICIONADO VISANDO ADEQUAÇÃO DAS ENFERMARIAS DA ALA  DE  INTERNAÇÃO.
</t>
        </r>
      </text>
    </comment>
    <comment ref="AD579" authorId="0" shapeId="0" xr:uid="{00000000-0006-0000-0000-0000E0060000}">
      <text>
        <r>
          <rPr>
            <b/>
            <sz val="9"/>
            <color rgb="FF000000"/>
            <rFont val="Tahoma"/>
            <family val="2"/>
            <charset val="1"/>
          </rPr>
          <t xml:space="preserve">CELG - JANEIRO/18
</t>
        </r>
      </text>
    </comment>
    <comment ref="AD580" authorId="0" shapeId="0" xr:uid="{00000000-0006-0000-0000-0000E1060000}">
      <text>
        <r>
          <rPr>
            <b/>
            <sz val="9"/>
            <color rgb="FF000000"/>
            <rFont val="Tahoma"/>
            <family val="2"/>
            <charset val="1"/>
          </rPr>
          <t xml:space="preserve">CELG -FEVEREIRO/18
</t>
        </r>
      </text>
    </comment>
    <comment ref="AE580" authorId="0" shapeId="0" xr:uid="{00000000-0006-0000-0000-000090080000}">
      <text>
        <r>
          <rPr>
            <sz val="9"/>
            <color rgb="FF000000"/>
            <rFont val="Tahoma"/>
            <family val="2"/>
            <charset val="1"/>
          </rPr>
          <t xml:space="preserve">VALOR FOI LIQUIDADO A MAIOR E PAGO  COMO CUSTEIO  - HOUVE DEDUÇÃO COMO GLOSA NO MÊS DE MARÇO/18
</t>
        </r>
      </text>
    </comment>
    <comment ref="AD581" authorId="0" shapeId="0" xr:uid="{00000000-0006-0000-0000-0000E2060000}">
      <text>
        <r>
          <rPr>
            <b/>
            <sz val="9"/>
            <color rgb="FF000000"/>
            <rFont val="Tahoma"/>
            <family val="2"/>
            <charset val="1"/>
          </rPr>
          <t xml:space="preserve">MAR/18
</t>
        </r>
      </text>
    </comment>
    <comment ref="AD582" authorId="0" shapeId="0" xr:uid="{00000000-0006-0000-0000-0000E3060000}">
      <text>
        <r>
          <rPr>
            <b/>
            <sz val="9"/>
            <color rgb="FF000000"/>
            <rFont val="Tahoma"/>
            <family val="2"/>
            <charset val="1"/>
          </rPr>
          <t xml:space="preserve">CELG - ABRIL/2018
</t>
        </r>
      </text>
    </comment>
    <comment ref="P583" authorId="0" shapeId="0" xr:uid="{00000000-0006-0000-0000-000076010000}">
      <text>
        <r>
          <rPr>
            <sz val="9"/>
            <color rgb="FF000000"/>
            <rFont val="Tahoma"/>
            <family val="2"/>
            <charset val="1"/>
          </rPr>
          <t xml:space="preserve">A PARTIR DE 28/06/18
</t>
        </r>
      </text>
    </comment>
    <comment ref="AF583" authorId="0" shapeId="0" xr:uid="{00000000-0006-0000-0000-00000F090000}">
      <text>
        <r>
          <rPr>
            <b/>
            <sz val="9"/>
            <color rgb="FF000000"/>
            <rFont val="Tahoma"/>
            <family val="2"/>
            <charset val="1"/>
          </rPr>
          <t xml:space="preserve">R$ 480.679,84 - PARTE DO VALOR CONFORME MEMORANDO Nº174/2018-SGPF/SES, COMPENSAÇÃO DE SALDO VISTO DISPONIBILIDADE DE SALDO FINANCEIRO NECESSÁRIO PARA ENCERRAMENTO  DO ANO  CONTÁBIL(VALOR TOTAL R$ 1.216.458,41).
</t>
        </r>
      </text>
    </comment>
    <comment ref="AD584" authorId="0" shapeId="0" xr:uid="{00000000-0006-0000-0000-0000E4060000}">
      <text>
        <r>
          <rPr>
            <b/>
            <sz val="9"/>
            <color rgb="FF000000"/>
            <rFont val="Tahoma"/>
            <family val="2"/>
            <charset val="1"/>
          </rPr>
          <t xml:space="preserve">CELG - JUN/18
</t>
        </r>
      </text>
    </comment>
    <comment ref="AE584" authorId="0" shapeId="0" xr:uid="{00000000-0006-0000-0000-000091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4" authorId="0" shapeId="0" xr:uid="{00000000-0006-0000-0000-000010090000}">
      <text>
        <r>
          <rPr>
            <sz val="11"/>
            <color rgb="FF000000"/>
            <rFont val="Calibri"/>
            <family val="2"/>
            <charset val="1"/>
          </rPr>
          <t xml:space="preserve">
</t>
        </r>
        <r>
          <rPr>
            <sz val="9"/>
            <color rgb="FF000000"/>
            <rFont val="Tahoma"/>
            <family val="2"/>
            <charset val="1"/>
          </rPr>
          <t>.
R$ 259.367,68 - PARTE DO VALOR CONFORME MEMORANDO Nº174/2018-SGPF/SES, COMPENSAÇÃO DE SALDO VISTO DISPONIBILIDADE DE SALDO FINANCEIRO NECESSÁRIO PARA ENCERRAMENTO  DO ANO  CONTÁBIL(VALOR TOTAL R$ 1.216.458,41).</t>
        </r>
      </text>
    </comment>
    <comment ref="AD585" authorId="0" shapeId="0" xr:uid="{00000000-0006-0000-0000-0000E5060000}">
      <text>
        <r>
          <rPr>
            <b/>
            <sz val="9"/>
            <color rgb="FF000000"/>
            <rFont val="Tahoma"/>
            <family val="2"/>
            <charset val="1"/>
          </rPr>
          <t xml:space="preserve">CELG - JUL/2018
</t>
        </r>
      </text>
    </comment>
    <comment ref="AE585" authorId="0" shapeId="0" xr:uid="{00000000-0006-0000-0000-000092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5" authorId="0" shapeId="0" xr:uid="{00000000-0006-0000-0000-000011090000}">
      <text>
        <r>
          <rPr>
            <sz val="11"/>
            <color rgb="FF000000"/>
            <rFont val="Calibri"/>
            <family val="2"/>
            <charset val="1"/>
          </rPr>
          <t xml:space="preserve">
</t>
        </r>
        <r>
          <rPr>
            <sz val="9"/>
            <color rgb="FF000000"/>
            <rFont val="Tahoma"/>
            <family val="2"/>
            <charset val="1"/>
          </rPr>
          <t>.
R$ 476.410,89 -RESTANTE DO  VALOR CONFORME MEMORANDO Nº174/2018-SGPF/SES, COMPENSAÇÃO DE SALDO VISTO DISPONIBILIDADE DE SALDO FINANCEIRO NECESSÁRIO PARA ENCERRAMENTO  DO ANO  CONTÁBIL(VALOR TOTAL R$ 1.216.458,41).</t>
        </r>
      </text>
    </comment>
    <comment ref="AD586" authorId="0" shapeId="0" xr:uid="{00000000-0006-0000-0000-0000E6060000}">
      <text>
        <r>
          <rPr>
            <b/>
            <sz val="9"/>
            <color rgb="FF000000"/>
            <rFont val="Tahoma"/>
            <family val="2"/>
            <charset val="1"/>
          </rPr>
          <t>CELG - AGO/18</t>
        </r>
      </text>
    </comment>
    <comment ref="AE586" authorId="0" shapeId="0" xr:uid="{00000000-0006-0000-0000-000093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D587" authorId="0" shapeId="0" xr:uid="{00000000-0006-0000-0000-0000E7060000}">
      <text>
        <r>
          <rPr>
            <b/>
            <sz val="9"/>
            <color rgb="FF000000"/>
            <rFont val="Tahoma"/>
            <family val="2"/>
            <charset val="1"/>
          </rPr>
          <t xml:space="preserve">CELG - SET/18
</t>
        </r>
      </text>
    </comment>
    <comment ref="AE587" authorId="0" shapeId="0" xr:uid="{00000000-0006-0000-0000-000094080000}">
      <text>
        <r>
          <rPr>
            <b/>
            <sz val="9"/>
            <color rgb="FF000000"/>
            <rFont val="Tahoma"/>
            <family val="2"/>
            <charset val="1"/>
          </rPr>
          <t>AJUSTE FINANCEIRO POR NÃO CUMPRIMENTO DE METAS: PROC.201700010027162-PERIODO DE JAN A JUN/17 R$ 2.579.931,00 (DIVIDIDO EM 6 PARCELA DE R$ 429.988,50)  CONF.PARECER TÉCNICO Nº 043/2017 - COMACG/SES -GO E MEMO 2663/2018 SEI - SGPF - 03079
.
GLOSA FOLHA DE OUT (R$ 142.142,38), NOV (R$ 133.290,68) E DEZ (R$ 146.087,62) DE 2014, FOI SUSPENSA NA ÉPOCA,   recomendação contida no Relatório Complementar de Auditoria Conclusivo nº 814/2020-MS,  na Constatação Nº: 493088 - realização de Glosas não  realizadas, Item 2 do Registro Administrativo nº 1628 do Ministério Público do Estado de Goiás, que relata a  não ocorrência das glosas das folhas de pessoal referentes aos meses de outubro a dezembro de 2014 no valor total de R$ 421.520,68, Processo nº201900010006849.</t>
        </r>
      </text>
    </comment>
    <comment ref="AE588" authorId="0" shapeId="0" xr:uid="{00000000-0006-0000-0000-000095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E589" authorId="0" shapeId="0" xr:uid="{00000000-0006-0000-0000-000096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O589" authorId="0" shapeId="0" xr:uid="{00000000-0006-0000-0000-000071090000}">
      <text>
        <r>
          <rPr>
            <b/>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-30.455,76
JULHO/17.................R$ -15.679,04
AGOSTO/17...............R$ 21.737,11
SETEMBRO/17...........R$ 5.636,15
NOVEMBRO/17...........R$ -181.281,22
TOTAL.....................R$  -200.042,76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JUNHO/17.................R$ 116,70
JULHO/17.................R$ 400,52
SETEMBRO/17...........R$ 99,91
OUTUBRO/17............R$ 406,45
TOTAL.....................R$ 1.023,58
.
NO ENCONTRO DE CONTAS SALDO A SER REPASSADO A OS..................R$ 199.019,18</t>
        </r>
      </text>
    </comment>
    <comment ref="AC590" authorId="0" shapeId="0" xr:uid="{00000000-0006-0000-0000-00002E050000}">
      <text>
        <r>
          <rPr>
            <sz val="9"/>
            <color rgb="FF000000"/>
            <rFont val="Tahoma"/>
            <family val="2"/>
            <charset val="1"/>
          </rPr>
          <t xml:space="preserve">TEFEFONIA FIXA:
*R$ 41,25  Diferença (DEZ/18) apurada referente a glosa efetuada a menor - mês DEZ/18;
* R$ 1.200,92 Telefonia Fixa.
</t>
        </r>
      </text>
    </comment>
    <comment ref="AD590" authorId="0" shapeId="0" xr:uid="{00000000-0006-0000-0000-0000E8060000}">
      <text>
        <r>
          <rPr>
            <b/>
            <sz val="9"/>
            <color rgb="FF000000"/>
            <rFont val="Tahoma"/>
            <family val="2"/>
            <charset val="1"/>
          </rPr>
          <t xml:space="preserve">ENEL :
* R$ 1.076,19 Diferença (NOV/18) apurada referente a glosa efetuada a menor - mês DEZ/18;
* R$ 8.082,06 DEZ/18.
</t>
        </r>
      </text>
    </comment>
    <comment ref="AC592" authorId="0" shapeId="0" xr:uid="{00000000-0006-0000-0000-00002F050000}">
      <text>
        <r>
          <rPr>
            <b/>
            <sz val="9"/>
            <color rgb="FF000000"/>
            <rFont val="Tahoma"/>
            <family val="2"/>
            <charset val="1"/>
          </rPr>
          <t>TELEFONIA FIXA -REFERÊNCIA FEV/19 - LANÇADO PLANILHA GEFIC EM FEV/19</t>
        </r>
      </text>
    </comment>
    <comment ref="AD592" authorId="0" shapeId="0" xr:uid="{00000000-0006-0000-0000-0000E9060000}">
      <text>
        <r>
          <rPr>
            <b/>
            <sz val="9"/>
            <color rgb="FF000000"/>
            <rFont val="Tahoma"/>
            <family val="2"/>
            <charset val="1"/>
          </rPr>
          <t xml:space="preserve">REFERÊNCIA JAN/19 - LANÇADO PLANILHA GEFIC EM FEV/19
</t>
        </r>
      </text>
    </comment>
    <comment ref="AA593" authorId="0" shapeId="0" xr:uid="{00000000-0006-0000-0000-0000BB030000}">
      <text>
        <r>
          <rPr>
            <b/>
            <sz val="9"/>
            <color rgb="FF000000"/>
            <rFont val="Tahoma"/>
            <family val="2"/>
            <charset val="1"/>
          </rPr>
          <t xml:space="preserve">VALOR ESTIMADO PREVISTO CONTRATO GESTÃO. </t>
        </r>
      </text>
    </comment>
    <comment ref="AC593" authorId="0" shapeId="0" xr:uid="{00000000-0006-0000-0000-000030050000}">
      <text>
        <r>
          <rPr>
            <b/>
            <sz val="9"/>
            <color rgb="FF000000"/>
            <rFont val="Tahoma"/>
            <family val="2"/>
            <charset val="1"/>
          </rPr>
          <t xml:space="preserve">TELEFONIA FIXA -REFERÊNCIA MAR/19 - LANÇADO PLANILHA GEFIC EM MAR/19
</t>
        </r>
      </text>
    </comment>
    <comment ref="AD593" authorId="0" shapeId="0" xr:uid="{00000000-0006-0000-0000-0000EA060000}">
      <text>
        <r>
          <rPr>
            <b/>
            <sz val="9"/>
            <color rgb="FF000000"/>
            <rFont val="Tahoma"/>
            <family val="2"/>
            <charset val="1"/>
          </rPr>
          <t xml:space="preserve">REFERÊNCIA FEV/19 - LANÇADO PLANILHA GEFIC EM MAR19
</t>
        </r>
      </text>
    </comment>
    <comment ref="AA594" authorId="0" shapeId="0" xr:uid="{00000000-0006-0000-0000-0000BC030000}">
      <text>
        <r>
          <rPr>
            <b/>
            <sz val="9"/>
            <color rgb="FF000000"/>
            <rFont val="Tahoma"/>
            <family val="2"/>
            <charset val="1"/>
          </rPr>
          <t xml:space="preserve">VALOR ESTIMADO PREVISTO CONTRATO GESTÃO. </t>
        </r>
      </text>
    </comment>
    <comment ref="AC594" authorId="0" shapeId="0" xr:uid="{00000000-0006-0000-0000-000031050000}">
      <text>
        <r>
          <rPr>
            <b/>
            <sz val="9"/>
            <color rgb="FF000000"/>
            <rFont val="Tahoma"/>
            <family val="2"/>
            <charset val="1"/>
          </rPr>
          <t xml:space="preserve">TELEFONIA FIXA -REFERÊNCIA ABR/19 - LANÇADO PLANILHA GEFIC EM ABR/19
</t>
        </r>
      </text>
    </comment>
    <comment ref="AD594" authorId="0" shapeId="0" xr:uid="{00000000-0006-0000-0000-0000EB060000}">
      <text>
        <r>
          <rPr>
            <b/>
            <sz val="9"/>
            <color rgb="FF000000"/>
            <rFont val="Tahoma"/>
            <family val="2"/>
            <charset val="1"/>
          </rPr>
          <t xml:space="preserve">REFERÊNCIA MAR/19 - LANÇADO PLANILHA GEFIC EM ABR/19
</t>
        </r>
      </text>
    </comment>
    <comment ref="P595" authorId="0" shapeId="0" xr:uid="{00000000-0006-0000-0000-000077010000}">
      <text>
        <r>
          <rPr>
            <sz val="9"/>
            <color rgb="FF000000"/>
            <rFont val="Tahoma"/>
            <family val="2"/>
            <charset val="1"/>
          </rPr>
          <t xml:space="preserve">ATÉ 27/06/19
</t>
        </r>
      </text>
    </comment>
    <comment ref="Q595" authorId="0" shapeId="0" xr:uid="{00000000-0006-0000-0000-0000B7010000}">
      <text>
        <r>
          <rPr>
            <b/>
            <sz val="9"/>
            <color rgb="FF000000"/>
            <rFont val="Tahoma"/>
            <family val="2"/>
            <charset val="1"/>
          </rPr>
          <t>a partir 28/06/19</t>
        </r>
      </text>
    </comment>
    <comment ref="AC595" authorId="0" shapeId="0" xr:uid="{00000000-0006-0000-0000-000032050000}">
      <text>
        <r>
          <rPr>
            <b/>
            <sz val="9"/>
            <color rgb="FF000000"/>
            <rFont val="Tahoma"/>
            <family val="2"/>
            <charset val="1"/>
          </rPr>
          <t>R$ 1.265,49 TELEFONIA FIXA -REFERÊNCIA MAI/19 - LANÇADO PLANILHA GEFIC EM MAI/19
.
R$ 1.103,70 TELEFONIA FIXA -REFERÊNCIA JUN/19 - LANÇADO PLANILHA GEFIC EM JUN/19</t>
        </r>
      </text>
    </comment>
    <comment ref="AD595" authorId="0" shapeId="0" xr:uid="{00000000-0006-0000-0000-0000EC060000}">
      <text>
        <r>
          <rPr>
            <b/>
            <sz val="9"/>
            <color rgb="FF000000"/>
            <rFont val="Tahoma"/>
            <family val="2"/>
            <charset val="1"/>
          </rPr>
          <t>R$ 12.236,56 REFERÊNCIA ABR/19 - LANÇADO PLANILHA GEFIC EM MAI/19.
.
R$ 8.249,84 REFERÊNCIA MAI/19 - LANÇADO PLANILHA GEFIC EM JUN/19</t>
        </r>
      </text>
    </comment>
    <comment ref="Z596" authorId="0" shapeId="0" xr:uid="{00000000-0006-0000-0000-00008D020000}">
      <text>
        <r>
          <rPr>
            <b/>
            <sz val="9"/>
            <color rgb="FF000000"/>
            <rFont val="Tahoma"/>
            <family val="2"/>
            <charset val="1"/>
          </rPr>
          <t xml:space="preserve">VALOR ESTIMADO PREVISTO CONTRATO GESTÃO. </t>
        </r>
      </text>
    </comment>
    <comment ref="AA596" authorId="0" shapeId="0" xr:uid="{00000000-0006-0000-0000-0000BD030000}">
      <text>
        <r>
          <rPr>
            <b/>
            <sz val="9"/>
            <color rgb="FF000000"/>
            <rFont val="Tahoma"/>
            <family val="2"/>
            <charset val="1"/>
          </rPr>
          <t xml:space="preserve">VALOR ESTIMADO PREVISTO CONTRATO GESTÃO. </t>
        </r>
      </text>
    </comment>
    <comment ref="AC596" authorId="0" shapeId="0" xr:uid="{00000000-0006-0000-0000-000033050000}">
      <text>
        <r>
          <rPr>
            <sz val="11"/>
            <color rgb="FF000000"/>
            <rFont val="Calibri"/>
            <family val="2"/>
            <charset val="1"/>
          </rPr>
          <t xml:space="preserve">TELEFONIA FIXA -
REFERÊNCIA JUN/19 - LANÇADO PLANILHA GEFIC EM JUL/19 ( 3 DIAS)...........R$ 122,63
</t>
        </r>
        <r>
          <rPr>
            <sz val="9"/>
            <color rgb="FF000000"/>
            <rFont val="Tahoma"/>
            <family val="2"/>
            <charset val="1"/>
          </rPr>
          <t>REFERÊNCIA JUL/19 - LANÇADO PLANILHA GEFIC EM JUL/19........................................R$ 1.367,32</t>
        </r>
      </text>
    </comment>
    <comment ref="AD596" authorId="0" shapeId="0" xr:uid="{00000000-0006-0000-0000-0000ED060000}">
      <text>
        <r>
          <rPr>
            <sz val="11"/>
            <color rgb="FF000000"/>
            <rFont val="Calibri"/>
            <family val="2"/>
            <charset val="1"/>
          </rPr>
          <t xml:space="preserve">CELG REFERÊNCIA JUN/19 - LANÇADO PLANILHA GEFIC EM JUL/19
</t>
        </r>
      </text>
    </comment>
    <comment ref="AA597" authorId="0" shapeId="0" xr:uid="{00000000-0006-0000-0000-0000BE030000}">
      <text>
        <r>
          <rPr>
            <sz val="11"/>
            <color rgb="FF000000"/>
            <rFont val="Calibri"/>
            <family val="2"/>
            <charset val="1"/>
          </rPr>
          <t xml:space="preserve">VALOR ESTIMADO PREVISTO CONTRATO GESTÃO. 
</t>
        </r>
      </text>
    </comment>
    <comment ref="AA598" authorId="0" shapeId="0" xr:uid="{00000000-0006-0000-0000-0000BF030000}">
      <text>
        <r>
          <rPr>
            <sz val="11"/>
            <color rgb="FF000000"/>
            <rFont val="Calibri"/>
            <family val="2"/>
            <charset val="1"/>
          </rPr>
          <t xml:space="preserve">VALOR ESTIMADO PREVISTO CONTRATO GESTÃO. 
</t>
        </r>
      </text>
    </comment>
    <comment ref="AC598" authorId="0" shapeId="0" xr:uid="{00000000-0006-0000-0000-000034050000}">
      <text>
        <r>
          <rPr>
            <sz val="11"/>
            <color rgb="FF000000"/>
            <rFont val="Calibri"/>
            <family val="2"/>
            <charset val="1"/>
          </rPr>
          <t xml:space="preserve">R$ 1.199,26 TELEFONIA FIXA -REFERÊNCIA AGO/19 - LANÇADO PLANILHA GEFIC EM AGO/19;
</t>
        </r>
        <r>
          <rPr>
            <sz val="9"/>
            <color rgb="FF000000"/>
            <rFont val="Tahoma"/>
            <family val="2"/>
            <charset val="1"/>
          </rPr>
          <t>.
R$ 1.532,89 TELEFONIA FIXA -REFERÊNCIA SET/19 - LANÇADO PLANILHA GEFIC EM SET/19.</t>
        </r>
      </text>
    </comment>
    <comment ref="AD598" authorId="0" shapeId="0" xr:uid="{00000000-0006-0000-0000-0000EE060000}">
      <text>
        <r>
          <rPr>
            <sz val="11"/>
            <color rgb="FF000000"/>
            <rFont val="Calibri"/>
            <family val="2"/>
            <charset val="1"/>
          </rPr>
          <t xml:space="preserve">R$ 6.031,22ENERGIA - REFERÊNCIA JUL/19 - LANÇADO PLANILHA PAGAMENTO GEFIC EM AGO/19;
.
</t>
        </r>
        <r>
          <rPr>
            <sz val="9"/>
            <color rgb="FF000000"/>
            <rFont val="Tahoma"/>
            <family val="2"/>
            <charset val="1"/>
          </rPr>
          <t>R$ 7.343,93 ENERGIA - REFERÊNCIA AGO/19 - LANÇADO PLANILHA PAGAMENTO GEFIC EM SET/19.</t>
        </r>
      </text>
    </comment>
    <comment ref="AA599" authorId="0" shapeId="0" xr:uid="{00000000-0006-0000-0000-0000C0030000}">
      <text>
        <r>
          <rPr>
            <sz val="11"/>
            <color rgb="FF000000"/>
            <rFont val="Calibri"/>
            <family val="2"/>
            <charset val="1"/>
          </rPr>
          <t xml:space="preserve">VALOR ESTIMADO PREVISTO CONTRATO GESTÃO. 
</t>
        </r>
      </text>
    </comment>
    <comment ref="AU599" authorId="0" shapeId="0" xr:uid="{00000000-0006-0000-0000-0000D9090000}">
      <text>
        <r>
          <rPr>
            <sz val="11"/>
            <color rgb="FF000000"/>
            <rFont val="Calibri"/>
            <family val="2"/>
            <charset val="1"/>
          </rPr>
          <t xml:space="preserve">R$ 326.550,53  RESSARCIMENTO DE VALORES DESPENDIDOS COM ENCARGOS DAS RESCISÕES TRABALHISTAS - COND.SOL - DE  JANEIRO/2016 A DEZEMBRO/2017, RELATIVO AO PROC. 201800010000244.
</t>
        </r>
        <r>
          <rPr>
            <sz val="9"/>
            <color rgb="FF000000"/>
            <rFont val="Tahoma"/>
            <family val="2"/>
            <charset val="1"/>
          </rPr>
          <t>.
R$ 153.857,37  RESSARCIMENTO DE VALORES DESPENDIDOS COM ENCARGOS DAS RESCISÕES TRABALHISTAS - COND.SOL - DE  JULHO A SETEMBRO DE 2018, RELATIVO AO PROC. 201800010041749.</t>
        </r>
      </text>
    </comment>
    <comment ref="AA600" authorId="0" shapeId="0" xr:uid="{00000000-0006-0000-0000-0000C1030000}">
      <text>
        <r>
          <rPr>
            <sz val="11"/>
            <color rgb="FF000000"/>
            <rFont val="Calibri"/>
            <family val="2"/>
            <charset val="1"/>
          </rPr>
          <t xml:space="preserve">VALOR ESTIMADO PREVISTO CONTRATO GESTÃO. 
</t>
        </r>
      </text>
    </comment>
    <comment ref="AB600" authorId="0" shapeId="0" xr:uid="{00000000-0006-0000-0000-00009A040000}">
      <text>
        <r>
          <rPr>
            <sz val="11"/>
            <color rgb="FF000000"/>
            <rFont val="Calibri"/>
            <family val="2"/>
            <charset val="1"/>
          </rPr>
          <t xml:space="preserve">DIFERENÇA GLOSA DE FOLHA SET/19 LANÇADA NA PLANILHA DE PREVISÃO DE PAGAMENTO OUT/19DA GEFIC (O PAGAMENTO PASSOU A SER REALIZADO DENTRO DO MÊS DE REFERÊNCIA POR ISSO FOI LANÇADA GLOSA ESTIMADA PREVISTA NO CONTRATO DE GESTÃO)
</t>
        </r>
      </text>
    </comment>
    <comment ref="AC600" authorId="0" shapeId="0" xr:uid="{00000000-0006-0000-0000-000035050000}">
      <text>
        <r>
          <rPr>
            <sz val="11"/>
            <color rgb="FF000000"/>
            <rFont val="Calibri"/>
            <family val="2"/>
            <charset val="1"/>
          </rPr>
          <t xml:space="preserve">TELEFONIA FIXA -REFERÊNCIA OUT/19 - LANÇADO PLANILHA GEFIC EM OUT/19
</t>
        </r>
      </text>
    </comment>
    <comment ref="AD600" authorId="0" shapeId="0" xr:uid="{00000000-0006-0000-0000-0000EF060000}">
      <text>
        <r>
          <rPr>
            <sz val="11"/>
            <color rgb="FF000000"/>
            <rFont val="Calibri"/>
            <family val="2"/>
            <charset val="1"/>
          </rPr>
          <t xml:space="preserve">REFERÊNCIA SET/19 - LANÇADO PLANILHA PAGAMENTO GEFIC EM OUT/19
</t>
        </r>
      </text>
    </comment>
    <comment ref="Q601" authorId="0" shapeId="0" xr:uid="{00000000-0006-0000-0000-0000B8010000}">
      <text>
        <r>
          <rPr>
            <sz val="11"/>
            <color rgb="FF000000"/>
            <rFont val="Calibri"/>
            <family val="2"/>
            <charset val="1"/>
          </rPr>
          <t xml:space="preserve">até 24/12/19
</t>
        </r>
      </text>
    </comment>
    <comment ref="AA601" authorId="0" shapeId="0" xr:uid="{00000000-0006-0000-0000-0000C2030000}">
      <text>
        <r>
          <rPr>
            <sz val="11"/>
            <color rgb="FF000000"/>
            <rFont val="Calibri"/>
            <family val="2"/>
            <charset val="1"/>
          </rPr>
          <t xml:space="preserve">VALOR ESTIMADO PREVISTO CONTRATO GESTÃO. 
</t>
        </r>
      </text>
    </comment>
    <comment ref="AC601" authorId="0" shapeId="0" xr:uid="{00000000-0006-0000-0000-000036050000}">
      <text>
        <r>
          <rPr>
            <sz val="11"/>
            <color rgb="FF000000"/>
            <rFont val="Calibri"/>
            <family val="2"/>
            <charset val="1"/>
          </rPr>
          <t xml:space="preserve">R$ 1.428,88 - TELEFONIA FIXA -REFERÊNCIA NOV/19 - LANÇADO PLANILHA GEFIC EM NOV/19;
.
R$ 1.217,82- (24 DIAS) TELEFONIA FIXA -REFERÊNCIA DEZ/19 - LANÇADO PLANILHA GEFIC EM DEZ/19;
</t>
        </r>
      </text>
    </comment>
    <comment ref="AD601" authorId="0" shapeId="0" xr:uid="{00000000-0006-0000-0000-0000F0060000}">
      <text>
        <r>
          <rPr>
            <sz val="11"/>
            <color rgb="FF000000"/>
            <rFont val="Calibri"/>
            <family val="2"/>
            <charset val="1"/>
          </rPr>
          <t xml:space="preserve">R$ 10.314,77 - ENERGIA - REFERÊNCIA OUT/19 - LANÇADO PLANILHA PAGAMENTO GEFIC EM NOV/19;
.
R$ 9.295,41- ENERGIA - REFERÊNCIA NOV/19 - LANÇADO PLANILHA PAGAMENTO GEFIC EM DEZ/19;
</t>
        </r>
        <r>
          <rPr>
            <sz val="9"/>
            <color rgb="FF000000"/>
            <rFont val="Tahoma"/>
            <family val="2"/>
            <charset val="1"/>
          </rPr>
          <t>.
R$ 8.541,89 - Estimativa ENERGIA - REFERÊNCIA DEZ/19.</t>
        </r>
      </text>
    </comment>
    <comment ref="AA602" authorId="0" shapeId="0" xr:uid="{00000000-0006-0000-0000-0000C3030000}">
      <text>
        <r>
          <rPr>
            <sz val="11"/>
            <color rgb="FF000000"/>
            <rFont val="Calibri"/>
            <family val="2"/>
            <charset val="1"/>
          </rPr>
          <t xml:space="preserve">VALOR ESTIMADO PREVISTO CONTRATO GESTÃO. 
</t>
        </r>
      </text>
    </comment>
    <comment ref="AC602" authorId="0" shapeId="0" xr:uid="{00000000-0006-0000-0000-000037050000}">
      <text>
        <r>
          <rPr>
            <sz val="11"/>
            <color rgb="FF000000"/>
            <rFont val="Calibri"/>
            <family val="2"/>
            <charset val="1"/>
          </rPr>
          <t xml:space="preserve">R$ 304,46- (6 DIAS) TELEFONIA FIXA -REFERÊNCIA DEZ/19 - LANÇADO PLANILHA GEFIC EM JAN/20;
</t>
        </r>
        <r>
          <rPr>
            <sz val="9"/>
            <color rgb="FF000000"/>
            <rFont val="Tahoma"/>
            <family val="2"/>
            <charset val="1"/>
          </rPr>
          <t>.
R$ 1.298,35 - TELEFONIA FIXA -REFERÊNCIA JAN/20 - LANÇADO PLANILHA GEFIC EM JAN/20</t>
        </r>
      </text>
    </comment>
    <comment ref="AD602" authorId="0" shapeId="0" xr:uid="{00000000-0006-0000-0000-0000F1060000}">
      <text>
        <r>
          <rPr>
            <sz val="11"/>
            <color rgb="FF000000"/>
            <rFont val="Calibri"/>
            <family val="2"/>
            <charset val="1"/>
          </rPr>
          <t xml:space="preserve">RESTANTE ENERGIA - REFERÊNCIA DEZ/19 - LANÇADO PLANILHA PAGAMENTO GEFIC EM JAN/20
</t>
        </r>
      </text>
    </comment>
    <comment ref="AA603" authorId="0" shapeId="0" xr:uid="{00000000-0006-0000-0000-0000C4030000}">
      <text>
        <r>
          <rPr>
            <sz val="11"/>
            <color rgb="FF000000"/>
            <rFont val="Calibri"/>
            <family val="2"/>
            <charset val="1"/>
          </rPr>
          <t xml:space="preserve">VALOR ESTIMADO PREVISTO CONTRATO GESTÃO. 
</t>
        </r>
      </text>
    </comment>
    <comment ref="AD603" authorId="0" shapeId="0" xr:uid="{00000000-0006-0000-0000-0000F2060000}">
      <text>
        <r>
          <rPr>
            <sz val="11"/>
            <color rgb="FF000000"/>
            <rFont val="Calibri"/>
            <family val="2"/>
            <charset val="1"/>
          </rPr>
          <t xml:space="preserve">ENERGIA - REFERÊNCIA JAN/20 - LANÇADO PLANILHA PAGAMENTO GEFIC EM FEV/20
</t>
        </r>
      </text>
    </comment>
    <comment ref="AA604" authorId="0" shapeId="0" xr:uid="{00000000-0006-0000-0000-0000C5030000}">
      <text>
        <r>
          <rPr>
            <sz val="11"/>
            <color rgb="FF000000"/>
            <rFont val="Calibri"/>
            <family val="2"/>
            <charset val="1"/>
          </rPr>
          <t xml:space="preserve">VALOR ESTIMADO PREVISTO CONTRATO GESTÃO. 
</t>
        </r>
      </text>
    </comment>
    <comment ref="AD604" authorId="0" shapeId="0" xr:uid="{00000000-0006-0000-0000-0000F3060000}">
      <text>
        <r>
          <rPr>
            <sz val="11"/>
            <color rgb="FF000000"/>
            <rFont val="Calibri"/>
            <family val="2"/>
            <charset val="1"/>
          </rPr>
          <t xml:space="preserve">ENERGIA - REFERÊNCIA FEV20 - LANÇADO PLANILHA PAGAMENTO GEFIC EM MAR/20
</t>
        </r>
      </text>
    </comment>
    <comment ref="AO604" authorId="0" shapeId="0" xr:uid="{00000000-0006-0000-0000-000072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604" authorId="0" shapeId="0" xr:uid="{00000000-0006-0000-0000-0000DA090000}">
      <text>
        <r>
          <rPr>
            <sz val="11"/>
            <color rgb="FF000000"/>
            <rFont val="Calibri"/>
            <family val="2"/>
            <charset val="1"/>
          </rPr>
          <t xml:space="preserve">R$ 2.014,38 - RESSARCIMENTO DE VALORES DESPENDIDOS COM ENCARGOS DAS RESCISÕES TRABALHISTAS DO CENTRO ESTADUAL DE ATENÇÃO PROLONGADA E CASA DE APOIO CONDOMÍNIO SOLIDARIEDADE – CEAP-SOL, REFERENTE AOS REFERENTE AOS MESES DE JANEIRO A MARÇO DE 2019, PROCESSO 201900010013781.
</t>
        </r>
        <r>
          <rPr>
            <sz val="9"/>
            <color rgb="FF000000"/>
            <rFont val="Tahoma"/>
            <family val="2"/>
            <charset val="1"/>
          </rPr>
          <t>.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r>
      </text>
    </comment>
    <comment ref="AA605" authorId="0" shapeId="0" xr:uid="{00000000-0006-0000-0000-0000C6030000}">
      <text>
        <r>
          <rPr>
            <sz val="11"/>
            <color rgb="FF000000"/>
            <rFont val="Calibri"/>
            <family val="2"/>
            <charset val="1"/>
          </rPr>
          <t xml:space="preserve">VALOR ESTIMADO PREVISTO CONTRATO GESTÃO. 
</t>
        </r>
      </text>
    </comment>
    <comment ref="AD605" authorId="0" shapeId="0" xr:uid="{00000000-0006-0000-0000-0000F4060000}">
      <text>
        <r>
          <rPr>
            <sz val="11"/>
            <color rgb="FF000000"/>
            <rFont val="Calibri"/>
            <family val="2"/>
            <charset val="1"/>
          </rPr>
          <t xml:space="preserve">ENERGIA - REFERÊNCIA MAR20 - LANÇADO PLANILHA PAGAMENTO GEFIC EM ABR/20
</t>
        </r>
      </text>
    </comment>
    <comment ref="Z606" authorId="0" shapeId="0" xr:uid="{00000000-0006-0000-0000-00008E020000}">
      <text>
        <r>
          <rPr>
            <sz val="11"/>
            <color rgb="FF000000"/>
            <rFont val="Calibri"/>
            <family val="2"/>
            <charset val="1"/>
          </rPr>
          <t xml:space="preserve">GLOSA DE FOLHA ABR/20 LANÇADA NA PLANILHA DE PREVISÃO DE PAGAMENTO MAI/20 DA GAOS
</t>
        </r>
      </text>
    </comment>
    <comment ref="AD606" authorId="0" shapeId="0" xr:uid="{00000000-0006-0000-0000-0000F5060000}">
      <text>
        <r>
          <rPr>
            <sz val="11"/>
            <color rgb="FF000000"/>
            <rFont val="Calibri"/>
            <family val="2"/>
            <charset val="1"/>
          </rPr>
          <t xml:space="preserve">REFERÊNCIA ABR/20 - LANÇADO PLANILHA PAGAMENTO GEFIC EM MAI/20
</t>
        </r>
      </text>
    </comment>
    <comment ref="D607" authorId="0" shapeId="0" xr:uid="{00000000-0006-0000-0000-000006000000}">
      <text>
        <r>
          <rPr>
            <sz val="11"/>
            <color rgb="FF000000"/>
            <rFont val="Calibri"/>
            <family val="2"/>
            <charset val="1"/>
          </rPr>
          <t xml:space="preserve">10º TERMO ADITIVO25/06/2020 a  24/06/2021
</t>
        </r>
      </text>
    </comment>
    <comment ref="S607" authorId="0" shapeId="0" xr:uid="{00000000-0006-0000-0000-0000EB010000}">
      <text>
        <r>
          <rPr>
            <sz val="11"/>
            <color rgb="FF000000"/>
            <rFont val="Calibri"/>
            <family val="2"/>
            <charset val="1"/>
          </rPr>
          <t xml:space="preserve">10º TERMO ADITIVO - 25/06/2020 a  24/06/2021
</t>
        </r>
        <r>
          <rPr>
            <sz val="9"/>
            <color rgb="FF000000"/>
            <rFont val="Segoe UI"/>
            <family val="2"/>
            <charset val="1"/>
          </rPr>
          <t>CUSTEIO</t>
        </r>
      </text>
    </comment>
    <comment ref="AD607" authorId="0" shapeId="0" xr:uid="{00000000-0006-0000-0000-0000F6060000}">
      <text>
        <r>
          <rPr>
            <sz val="11"/>
            <color rgb="FF000000"/>
            <rFont val="Calibri"/>
            <family val="2"/>
            <charset val="1"/>
          </rPr>
          <t xml:space="preserve">ENERGIA - REFERÊNCIA MAI/20 - LANÇADO PLANILHA PAGAMENTO GEFIC EM JUN/20
</t>
        </r>
      </text>
    </comment>
    <comment ref="S608" authorId="0" shapeId="0" xr:uid="{00000000-0006-0000-0000-0000EC010000}">
      <text>
        <r>
          <rPr>
            <sz val="11"/>
            <color rgb="FF000000"/>
            <rFont val="Calibri"/>
            <family val="2"/>
            <charset val="1"/>
          </rPr>
          <t xml:space="preserve">10º TERMO ADITIVO - 25/06/2020 a  24/06/2021
</t>
        </r>
        <r>
          <rPr>
            <sz val="9"/>
            <color rgb="FF000000"/>
            <rFont val="Segoe UI"/>
            <family val="2"/>
            <charset val="1"/>
          </rPr>
          <t>CUSTEIO</t>
        </r>
      </text>
    </comment>
    <comment ref="AC608" authorId="0" shapeId="0" xr:uid="{00000000-0006-0000-0000-000038050000}">
      <text>
        <r>
          <rPr>
            <sz val="11"/>
            <color rgb="FF000000"/>
            <rFont val="Calibri"/>
            <family val="2"/>
            <charset val="1"/>
          </rPr>
          <t xml:space="preserve">OI - REFERÊNCIA JUL/20 - LANÇADO PLANILHA PAGAMENTO GEFIC EM JUL/20
</t>
        </r>
      </text>
    </comment>
    <comment ref="AD608" authorId="0" shapeId="0" xr:uid="{00000000-0006-0000-0000-0000F7060000}">
      <text>
        <r>
          <rPr>
            <sz val="11"/>
            <color rgb="FF000000"/>
            <rFont val="Calibri"/>
            <family val="2"/>
            <charset val="1"/>
          </rPr>
          <t xml:space="preserve">ENERGIA - REFERÊNCIA JUN/20 - LANÇADO PLANILHA PAGAMENTO GEFIC EM JUL/20
</t>
        </r>
      </text>
    </comment>
    <comment ref="S609" authorId="0" shapeId="0" xr:uid="{00000000-0006-0000-0000-0000ED010000}">
      <text>
        <r>
          <rPr>
            <sz val="11"/>
            <color rgb="FF000000"/>
            <rFont val="Calibri"/>
            <family val="2"/>
            <charset val="1"/>
          </rPr>
          <t xml:space="preserve">10º TERMO ADITIVO - 25/06/2020 a  24/06/2021
</t>
        </r>
        <r>
          <rPr>
            <sz val="9"/>
            <color rgb="FF000000"/>
            <rFont val="Segoe UI"/>
            <family val="2"/>
            <charset val="1"/>
          </rPr>
          <t>CUSTEIO</t>
        </r>
      </text>
    </comment>
    <comment ref="Z609" authorId="0" shapeId="0" xr:uid="{00000000-0006-0000-0000-00008F020000}">
      <text>
        <r>
          <rPr>
            <b/>
            <sz val="9"/>
            <color rgb="FF000000"/>
            <rFont val="Segoe UI"/>
            <family val="2"/>
            <charset val="1"/>
          </rPr>
          <t xml:space="preserve">FOLHA - REFERÊNCIA JUL/20 - LANÇADO PLANILHA PAGAMENTO GEFIC EM AGO/20.
</t>
        </r>
      </text>
    </comment>
    <comment ref="AA609" authorId="0" shapeId="0" xr:uid="{00000000-0006-0000-0000-0000C7030000}">
      <text>
        <r>
          <rPr>
            <b/>
            <sz val="9"/>
            <color rgb="FF000000"/>
            <rFont val="Segoe UI"/>
            <family val="2"/>
            <charset val="1"/>
          </rPr>
          <t xml:space="preserve">FOLHA - REFERÊNCIA JUL/20 - LANÇADO PLANILHA PAGAMENTO GEFIC EM AGO/20.
</t>
        </r>
      </text>
    </comment>
    <comment ref="AC609" authorId="0" shapeId="0" xr:uid="{00000000-0006-0000-0000-000039050000}">
      <text>
        <r>
          <rPr>
            <sz val="11"/>
            <color rgb="FF000000"/>
            <rFont val="Calibri"/>
            <family val="2"/>
            <charset val="1"/>
          </rPr>
          <t xml:space="preserve">OI - REFERÊNCIA AGO/20 - LANÇADO PLANILHA PAGAMENTO GEFIC EM AGO/20
</t>
        </r>
      </text>
    </comment>
    <comment ref="AD609" authorId="0" shapeId="0" xr:uid="{00000000-0006-0000-0000-0000F8060000}">
      <text>
        <r>
          <rPr>
            <sz val="11"/>
            <color rgb="FF000000"/>
            <rFont val="Calibri"/>
            <family val="2"/>
            <charset val="1"/>
          </rPr>
          <t xml:space="preserve">ENERGIA - REFERÊNCIA JUL/20 - LANÇADO PLANILHA PAGAMENTO GEFIC EM AGO/20
</t>
        </r>
      </text>
    </comment>
    <comment ref="S610" authorId="0" shapeId="0" xr:uid="{00000000-0006-0000-0000-0000EE010000}">
      <text>
        <r>
          <rPr>
            <sz val="11"/>
            <color rgb="FF000000"/>
            <rFont val="Calibri"/>
            <family val="2"/>
            <charset val="1"/>
          </rPr>
          <t xml:space="preserve">10º TERMO ADITIVO - 25/06/2020 a  24/06/2021
</t>
        </r>
        <r>
          <rPr>
            <sz val="9"/>
            <color rgb="FF000000"/>
            <rFont val="Segoe UI"/>
            <family val="2"/>
            <charset val="1"/>
          </rPr>
          <t>CUSTEIO</t>
        </r>
      </text>
    </comment>
    <comment ref="Z610" authorId="0" shapeId="0" xr:uid="{00000000-0006-0000-0000-000090020000}">
      <text>
        <r>
          <rPr>
            <b/>
            <sz val="9"/>
            <color rgb="FF000000"/>
            <rFont val="Segoe UI"/>
            <family val="2"/>
            <charset val="1"/>
          </rPr>
          <t xml:space="preserve">FOLHA - REFERÊNCIA AGO/20 - LANÇADO PLANILHA PAGAMENTO GEFIC EM SET/20.
</t>
        </r>
      </text>
    </comment>
    <comment ref="AA610" authorId="0" shapeId="0" xr:uid="{00000000-0006-0000-0000-0000C8030000}">
      <text>
        <r>
          <rPr>
            <b/>
            <sz val="9"/>
            <color rgb="FF000000"/>
            <rFont val="Segoe UI"/>
            <family val="2"/>
            <charset val="1"/>
          </rPr>
          <t xml:space="preserve">FOLHA - REFERÊNCIA AGO/20 - LANÇADO PLANILHA PAGAMENTO GEFIC EM SET/20.
</t>
        </r>
      </text>
    </comment>
    <comment ref="AC610" authorId="0" shapeId="0" xr:uid="{00000000-0006-0000-0000-00003A050000}">
      <text>
        <r>
          <rPr>
            <sz val="11"/>
            <color rgb="FF000000"/>
            <rFont val="Calibri"/>
            <family val="2"/>
            <charset val="1"/>
          </rPr>
          <t xml:space="preserve">OI - REFERÊNCIA SET/20 - LANÇADO PLANILHA PAGAMENTO GEFIC EM SET/20
</t>
        </r>
      </text>
    </comment>
    <comment ref="AD610" authorId="0" shapeId="0" xr:uid="{00000000-0006-0000-0000-0000F9060000}">
      <text>
        <r>
          <rPr>
            <sz val="11"/>
            <color rgb="FF000000"/>
            <rFont val="Calibri"/>
            <family val="2"/>
            <charset val="1"/>
          </rPr>
          <t xml:space="preserve">ENERGIA - REFERÊNCIA AGO/20 - LANÇADO PLANILHA PAGAMENTO GEFIC EM SET/20
</t>
        </r>
      </text>
    </comment>
    <comment ref="S611" authorId="0" shapeId="0" xr:uid="{00000000-0006-0000-0000-0000EF010000}">
      <text>
        <r>
          <rPr>
            <sz val="11"/>
            <color rgb="FF000000"/>
            <rFont val="Calibri"/>
            <family val="2"/>
            <charset val="1"/>
          </rPr>
          <t xml:space="preserve">10º TERMO ADITIVO - 25/06/2020 a  24/06/2021
</t>
        </r>
        <r>
          <rPr>
            <sz val="9"/>
            <color rgb="FF000000"/>
            <rFont val="Segoe UI"/>
            <family val="2"/>
            <charset val="1"/>
          </rPr>
          <t>CUSTEIO</t>
        </r>
      </text>
    </comment>
    <comment ref="Z611" authorId="0" shapeId="0" xr:uid="{00000000-0006-0000-0000-000091020000}">
      <text>
        <r>
          <rPr>
            <b/>
            <sz val="9"/>
            <color rgb="FF000000"/>
            <rFont val="Segoe UI"/>
            <family val="2"/>
            <charset val="1"/>
          </rPr>
          <t xml:space="preserve">FOLHA - REFERÊNCIA SET/20 - LANÇADO PLANILHA PAGAMENTO GEFIC EM OUT/20 
</t>
        </r>
      </text>
    </comment>
    <comment ref="AA611" authorId="0" shapeId="0" xr:uid="{00000000-0006-0000-0000-0000C9030000}">
      <text>
        <r>
          <rPr>
            <b/>
            <sz val="9"/>
            <color rgb="FF000000"/>
            <rFont val="Segoe UI"/>
            <family val="2"/>
            <charset val="1"/>
          </rPr>
          <t xml:space="preserve">FOLHA - REFERÊNCIA SET/20 - LANÇADO PLANILHA PAGAMENTO GEFIC EM OUT/20 
</t>
        </r>
      </text>
    </comment>
    <comment ref="AC611" authorId="0" shapeId="0" xr:uid="{00000000-0006-0000-0000-00003B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611" authorId="0" shapeId="0" xr:uid="{00000000-0006-0000-0000-0000FA060000}">
      <text>
        <r>
          <rPr>
            <sz val="11"/>
            <color rgb="FF000000"/>
            <rFont val="Calibri"/>
            <family val="2"/>
            <charset val="1"/>
          </rPr>
          <t xml:space="preserve">ENERGIA - REFERÊNCIA SET/20 - LANÇADO PLANILHA PAGAMENTO GEFIC EM OUT/20
</t>
        </r>
      </text>
    </comment>
    <comment ref="S612" authorId="0" shapeId="0" xr:uid="{00000000-0006-0000-0000-0000F0010000}">
      <text>
        <r>
          <rPr>
            <sz val="11"/>
            <color rgb="FF000000"/>
            <rFont val="Calibri"/>
            <family val="2"/>
            <charset val="1"/>
          </rPr>
          <t xml:space="preserve">10º TERMO ADITIVO - 25/06/2020 a  24/06/2021
</t>
        </r>
        <r>
          <rPr>
            <sz val="9"/>
            <color rgb="FF000000"/>
            <rFont val="Segoe UI"/>
            <family val="2"/>
            <charset val="1"/>
          </rPr>
          <t>CUSTEIO</t>
        </r>
      </text>
    </comment>
    <comment ref="Z612" authorId="0" shapeId="0" xr:uid="{00000000-0006-0000-0000-000092020000}">
      <text>
        <r>
          <rPr>
            <b/>
            <sz val="9"/>
            <color rgb="FF000000"/>
            <rFont val="Segoe UI"/>
            <family val="2"/>
            <charset val="1"/>
          </rPr>
          <t xml:space="preserve">FOLHA - REFERÊNCIA OUT/20 - LANÇADO PLANILHA PAGAMENTO GEFIC EM NOV/20.
</t>
        </r>
      </text>
    </comment>
    <comment ref="AA612" authorId="0" shapeId="0" xr:uid="{00000000-0006-0000-0000-0000CA030000}">
      <text>
        <r>
          <rPr>
            <b/>
            <sz val="9"/>
            <color rgb="FF000000"/>
            <rFont val="Segoe UI"/>
            <family val="2"/>
            <charset val="1"/>
          </rPr>
          <t xml:space="preserve">FOLHA - REFERÊNCIA OUT/20 - LANÇADO PLANILHA PAGAMENTO GEFIC EM NOV/20.
</t>
        </r>
      </text>
    </comment>
    <comment ref="AC612" authorId="0" shapeId="0" xr:uid="{00000000-0006-0000-0000-00003C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612" authorId="0" shapeId="0" xr:uid="{00000000-0006-0000-0000-0000FB060000}">
      <text>
        <r>
          <rPr>
            <sz val="11"/>
            <color rgb="FF000000"/>
            <rFont val="Calibri"/>
            <family val="2"/>
            <charset val="1"/>
          </rPr>
          <t xml:space="preserve">ENERGIA - REFERÊNCIA OUT/20 - LANÇADO PLANILHA PAGAMENTO GEFIC EM NOV/20
</t>
        </r>
      </text>
    </comment>
    <comment ref="S613" authorId="0" shapeId="0" xr:uid="{00000000-0006-0000-0000-0000F1010000}">
      <text>
        <r>
          <rPr>
            <sz val="11"/>
            <color rgb="FF000000"/>
            <rFont val="Calibri"/>
            <family val="2"/>
            <charset val="1"/>
          </rPr>
          <t xml:space="preserve">10º TERMO ADITIVO - 25/06/2020 a  24/06/2021
</t>
        </r>
        <r>
          <rPr>
            <sz val="9"/>
            <color rgb="FF000000"/>
            <rFont val="Segoe UI"/>
            <family val="2"/>
            <charset val="1"/>
          </rPr>
          <t>CUSTEIO</t>
        </r>
      </text>
    </comment>
    <comment ref="Z613" authorId="0" shapeId="0" xr:uid="{00000000-0006-0000-0000-000093020000}">
      <text>
        <r>
          <rPr>
            <b/>
            <sz val="9"/>
            <color rgb="FF000000"/>
            <rFont val="Segoe UI"/>
            <family val="2"/>
            <charset val="1"/>
          </rPr>
          <t xml:space="preserve">FOLHA - REFERÊNCIA NOV/20 - LANÇADO PLANILHA PAGAMENTO GEFIC EM DEZ/20.
</t>
        </r>
      </text>
    </comment>
    <comment ref="AA613" authorId="0" shapeId="0" xr:uid="{00000000-0006-0000-0000-0000CB030000}">
      <text>
        <r>
          <rPr>
            <b/>
            <sz val="9"/>
            <color rgb="FF000000"/>
            <rFont val="Segoe UI"/>
            <family val="2"/>
            <charset val="1"/>
          </rPr>
          <t xml:space="preserve">FOLHA - REFERÊNCIA NOV/20 - LANÇADO PLANILHA PAGAMENTO GEFIC EM DEZ/20.
</t>
        </r>
      </text>
    </comment>
    <comment ref="AC613" authorId="0" shapeId="0" xr:uid="{00000000-0006-0000-0000-00003D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613" authorId="0" shapeId="0" xr:uid="{00000000-0006-0000-0000-0000FC060000}">
      <text>
        <r>
          <rPr>
            <sz val="11"/>
            <color rgb="FF000000"/>
            <rFont val="Calibri"/>
            <family val="2"/>
            <charset val="1"/>
          </rPr>
          <t xml:space="preserve">ENERGIA - LANÇADO PLANILHA PAGAMENTO GEFIC EM DEZ/20
.
NOV/20.......................... R$ 11.838,46
DEZ/20..........................R$ 10.682,45
</t>
        </r>
        <r>
          <rPr>
            <sz val="9"/>
            <color rgb="FF000000"/>
            <rFont val="Segoe UI"/>
            <family val="2"/>
            <charset val="1"/>
          </rPr>
          <t xml:space="preserve">
</t>
        </r>
      </text>
    </comment>
    <comment ref="S614" authorId="0" shapeId="0" xr:uid="{00000000-0006-0000-0000-0000F2010000}">
      <text>
        <r>
          <rPr>
            <sz val="11"/>
            <color rgb="FF000000"/>
            <rFont val="Calibri"/>
            <family val="2"/>
            <charset val="1"/>
          </rPr>
          <t xml:space="preserve">10º TERMO ADITIVO - 25/06/2020 a  24/06/2021
</t>
        </r>
        <r>
          <rPr>
            <sz val="9"/>
            <color rgb="FF000000"/>
            <rFont val="Segoe UI"/>
            <family val="2"/>
            <charset val="1"/>
          </rPr>
          <t>CUSTEIO</t>
        </r>
      </text>
    </comment>
    <comment ref="Z614" authorId="0" shapeId="0" xr:uid="{00000000-0006-0000-0000-000094020000}">
      <text>
        <r>
          <rPr>
            <sz val="11"/>
            <color rgb="FF000000"/>
            <rFont val="Calibri"/>
            <family val="2"/>
            <charset val="1"/>
          </rPr>
          <t xml:space="preserve">FOLHA - REFERÊNCIA DEZ/20- LANÇADO PLANILHA PAGAMENTO GEFIC EM JAN/21.
</t>
        </r>
      </text>
    </comment>
    <comment ref="AA614" authorId="0" shapeId="0" xr:uid="{00000000-0006-0000-0000-0000CC030000}">
      <text>
        <r>
          <rPr>
            <sz val="11"/>
            <color rgb="FF000000"/>
            <rFont val="Calibri"/>
            <family val="2"/>
            <charset val="1"/>
          </rPr>
          <t xml:space="preserve">FOLHA - REFERÊNCIA DEZ/20- LANÇADO PLANILHA PAGAMENTO GEFIC EM JAN/21.
</t>
        </r>
      </text>
    </comment>
    <comment ref="AC614" authorId="0" shapeId="0" xr:uid="{00000000-0006-0000-0000-00003E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S615" authorId="0" shapeId="0" xr:uid="{00000000-0006-0000-0000-0000F3010000}">
      <text>
        <r>
          <rPr>
            <sz val="11"/>
            <color rgb="FF000000"/>
            <rFont val="Calibri"/>
            <family val="2"/>
            <charset val="1"/>
          </rPr>
          <t xml:space="preserve">10º TERMO ADITIVO - 25/06/2020 a  24/06/2021
</t>
        </r>
        <r>
          <rPr>
            <sz val="9"/>
            <color rgb="FF000000"/>
            <rFont val="Segoe UI"/>
            <family val="2"/>
            <charset val="1"/>
          </rPr>
          <t>CUSTEIO</t>
        </r>
      </text>
    </comment>
    <comment ref="Z615" authorId="0" shapeId="0" xr:uid="{00000000-0006-0000-0000-000095020000}">
      <text>
        <r>
          <rPr>
            <sz val="11"/>
            <color rgb="FF000000"/>
            <rFont val="Calibri"/>
            <family val="2"/>
            <charset val="1"/>
          </rPr>
          <t xml:space="preserve">FOLHA - REFERÊNCIA JAN/21- LANÇADO PLANILHA PAGAMENTO GEFIC EM FEV/21.
</t>
        </r>
      </text>
    </comment>
    <comment ref="AA615" authorId="0" shapeId="0" xr:uid="{00000000-0006-0000-0000-0000CD030000}">
      <text>
        <r>
          <rPr>
            <sz val="11"/>
            <color rgb="FF000000"/>
            <rFont val="Calibri"/>
            <family val="2"/>
            <charset val="1"/>
          </rPr>
          <t xml:space="preserve">FOLHA - REFERÊNCIA JAN/21- LANÇADO PLANILHA PAGAMENTO GEFIC EM FEV/21.
</t>
        </r>
      </text>
    </comment>
    <comment ref="AC615" authorId="0" shapeId="0" xr:uid="{00000000-0006-0000-0000-00003F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615" authorId="0" shapeId="0" xr:uid="{00000000-0006-0000-0000-0000FD060000}">
      <text>
        <r>
          <rPr>
            <sz val="11"/>
            <color rgb="FF000000"/>
            <rFont val="Calibri"/>
            <family val="2"/>
            <charset val="1"/>
          </rPr>
          <t xml:space="preserve">CELG JAN/21 LANÇADO NA PLANILHA DE FEV/21
</t>
        </r>
      </text>
    </comment>
    <comment ref="S616" authorId="0" shapeId="0" xr:uid="{00000000-0006-0000-0000-0000F4010000}">
      <text>
        <r>
          <rPr>
            <sz val="11"/>
            <color rgb="FF000000"/>
            <rFont val="Calibri"/>
            <family val="2"/>
            <charset val="1"/>
          </rPr>
          <t xml:space="preserve">10º TERMO ADITIVO - 25/06/2020 a  24/06/2021
</t>
        </r>
        <r>
          <rPr>
            <sz val="9"/>
            <color rgb="FF000000"/>
            <rFont val="Segoe UI"/>
            <family val="2"/>
            <charset val="1"/>
          </rPr>
          <t>CUSTEIO</t>
        </r>
      </text>
    </comment>
    <comment ref="Z616" authorId="0" shapeId="0" xr:uid="{00000000-0006-0000-0000-000096020000}">
      <text>
        <r>
          <rPr>
            <sz val="11"/>
            <color rgb="FF000000"/>
            <rFont val="Calibri"/>
            <family val="2"/>
            <charset val="1"/>
          </rPr>
          <t xml:space="preserve">FOLHA - REFERÊNCIA FEV/21- LANÇADO PLANILHA PAGAMENTO GEFIC EM MAR/21.
</t>
        </r>
      </text>
    </comment>
    <comment ref="AA616" authorId="0" shapeId="0" xr:uid="{00000000-0006-0000-0000-0000CE030000}">
      <text>
        <r>
          <rPr>
            <sz val="11"/>
            <color rgb="FF000000"/>
            <rFont val="Calibri"/>
            <family val="2"/>
            <charset val="1"/>
          </rPr>
          <t xml:space="preserve">FOLHA - REFERÊNCIA FEV/21- LANÇADO PLANILHA PAGAMENTO GEFIC EM MAR/21.
</t>
        </r>
      </text>
    </comment>
    <comment ref="AC616" authorId="0" shapeId="0" xr:uid="{00000000-0006-0000-0000-00004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616" authorId="0" shapeId="0" xr:uid="{00000000-0006-0000-0000-0000FE060000}">
      <text>
        <r>
          <rPr>
            <sz val="11"/>
            <color rgb="FF000000"/>
            <rFont val="Calibri"/>
            <family val="2"/>
            <charset val="1"/>
          </rPr>
          <t xml:space="preserve">CELG FEV/21 LANÇADO NA PLANILHA DE MAR/21
</t>
        </r>
      </text>
    </comment>
    <comment ref="S617" authorId="0" shapeId="0" xr:uid="{00000000-0006-0000-0000-0000F5010000}">
      <text>
        <r>
          <rPr>
            <sz val="11"/>
            <color rgb="FF000000"/>
            <rFont val="Calibri"/>
            <family val="2"/>
            <charset val="1"/>
          </rPr>
          <t xml:space="preserve">10º TERMO ADITIVO - 25/06/2020 a  24/06/2021
</t>
        </r>
        <r>
          <rPr>
            <sz val="9"/>
            <color rgb="FF000000"/>
            <rFont val="Segoe UI"/>
            <family val="2"/>
            <charset val="1"/>
          </rPr>
          <t>CUSTEIO</t>
        </r>
      </text>
    </comment>
    <comment ref="Z617" authorId="0" shapeId="0" xr:uid="{00000000-0006-0000-0000-000097020000}">
      <text>
        <r>
          <rPr>
            <sz val="11"/>
            <color rgb="FF000000"/>
            <rFont val="Calibri"/>
            <family val="2"/>
            <charset val="1"/>
          </rPr>
          <t xml:space="preserve">FOLHA - REFERÊNCIA MAR/21- LANÇADO PLANILHA PAGAMENTO GEFIC EM ABR/21.
</t>
        </r>
      </text>
    </comment>
    <comment ref="AA617" authorId="0" shapeId="0" xr:uid="{00000000-0006-0000-0000-0000CF030000}">
      <text>
        <r>
          <rPr>
            <sz val="11"/>
            <color rgb="FF000000"/>
            <rFont val="Calibri"/>
            <family val="2"/>
            <charset val="1"/>
          </rPr>
          <t xml:space="preserve">FOLHA - REFERÊNCIA MAR/21- LANÇADO PLANILHA PAGAMENTO GEFIC EM ABR/21.
</t>
        </r>
      </text>
    </comment>
    <comment ref="AC617" authorId="0" shapeId="0" xr:uid="{00000000-0006-0000-0000-000041050000}">
      <text>
        <r>
          <rPr>
            <sz val="11"/>
            <color rgb="FF000000"/>
            <rFont val="Calibri"/>
            <family val="2"/>
            <charset val="1"/>
          </rPr>
          <t xml:space="preserve">OI - REFERÊNCIA ABR/21 - LANÇADO PLANILHA PAGAMENTO GEFIC EM ABR/21
</t>
        </r>
      </text>
    </comment>
    <comment ref="AD617" authorId="0" shapeId="0" xr:uid="{00000000-0006-0000-0000-0000FF060000}">
      <text>
        <r>
          <rPr>
            <sz val="11"/>
            <color rgb="FF000000"/>
            <rFont val="Calibri"/>
            <family val="2"/>
            <charset val="1"/>
          </rPr>
          <t xml:space="preserve">CELG MAR/21 LANÇADO NA PLANILHA DE ABR/21
</t>
        </r>
      </text>
    </comment>
    <comment ref="S618" authorId="0" shapeId="0" xr:uid="{00000000-0006-0000-0000-0000F6010000}">
      <text>
        <r>
          <rPr>
            <sz val="11"/>
            <color rgb="FF000000"/>
            <rFont val="Calibri"/>
            <family val="2"/>
            <charset val="1"/>
          </rPr>
          <t xml:space="preserve">10º TERMO ADITIVO - 25/06/2020 a  24/06/2021
</t>
        </r>
        <r>
          <rPr>
            <sz val="9"/>
            <color rgb="FF000000"/>
            <rFont val="Segoe UI"/>
            <family val="2"/>
            <charset val="1"/>
          </rPr>
          <t>CUSTEIO</t>
        </r>
      </text>
    </comment>
    <comment ref="Z618" authorId="0" shapeId="0" xr:uid="{00000000-0006-0000-0000-000098020000}">
      <text>
        <r>
          <rPr>
            <sz val="11"/>
            <color rgb="FF000000"/>
            <rFont val="Calibri"/>
            <family val="2"/>
            <charset val="1"/>
          </rPr>
          <t xml:space="preserve">FOLHA - REFERÊNCIA ABR/21- LANÇADO PLANILHA PAGAMENTO GEFIC EM MAI/21.
</t>
        </r>
      </text>
    </comment>
    <comment ref="AA618" authorId="0" shapeId="0" xr:uid="{00000000-0006-0000-0000-0000D0030000}">
      <text>
        <r>
          <rPr>
            <sz val="11"/>
            <color rgb="FF000000"/>
            <rFont val="Calibri"/>
            <family val="2"/>
            <charset val="1"/>
          </rPr>
          <t xml:space="preserve">FOLHA - REFERÊNCIA ABR/21- LANÇADO PLANILHA PAGAMENTO GEFIC EM MAI/21.
</t>
        </r>
      </text>
    </comment>
    <comment ref="AC618" authorId="0" shapeId="0" xr:uid="{00000000-0006-0000-0000-000042050000}">
      <text>
        <r>
          <rPr>
            <sz val="11"/>
            <color rgb="FF000000"/>
            <rFont val="Calibri"/>
            <family val="2"/>
            <charset val="1"/>
          </rPr>
          <t xml:space="preserve">OI - REFERÊNCIA MAI/21 - LANÇADO PLANILHA PAGAMENTO GEFIC EM MAI/21
</t>
        </r>
      </text>
    </comment>
    <comment ref="AD618" authorId="0" shapeId="0" xr:uid="{00000000-0006-0000-0000-000000070000}">
      <text>
        <r>
          <rPr>
            <sz val="11"/>
            <color rgb="FF000000"/>
            <rFont val="Calibri"/>
            <family val="2"/>
            <charset val="1"/>
          </rPr>
          <t xml:space="preserve">CELG ABR/21 LANÇADO NA PLANILHA DE MAI/21
</t>
        </r>
      </text>
    </comment>
    <comment ref="AU618" authorId="0" shapeId="0" xr:uid="{00000000-0006-0000-0000-0000DB090000}">
      <text>
        <r>
          <rPr>
            <sz val="11"/>
            <color rgb="FF000000"/>
            <rFont val="Calibri"/>
            <family val="2"/>
            <charset val="1"/>
          </rPr>
          <t xml:space="preserve">RESSARCIMENTO DOS VALORES DES
PENDIDOS COM ENCARGOS DAS RESCISÕES TRABALHISTAS, RELATIVOS À CASA DE APOIO
CONDOMÍNIO SOLIDARIEDADE  (CEAP-SOL)PERÍODO DE novembro de 2019 a novembro d
e 2020, PROC.202000010043910..............R$ 343.399,41  .DOCUMENTAÇÃO:MEMOR
ANDO Nº: 25/2021 – CAC, MEMORANDO Nº: 153/2021 – SUPER, REQUISIÇÃO DE DESPE
SA N° 126/2021 – GAOS, ANEXO II DESPACHO Nº 00634/2021, DESPACHO Nº 367/2021
 - GAOS, DESPACHO Nº 2767/2021 - SGI.
</t>
        </r>
      </text>
    </comment>
    <comment ref="D619" authorId="0" shapeId="0" xr:uid="{00000000-0006-0000-0000-000007000000}">
      <text>
        <r>
          <rPr>
            <sz val="11"/>
            <color rgb="FF000000"/>
            <rFont val="Calibri"/>
            <family val="2"/>
            <charset val="1"/>
          </rPr>
          <t xml:space="preserve">10º TERMO ADITIVO25/06/2020 a  24/06/2021
</t>
        </r>
      </text>
    </comment>
    <comment ref="S619" authorId="0" shapeId="0" xr:uid="{00000000-0006-0000-0000-0000F7010000}">
      <text>
        <r>
          <rPr>
            <sz val="11"/>
            <color rgb="FF000000"/>
            <rFont val="Calibri"/>
            <family val="2"/>
            <charset val="1"/>
          </rPr>
          <t xml:space="preserve">10º TERMO ADITIVO - 25/06/2020 a  24/06/2021
</t>
        </r>
        <r>
          <rPr>
            <sz val="9"/>
            <color rgb="FF000000"/>
            <rFont val="Segoe UI"/>
            <family val="2"/>
            <charset val="1"/>
          </rPr>
          <t>CUSTEIO</t>
        </r>
      </text>
    </comment>
    <comment ref="Z619" authorId="0" shapeId="0" xr:uid="{00000000-0006-0000-0000-000099020000}">
      <text>
        <r>
          <rPr>
            <sz val="11"/>
            <color rgb="FF000000"/>
            <rFont val="Calibri"/>
            <family val="2"/>
            <charset val="1"/>
          </rPr>
          <t xml:space="preserve">FOLHA - REFERÊNCIA MAI/21- LANÇADO PLANILHA PAGAMENTO GEFIC EM JUN/21.
</t>
        </r>
      </text>
    </comment>
    <comment ref="AA619" authorId="0" shapeId="0" xr:uid="{00000000-0006-0000-0000-0000D1030000}">
      <text>
        <r>
          <rPr>
            <sz val="11"/>
            <color rgb="FF000000"/>
            <rFont val="Calibri"/>
            <family val="2"/>
            <charset val="1"/>
          </rPr>
          <t xml:space="preserve">FOLHA - REFERÊNCIA MAI/21- LANÇADO PLANILHA PAGAMENTO GEFIC EM JUN/21.
</t>
        </r>
      </text>
    </comment>
    <comment ref="AD619" authorId="0" shapeId="0" xr:uid="{00000000-0006-0000-0000-000001070000}">
      <text>
        <r>
          <rPr>
            <sz val="11"/>
            <color rgb="FF000000"/>
            <rFont val="Calibri"/>
            <family val="2"/>
            <charset val="1"/>
          </rPr>
          <t xml:space="preserve">CELG MA/21 LANÇADO NA PLANILHA DE JUN/21
</t>
        </r>
      </text>
    </comment>
    <comment ref="AX619" authorId="0" shapeId="0" xr:uid="{00000000-0006-0000-0000-0000A6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
PARCELA UN/21....................R$ 354.599,45
</t>
        </r>
      </text>
    </comment>
    <comment ref="AX620" authorId="0" shapeId="0" xr:uid="{00000000-0006-0000-0000-0000A7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t>
        </r>
        <r>
          <rPr>
            <sz val="9"/>
            <color rgb="FF000000"/>
            <rFont val="Segoe UI"/>
            <family val="2"/>
            <charset val="1"/>
          </rPr>
          <t>.
PARCELA JUL/21....................R$ 1.772.997,28</t>
        </r>
      </text>
    </comment>
    <comment ref="AX621" authorId="0" shapeId="0" xr:uid="{00000000-0006-0000-0000-0000A80A0000}">
      <text>
        <r>
          <rPr>
            <sz val="11"/>
            <color rgb="FF000000"/>
            <rFont val="Calibri"/>
            <family val="2"/>
            <charset val="1"/>
          </rPr>
          <t xml:space="preserve">R$ 590.999,09 - 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t>
        </r>
        <r>
          <rPr>
            <sz val="9"/>
            <color rgb="FF000000"/>
            <rFont val="Segoe UI"/>
            <family val="2"/>
            <charset val="1"/>
          </rPr>
          <t>.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r>
      </text>
    </comment>
    <comment ref="AX622" authorId="0" shapeId="0" xr:uid="{00000000-0006-0000-0000-0000A90A0000}">
      <text>
        <r>
          <rPr>
            <sz val="11"/>
            <color rgb="FF000000"/>
            <rFont val="Calibri"/>
            <family val="2"/>
            <charset val="1"/>
          </rPr>
          <t xml:space="preserve">.R$ 886.498,64 -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
</t>
        </r>
      </text>
    </comment>
    <comment ref="AE624" authorId="0" shapeId="0" xr:uid="{00000000-0006-0000-0000-000097080000}">
      <text>
        <r>
          <rPr>
            <b/>
            <sz val="9"/>
            <color rgb="FF000000"/>
            <rFont val="Tahoma"/>
            <family val="2"/>
            <charset val="1"/>
          </rPr>
          <t>Valor retido para que seja efetuado o pagamento de débitos da unidade com a CELG, referente ao mês 12/16</t>
        </r>
      </text>
    </comment>
    <comment ref="AR624" authorId="0" shapeId="0" xr:uid="{00000000-0006-0000-0000-000088090000}">
      <text>
        <r>
          <rPr>
            <b/>
            <sz val="9"/>
            <color rgb="FF000000"/>
            <rFont val="Tahoma"/>
            <family val="2"/>
            <charset val="1"/>
          </rPr>
          <t>Valor retido para que seja efetuado o pagamento de débitos da unidade com a CELG, referente ao mês 12/16</t>
        </r>
      </text>
    </comment>
    <comment ref="AD634" authorId="0" shapeId="0" xr:uid="{00000000-0006-0000-0000-000002070000}">
      <text>
        <r>
          <rPr>
            <b/>
            <sz val="9"/>
            <color rgb="FF000000"/>
            <rFont val="Tahoma"/>
            <family val="2"/>
            <charset val="1"/>
          </rPr>
          <t xml:space="preserve">GLOSA REF.AO FORNECIMENTO EM SET/17.
</t>
        </r>
      </text>
    </comment>
    <comment ref="AW634" authorId="0" shapeId="0" xr:uid="{00000000-0006-0000-0000-00003B0A0000}">
      <text>
        <r>
          <rPr>
            <sz val="11"/>
            <color rgb="FF000000"/>
            <rFont val="Calibri"/>
            <family val="2"/>
            <charset val="1"/>
          </rPr>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
</t>
        </r>
      </text>
    </comment>
    <comment ref="AD635" authorId="0" shapeId="0" xr:uid="{00000000-0006-0000-0000-000003070000}">
      <text>
        <r>
          <rPr>
            <b/>
            <sz val="9"/>
            <color rgb="FF000000"/>
            <rFont val="Tahoma"/>
            <family val="2"/>
            <charset val="1"/>
          </rPr>
          <t xml:space="preserve">GLOSA REF.AO FORNECIMENTO EM OUT/17.R$ 40.973,58 E NOV/17 R$ 45.898,44
</t>
        </r>
      </text>
    </comment>
    <comment ref="AU636" authorId="0" shapeId="0" xr:uid="{00000000-0006-0000-0000-0000DC090000}">
      <text>
        <r>
          <rPr>
            <b/>
            <sz val="9"/>
            <color rgb="FF000000"/>
            <rFont val="Tahoma"/>
            <family val="2"/>
            <charset val="1"/>
          </rPr>
          <t>ENCARGOS DE RESCISÕES TRABALHISTAS DO 
HOSPITAL ESTADUAL DE URGÊNCIA DE ANÁPOLIS DR. HENRIQUE SANTILLO - HUANA, REFERENTE AO MÊS DE JANEIRO DE 2018  - PROCESSO-SEI 201800010007177</t>
        </r>
      </text>
    </comment>
    <comment ref="Q637" authorId="0" shapeId="0" xr:uid="{00000000-0006-0000-0000-0000B9010000}">
      <text>
        <r>
          <rPr>
            <b/>
            <sz val="9"/>
            <color rgb="FF000000"/>
            <rFont val="Tahoma"/>
            <family val="2"/>
            <charset val="1"/>
          </rPr>
          <t xml:space="preserve">21/02 A 28/02/18
</t>
        </r>
      </text>
    </comment>
    <comment ref="AD637" authorId="0" shapeId="0" xr:uid="{00000000-0006-0000-0000-000004070000}">
      <text>
        <r>
          <rPr>
            <b/>
            <sz val="9"/>
            <color rgb="FF000000"/>
            <rFont val="Tahoma"/>
            <family val="2"/>
            <charset val="1"/>
          </rPr>
          <t xml:space="preserve">CELG - JANEIRO/18
</t>
        </r>
      </text>
    </comment>
    <comment ref="AD639" authorId="0" shapeId="0" xr:uid="{00000000-0006-0000-0000-000005070000}">
      <text>
        <r>
          <rPr>
            <b/>
            <sz val="9"/>
            <color rgb="FF000000"/>
            <rFont val="Tahoma"/>
            <family val="2"/>
            <charset val="1"/>
          </rPr>
          <t xml:space="preserve">CELG - JAN E JUN A SET/17  172.382,15 E MAR/18 41.946,59
</t>
        </r>
      </text>
    </comment>
    <comment ref="AU640" authorId="0" shapeId="0" xr:uid="{00000000-0006-0000-0000-0000DD090000}">
      <text>
        <r>
          <rPr>
            <sz val="11"/>
            <color rgb="FF000000"/>
            <rFont val="Calibri"/>
            <family val="2"/>
            <charset val="1"/>
          </rPr>
          <t xml:space="preserve">RESSARCIMENTO DE VALORES COM ENCARGOS DAS RESCISÕES TRABALHISTAS DO HOSPITAL - HUANA, RE 
FERENTE AO MÊS DE OUTUBRO/2017
</t>
        </r>
        <r>
          <rPr>
            <sz val="9"/>
            <color rgb="FF000000"/>
            <rFont val="Tahoma"/>
            <family val="2"/>
            <charset val="1"/>
          </rPr>
          <t>PRO. SEI 201700010022814</t>
        </r>
      </text>
    </comment>
    <comment ref="AD641" authorId="0" shapeId="0" xr:uid="{00000000-0006-0000-0000-000006070000}">
      <text>
        <r>
          <rPr>
            <b/>
            <sz val="9"/>
            <color rgb="FF000000"/>
            <rFont val="Tahoma"/>
            <family val="2"/>
            <charset val="1"/>
          </rPr>
          <t xml:space="preserve">CELG - MAI/18
</t>
        </r>
      </text>
    </comment>
    <comment ref="AD644" authorId="0" shapeId="0" xr:uid="{00000000-0006-0000-0000-000007070000}">
      <text>
        <r>
          <rPr>
            <b/>
            <sz val="9"/>
            <color rgb="FF000000"/>
            <rFont val="Tahoma"/>
            <family val="2"/>
            <charset val="1"/>
          </rPr>
          <t>CELG - AGO/18</t>
        </r>
      </text>
    </comment>
    <comment ref="AD645" authorId="0" shapeId="0" xr:uid="{00000000-0006-0000-0000-000008070000}">
      <text>
        <r>
          <rPr>
            <b/>
            <sz val="9"/>
            <color rgb="FF000000"/>
            <rFont val="Tahoma"/>
            <family val="2"/>
            <charset val="1"/>
          </rPr>
          <t xml:space="preserve">CELG - SET/18
</t>
        </r>
      </text>
    </comment>
    <comment ref="AD646" authorId="0" shapeId="0" xr:uid="{00000000-0006-0000-0000-000009070000}">
      <text>
        <r>
          <rPr>
            <b/>
            <sz val="9"/>
            <color rgb="FF000000"/>
            <rFont val="Tahoma"/>
            <family val="2"/>
            <charset val="1"/>
          </rPr>
          <t xml:space="preserve">CELG-OUT/18
</t>
        </r>
      </text>
    </comment>
    <comment ref="AU646" authorId="0" shapeId="0" xr:uid="{00000000-0006-0000-0000-0000DE090000}">
      <text>
        <r>
          <rPr>
            <sz val="11"/>
            <color rgb="FF000000"/>
            <rFont val="Calibri"/>
            <family val="2"/>
            <charset val="1"/>
          </rPr>
          <t xml:space="preserve">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t>
        </r>
        <r>
          <rPr>
            <sz val="9"/>
            <color rgb="FF000000"/>
            <rFont val="Tahoma"/>
            <family val="2"/>
            <charset val="1"/>
          </rPr>
          <t xml:space="preserve">.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 </t>
        </r>
      </text>
    </comment>
    <comment ref="AA647" authorId="0" shapeId="0" xr:uid="{00000000-0006-0000-0000-0000D2030000}">
      <text>
        <r>
          <rPr>
            <b/>
            <sz val="9"/>
            <color rgb="FF000000"/>
            <rFont val="Tahoma"/>
            <family val="2"/>
            <charset val="1"/>
          </rPr>
          <t xml:space="preserve">GLOSA FOLHA DE PESSOAL:
R$ 13.391,62 GLOSA FOLHA FEV/19VALOR ESTIMADO PREVISTO CONTRATO GESTÃO. 
.
</t>
        </r>
      </text>
    </comment>
    <comment ref="AD647" authorId="0" shapeId="0" xr:uid="{00000000-0006-0000-0000-00000A070000}">
      <text>
        <r>
          <rPr>
            <sz val="11"/>
            <color rgb="FF000000"/>
            <rFont val="Calibri"/>
            <family val="2"/>
            <charset val="1"/>
          </rPr>
          <t xml:space="preserve">CELG-NOV/18....................48.969,58
</t>
        </r>
        <r>
          <rPr>
            <sz val="9"/>
            <color rgb="FF000000"/>
            <rFont val="Tahoma"/>
            <family val="2"/>
            <charset val="1"/>
          </rPr>
          <t>.
REFERÊNCIA JAN/19 - LANÇADO PLANILHA GEFIC EM FEV/19............................58.225,59</t>
        </r>
      </text>
    </comment>
    <comment ref="AE647" authorId="0" shapeId="0" xr:uid="{00000000-0006-0000-0000-00009808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r>
      </text>
    </comment>
    <comment ref="AB648" authorId="0" shapeId="0" xr:uid="{00000000-0006-0000-0000-00009B040000}">
      <text>
        <r>
          <rPr>
            <sz val="11"/>
            <color rgb="FF000000"/>
            <rFont val="Calibri"/>
            <family val="2"/>
            <charset val="1"/>
          </rPr>
          <t xml:space="preserve">R$ 1.188,46 DIFERENÇA GLOSA DE FOLHA JAN/19 LANÇADA NA PLANILHA DE PREVISÃO DE PAGAMENTO FEV/19 DA GEFIC - R$ 14.580,08 (O PAGAMENTO PASSOU A SER REALIZADO DENTRO DO MÊS DE REFERÊNCIA POR ISSO FOI LANÇADA GLOSA ESTIMADA PREVISTA NO CONTRATO DE GESTÃO)
</t>
        </r>
        <r>
          <rPr>
            <sz val="9"/>
            <color rgb="FF000000"/>
            <rFont val="Tahoma"/>
            <family val="2"/>
            <charset val="1"/>
          </rPr>
          <t xml:space="preserve">
</t>
        </r>
      </text>
    </comment>
    <comment ref="AD648" authorId="0" shapeId="0" xr:uid="{00000000-0006-0000-0000-00000B070000}">
      <text>
        <r>
          <rPr>
            <b/>
            <sz val="9"/>
            <color rgb="FF000000"/>
            <rFont val="Tahoma"/>
            <family val="2"/>
            <charset val="1"/>
          </rPr>
          <t xml:space="preserve">ENEL :
* R$ 13.450,09 Diferença (NOV/18) apurada referente a glosa efetuada a menor - mês DEZ/18;
* R$ 60.157,42  DEZ/18
</t>
        </r>
      </text>
    </comment>
    <comment ref="Q649" authorId="0" shapeId="0" xr:uid="{00000000-0006-0000-0000-0000BA010000}">
      <text>
        <r>
          <rPr>
            <b/>
            <sz val="9"/>
            <color rgb="FF000000"/>
            <rFont val="Tahoma"/>
            <family val="2"/>
            <charset val="1"/>
          </rPr>
          <t xml:space="preserve">01 A 20/02/19
</t>
        </r>
      </text>
    </comment>
    <comment ref="R649" authorId="0" shapeId="0" xr:uid="{00000000-0006-0000-0000-0000DA010000}">
      <text>
        <r>
          <rPr>
            <sz val="11"/>
            <color rgb="FF000000"/>
            <rFont val="Calibri"/>
            <family val="2"/>
            <charset val="1"/>
          </rPr>
          <t xml:space="preserve">21/02 A 21/05/19
</t>
        </r>
      </text>
    </comment>
    <comment ref="AD650" authorId="0" shapeId="0" xr:uid="{00000000-0006-0000-0000-00000C070000}">
      <text>
        <r>
          <rPr>
            <b/>
            <sz val="9"/>
            <color rgb="FF000000"/>
            <rFont val="Tahoma"/>
            <family val="2"/>
            <charset val="1"/>
          </rPr>
          <t xml:space="preserve">REFERÊNCIA FEV/19 - LANÇADO PLANILHA GEFIC EM MAR19
</t>
        </r>
      </text>
    </comment>
    <comment ref="AB651" authorId="0" shapeId="0" xr:uid="{00000000-0006-0000-0000-00009C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D651" authorId="0" shapeId="0" xr:uid="{00000000-0006-0000-0000-00000D070000}">
      <text>
        <r>
          <rPr>
            <b/>
            <sz val="9"/>
            <color rgb="FF000000"/>
            <rFont val="Tahoma"/>
            <family val="2"/>
            <charset val="1"/>
          </rPr>
          <t xml:space="preserve">REFERÊNCIA FEV/19 - LANÇADO PLANILHA GEFIC EM MAR19
</t>
        </r>
      </text>
    </comment>
    <comment ref="D652" authorId="0" shapeId="0" xr:uid="{00000000-0006-0000-0000-000008000000}">
      <text>
        <r>
          <rPr>
            <b/>
            <sz val="9"/>
            <color rgb="FF000000"/>
            <rFont val="Tahoma"/>
            <family val="2"/>
            <charset val="1"/>
          </rPr>
          <t xml:space="preserve">até 21/05/19
</t>
        </r>
      </text>
    </comment>
    <comment ref="S652" authorId="0" shapeId="0" xr:uid="{00000000-0006-0000-0000-0000F8010000}">
      <text>
        <r>
          <rPr>
            <b/>
            <sz val="9"/>
            <color rgb="FF000000"/>
            <rFont val="Tahoma"/>
            <family val="2"/>
            <charset val="1"/>
          </rPr>
          <t>VIGÊNCIA 22/05 A 19/08/19</t>
        </r>
      </text>
    </comment>
    <comment ref="AA652" authorId="0" shapeId="0" xr:uid="{00000000-0006-0000-0000-0000D3030000}">
      <text>
        <r>
          <rPr>
            <b/>
            <sz val="9"/>
            <color rgb="FF000000"/>
            <rFont val="Tahoma"/>
            <family val="2"/>
            <charset val="1"/>
          </rPr>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r>
      </text>
    </comment>
    <comment ref="AB652" authorId="0" shapeId="0" xr:uid="{00000000-0006-0000-0000-00009D040000}">
      <text>
        <r>
          <rPr>
            <b/>
            <sz val="9"/>
            <color rgb="FF000000"/>
            <rFont val="Tahoma"/>
            <family val="2"/>
            <charset val="1"/>
          </rPr>
          <t xml:space="preserve">R$ 1.063,58 DIFERENÇA GLOSA DE FOLHA MAR/19 LANÇADA NA PLANILHA DE PREVISÃO DE PAGAMENTO ABR/19 DA GEFIC (O PAGAMENTO PASSOU A SER REALIZADO DENTRO DO MÊS DE REFERÊNCIA POR ISSO FOI LANÇADA GLOSA ESTIMADA PREVISTA NO CONTRATO DE GESTÃO)
</t>
        </r>
      </text>
    </comment>
    <comment ref="AD652" authorId="0" shapeId="0" xr:uid="{00000000-0006-0000-0000-00000E070000}">
      <text>
        <r>
          <rPr>
            <sz val="11"/>
            <color rgb="FF000000"/>
            <rFont val="Calibri"/>
            <family val="2"/>
            <charset val="1"/>
          </rPr>
          <t xml:space="preserve">REFERÊNCIA MAR/19 - LANÇADO PLANILHA GEFIC EM ABR/19........R$ 63.695,25
</t>
        </r>
        <r>
          <rPr>
            <sz val="9"/>
            <color rgb="FF000000"/>
            <rFont val="Tahoma"/>
            <family val="2"/>
            <charset val="1"/>
          </rPr>
          <t>.
REFERÊNCIA ABR/19 - LANÇADO PLANILHA GEFIC EM MAI/19..........R$ 99.444,38</t>
        </r>
      </text>
    </comment>
    <comment ref="AU652" authorId="0" shapeId="0" xr:uid="{00000000-0006-0000-0000-0000DF090000}">
      <text>
        <r>
          <rPr>
            <b/>
            <sz val="9"/>
            <color rgb="FF000000"/>
            <rFont val="Tahoma"/>
            <family val="2"/>
            <charset val="1"/>
          </rPr>
          <t xml:space="preserve">PROC.201800010046817RESCISÕES TRABALHISTAS REFERENTE AO MÊS DE OUTUBRO DE 2018. </t>
        </r>
      </text>
    </comment>
    <comment ref="AA653" authorId="0" shapeId="0" xr:uid="{00000000-0006-0000-0000-0000D4030000}">
      <text>
        <r>
          <rPr>
            <b/>
            <sz val="9"/>
            <color rgb="FF000000"/>
            <rFont val="Tahoma"/>
            <family val="2"/>
            <charset val="1"/>
          </rPr>
          <t xml:space="preserve">VALOR ESTIMADO PREVISTO CONTRATO GESTÃO. 
</t>
        </r>
      </text>
    </comment>
    <comment ref="AA654" authorId="0" shapeId="0" xr:uid="{00000000-0006-0000-0000-0000D5030000}">
      <text>
        <r>
          <rPr>
            <b/>
            <sz val="9"/>
            <color rgb="FF000000"/>
            <rFont val="Tahoma"/>
            <family val="2"/>
            <charset val="1"/>
          </rPr>
          <t xml:space="preserve">VALOR ESTIMADO PREVISTO CONTRATO GESTÃO. 
</t>
        </r>
      </text>
    </comment>
    <comment ref="AD654" authorId="0" shapeId="0" xr:uid="{00000000-0006-0000-0000-00000F070000}">
      <text>
        <r>
          <rPr>
            <b/>
            <sz val="9"/>
            <color rgb="FF000000"/>
            <rFont val="Tahoma"/>
            <family val="2"/>
            <charset val="1"/>
          </rPr>
          <t>- ENERGIA MAI/19</t>
        </r>
      </text>
    </comment>
    <comment ref="T655" authorId="0" shapeId="0" xr:uid="{00000000-0006-0000-0000-00000B020000}">
      <text>
        <r>
          <rPr>
            <sz val="11"/>
            <color rgb="FF000000"/>
            <rFont val="Calibri"/>
            <family val="2"/>
            <charset val="1"/>
          </rPr>
          <t xml:space="preserve">VIGÊNCIA 20/08 A 17/11/19
</t>
        </r>
      </text>
    </comment>
    <comment ref="AA655" authorId="0" shapeId="0" xr:uid="{00000000-0006-0000-0000-0000D6030000}">
      <text>
        <r>
          <rPr>
            <sz val="11"/>
            <color rgb="FF000000"/>
            <rFont val="Calibri"/>
            <family val="2"/>
            <charset val="1"/>
          </rPr>
          <t xml:space="preserve">VALOR ESTIMADO PREVISTO CONTRATO GESTÃO. 
</t>
        </r>
      </text>
    </comment>
    <comment ref="AD655" authorId="0" shapeId="0" xr:uid="{00000000-0006-0000-0000-000010070000}">
      <text>
        <r>
          <rPr>
            <sz val="11"/>
            <color rgb="FF000000"/>
            <rFont val="Calibri"/>
            <family val="2"/>
            <charset val="1"/>
          </rPr>
          <t xml:space="preserve">CELG REFERÊNCIA 
JUN/19 - LANÇADO PLANILHA PAGAMENTO GEFIC EM JUL/19 - 54.015,10
</t>
        </r>
        <r>
          <rPr>
            <sz val="9"/>
            <color rgb="FF000000"/>
            <rFont val="Tahoma"/>
            <family val="2"/>
            <charset val="1"/>
          </rPr>
          <t xml:space="preserve">  R$ 48.101,71 - ENERGIA - REFERÊNCIA JUL/19 - LANÇADO PLANILHA PAGAMENTO GEFIC EM AGO/19</t>
        </r>
      </text>
    </comment>
    <comment ref="T656" authorId="0" shapeId="0" xr:uid="{00000000-0006-0000-0000-00000C020000}">
      <text>
        <r>
          <rPr>
            <sz val="9"/>
            <color rgb="FF000000"/>
            <rFont val="Tahoma"/>
            <family val="2"/>
            <charset val="1"/>
          </rPr>
          <t xml:space="preserve">R$ 5.407.435,84 CUSTEIO, R$ 16.434,12
</t>
        </r>
      </text>
    </comment>
    <comment ref="AA656" authorId="0" shapeId="0" xr:uid="{00000000-0006-0000-0000-0000D7030000}">
      <text>
        <r>
          <rPr>
            <sz val="11"/>
            <color rgb="FF000000"/>
            <rFont val="Calibri"/>
            <family val="2"/>
            <charset val="1"/>
          </rPr>
          <t xml:space="preserve">VALOR ESTIMADO PREVISTO CONTRATO GESTÃO. 
</t>
        </r>
      </text>
    </comment>
    <comment ref="T657" authorId="0" shapeId="0" xr:uid="{00000000-0006-0000-0000-00000D020000}">
      <text>
        <r>
          <rPr>
            <sz val="9"/>
            <color rgb="FF000000"/>
            <rFont val="Tahoma"/>
            <family val="2"/>
            <charset val="1"/>
          </rPr>
          <t xml:space="preserve">R$ 5.407.435,84 CUSTEIO, R$ 16.434,12
</t>
        </r>
      </text>
    </comment>
    <comment ref="AA657" authorId="0" shapeId="0" xr:uid="{00000000-0006-0000-0000-0000D8030000}">
      <text>
        <r>
          <rPr>
            <sz val="11"/>
            <color rgb="FF000000"/>
            <rFont val="Calibri"/>
            <family val="2"/>
            <charset val="1"/>
          </rPr>
          <t xml:space="preserve">VALOR ESTIMADO PREVISTO CONTRATO GESTÃO. 
</t>
        </r>
      </text>
    </comment>
    <comment ref="AA658" authorId="0" shapeId="0" xr:uid="{00000000-0006-0000-0000-0000D9030000}">
      <text>
        <r>
          <rPr>
            <sz val="11"/>
            <color rgb="FF000000"/>
            <rFont val="Calibri"/>
            <family val="2"/>
            <charset val="1"/>
          </rPr>
          <t xml:space="preserve">VALOR ESTIMADO PREVISTO CONTRATO GESTÃO. 
</t>
        </r>
      </text>
    </comment>
    <comment ref="AD658" authorId="0" shapeId="0" xr:uid="{00000000-0006-0000-0000-000011070000}">
      <text>
        <r>
          <rPr>
            <sz val="9"/>
            <color rgb="FF000000"/>
            <rFont val="Tahoma"/>
            <family val="2"/>
            <charset val="1"/>
          </rPr>
          <t>R$ 60.016,28 ENERGIA - REFERÊNCIA SET/19 - LANÇADO PLANILHA PAGAMENTO GEFIC EM OUT/19;
.
R$ 55.070,21  - ENERGIA - REFERÊNCIA OUT/19 - LANÇADO PLANILHA PAGAMENTO GEFIC EM NOV/19
.
R$ 31.579,80 - ENERGIA - REFERÊNCIA NOV/19  (17 DIAS)</t>
        </r>
      </text>
    </comment>
    <comment ref="AO658" authorId="0" shapeId="0" xr:uid="{00000000-0006-0000-0000-000073090000}">
      <text>
        <r>
          <rPr>
            <b/>
            <sz val="9"/>
            <color rgb="FF000000"/>
            <rFont val="Tahoma"/>
            <family val="2"/>
            <charset val="1"/>
          </rPr>
          <t xml:space="preserve">
R$ 7.234,79 - DIFERENÇA GLOSA DE FOLHA AGO/19 LANÇADA NA PLANILHA DE PREVISÃO DE PAGAMENTO SET/19 DA GEFIC(VALOR DA FOLHA RETIFICADA CONFORME MEMO 409/19 PROC.201900010033219);
.
R$ 7.337,74 DIFERENÇA GLOSA DE FOLHA OUT/19 LANÇADA NA PLANILHA DE PREVISÃO DE PAGAMENTO NOV/19 DA GEFIC (O PAGAMENTO PASSOU A SER REALIZADO DENTRO DO MÊS DE REFERÊNCIA POR ISSO FOI LANÇADA GLOSA ESTIMADA PREVISTA NO CONTRATO DE GESTÃO)</t>
        </r>
      </text>
    </comment>
    <comment ref="AU658" authorId="0" shapeId="0" xr:uid="{00000000-0006-0000-0000-0000E0090000}">
      <text>
        <r>
          <rPr>
            <sz val="11"/>
            <color rgb="FF000000"/>
            <rFont val="Calibri"/>
            <family val="2"/>
            <charset val="1"/>
          </rPr>
          <t xml:space="preserve">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t>
        </r>
        <r>
          <rPr>
            <sz val="9"/>
            <color rgb="FF000000"/>
            <rFont val="Tahoma"/>
            <family val="2"/>
            <charset val="1"/>
          </rPr>
          <t>.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r>
      </text>
    </comment>
    <comment ref="AA660" authorId="0" shapeId="0" xr:uid="{00000000-0006-0000-0000-0000DA030000}">
      <text>
        <r>
          <rPr>
            <b/>
            <sz val="9"/>
            <color rgb="FF000000"/>
            <rFont val="Segoe UI"/>
            <family val="2"/>
            <charset val="1"/>
          </rPr>
          <t>13 dias da folha de NOV 2019, lançada na planilha de previsão de pagamento DEZ 2019</t>
        </r>
      </text>
    </comment>
    <comment ref="AA661" authorId="0" shapeId="0" xr:uid="{00000000-0006-0000-0000-0000DB030000}">
      <text>
        <r>
          <rPr>
            <sz val="11"/>
            <color rgb="FF000000"/>
            <rFont val="Calibri"/>
            <family val="2"/>
            <charset val="1"/>
          </rPr>
          <t xml:space="preserve">folha de DEZ 2019, lançada na planilha de JAN 2020
</t>
        </r>
      </text>
    </comment>
    <comment ref="AV661" authorId="0" shapeId="0" xr:uid="{00000000-0006-0000-0000-0000020A0000}">
      <text>
        <r>
          <rPr>
            <sz val="11"/>
            <color rgb="FF000000"/>
            <rFont val="Calibri"/>
            <family val="2"/>
            <charset val="1"/>
          </rPr>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r>
      </text>
    </comment>
    <comment ref="AA662" authorId="0" shapeId="0" xr:uid="{00000000-0006-0000-0000-0000DC030000}">
      <text>
        <r>
          <rPr>
            <sz val="11"/>
            <color rgb="FF000000"/>
            <rFont val="Calibri"/>
            <family val="2"/>
            <charset val="1"/>
          </rPr>
          <t xml:space="preserve">folha de DEZ 2019, lançada na planilha de JAN 2020
</t>
        </r>
      </text>
    </comment>
    <comment ref="AD662" authorId="0" shapeId="0" xr:uid="{00000000-0006-0000-0000-000012070000}">
      <text>
        <r>
          <rPr>
            <b/>
            <sz val="9"/>
            <color rgb="FF000000"/>
            <rFont val="Tahoma"/>
            <family val="2"/>
            <charset val="1"/>
          </rPr>
          <t>ENERGIA - REFERÊNCIA DEZ/19 - LANÇADO PLANILHA PAGAMENTO GEFIC EM JAN/20</t>
        </r>
      </text>
    </comment>
    <comment ref="AD663" authorId="0" shapeId="0" xr:uid="{00000000-0006-0000-0000-000013070000}">
      <text>
        <r>
          <rPr>
            <sz val="11"/>
            <color rgb="FF000000"/>
            <rFont val="Calibri"/>
            <family val="2"/>
            <charset val="1"/>
          </rPr>
          <t xml:space="preserve">ENERGIA - REFERÊNCIA JAN/20 - LANÇADO PLANILHA PAGAMENTO GEFIC EM FEV/20
</t>
        </r>
      </text>
    </comment>
    <comment ref="AD664" authorId="0" shapeId="0" xr:uid="{00000000-0006-0000-0000-000014070000}">
      <text>
        <r>
          <rPr>
            <sz val="11"/>
            <color rgb="FF000000"/>
            <rFont val="Calibri"/>
            <family val="2"/>
            <charset val="1"/>
          </rPr>
          <t xml:space="preserve">ENERGIA - REFERÊNCIA FEV20 - LANÇADO PLANILHA PAGAMENTO GEFIC EM MAR/20
</t>
        </r>
      </text>
    </comment>
    <comment ref="AW664" authorId="0" shapeId="0" xr:uid="{00000000-0006-0000-0000-00003C0A0000}">
      <text>
        <r>
          <rPr>
            <sz val="11"/>
            <color rgb="FF000000"/>
            <rFont val="Calibri"/>
            <family val="2"/>
            <charset val="1"/>
          </rPr>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r>
      </text>
    </comment>
    <comment ref="AB665" authorId="0" shapeId="0" xr:uid="{00000000-0006-0000-0000-00009E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665" authorId="0" shapeId="0" xr:uid="{00000000-0006-0000-0000-000015070000}">
      <text>
        <r>
          <rPr>
            <sz val="11"/>
            <color rgb="FF000000"/>
            <rFont val="Calibri"/>
            <family val="2"/>
            <charset val="1"/>
          </rPr>
          <t xml:space="preserve">REFERÊNCIA MAR/20 - LANÇADO PLANILHA PAGAMENTO GEFIC EM ABR/20
</t>
        </r>
      </text>
    </comment>
    <comment ref="Z666" authorId="0" shapeId="0" xr:uid="{00000000-0006-0000-0000-00009A020000}">
      <text>
        <r>
          <rPr>
            <sz val="11"/>
            <color rgb="FF000000"/>
            <rFont val="Calibri"/>
            <family val="2"/>
            <charset val="1"/>
          </rPr>
          <t xml:space="preserve">GLOSA DE FOLHA ABR/20 LANÇADA NA PLANILHA DE PREVISÃO DE PAGAMENTO MAI/20 DA GAOS
</t>
        </r>
      </text>
    </comment>
    <comment ref="AD666" authorId="0" shapeId="0" xr:uid="{00000000-0006-0000-0000-000016070000}">
      <text>
        <r>
          <rPr>
            <sz val="11"/>
            <color rgb="FF000000"/>
            <rFont val="Calibri"/>
            <family val="2"/>
            <charset val="1"/>
          </rPr>
          <t xml:space="preserve">REFERÊNCIA ABR/20 - LANÇADO PLANILHA PAGAMENTO GEFIC EM MAI/20
</t>
        </r>
      </text>
    </comment>
    <comment ref="Z667" authorId="0" shapeId="0" xr:uid="{00000000-0006-0000-0000-00009B020000}">
      <text>
        <r>
          <rPr>
            <sz val="11"/>
            <color rgb="FF000000"/>
            <rFont val="Calibri"/>
            <family val="2"/>
            <charset val="1"/>
          </rPr>
          <t xml:space="preserve">R$ -GLOSA DE FOLHA MAIO/20 LANÇADA NA PLANILHA DE PREVISÃO DE PAGAMENTO JUN/20 DA GAOS
</t>
        </r>
      </text>
    </comment>
    <comment ref="AA667" authorId="0" shapeId="0" xr:uid="{00000000-0006-0000-0000-0000DD030000}">
      <text>
        <r>
          <rPr>
            <b/>
            <sz val="9"/>
            <color rgb="FF000000"/>
            <rFont val="Segoe UI"/>
            <family val="2"/>
            <charset val="1"/>
          </rPr>
          <t>ESTIMADO</t>
        </r>
      </text>
    </comment>
    <comment ref="AD667" authorId="0" shapeId="0" xr:uid="{00000000-0006-0000-0000-000017070000}">
      <text>
        <r>
          <rPr>
            <sz val="11"/>
            <color rgb="FF000000"/>
            <rFont val="Calibri"/>
            <family val="2"/>
            <charset val="1"/>
          </rPr>
          <t xml:space="preserve">ENERGIA - REFERÊNCIA MAI/20 - LANÇADO PLANILHA PAGAMENTO GEFIC EM JUN/20
</t>
        </r>
      </text>
    </comment>
    <comment ref="AW667" authorId="0" shapeId="0" xr:uid="{00000000-0006-0000-0000-00003D0A0000}">
      <text>
        <r>
          <rPr>
            <sz val="11"/>
            <color rgb="FF000000"/>
            <rFont val="Calibri"/>
            <family val="2"/>
            <charset val="1"/>
          </rPr>
          <t xml:space="preserve">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
</t>
        </r>
      </text>
    </comment>
    <comment ref="Z668" authorId="0" shapeId="0" xr:uid="{00000000-0006-0000-0000-00009C020000}">
      <text>
        <r>
          <rPr>
            <sz val="11"/>
            <color rgb="FF000000"/>
            <rFont val="Calibri"/>
            <family val="2"/>
            <charset val="1"/>
          </rPr>
          <t xml:space="preserve">R$ 7.099,56 FOLHA - REFERÊNCIA JUN/20 - LANÇADO PLANILHA PAGAMENTO GEFIC EM JUL/20.
.
R$ 270,00 DIFERENÇA FOLHA - REFERÊNCIA MAI/20 - LANÇADO PLANILHA PAGAMENTO GEFIC EM JUL/20.
</t>
        </r>
      </text>
    </comment>
    <comment ref="AA668" authorId="0" shapeId="0" xr:uid="{00000000-0006-0000-0000-0000DE030000}">
      <text>
        <r>
          <rPr>
            <b/>
            <sz val="9"/>
            <color rgb="FF000000"/>
            <rFont val="Segoe UI"/>
            <family val="2"/>
            <charset val="1"/>
          </rPr>
          <t>ESTIMADO</t>
        </r>
      </text>
    </comment>
    <comment ref="AB668" authorId="0" shapeId="0" xr:uid="{00000000-0006-0000-0000-00009F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668" authorId="0" shapeId="0" xr:uid="{00000000-0006-0000-0000-000018070000}">
      <text>
        <r>
          <rPr>
            <sz val="11"/>
            <color rgb="FF000000"/>
            <rFont val="Calibri"/>
            <family val="2"/>
            <charset val="1"/>
          </rPr>
          <t xml:space="preserve">ENERGIA - REFERÊNCIA JUN/20 - LANÇADO PLANILHA PAGAMENTO GEFIC EM JUL/20
</t>
        </r>
      </text>
    </comment>
    <comment ref="Z669" authorId="0" shapeId="0" xr:uid="{00000000-0006-0000-0000-00009D020000}">
      <text>
        <r>
          <rPr>
            <b/>
            <sz val="9"/>
            <color rgb="FF000000"/>
            <rFont val="Segoe UI"/>
            <family val="2"/>
            <charset val="1"/>
          </rPr>
          <t xml:space="preserve">FOLHA - REFERÊNCIA JUL/20 - LANÇADO PLANILHA PAGAMENTO GEFIC EM AGO/20.
</t>
        </r>
      </text>
    </comment>
    <comment ref="AA669" authorId="0" shapeId="0" xr:uid="{00000000-0006-0000-0000-0000DF030000}">
      <text>
        <r>
          <rPr>
            <b/>
            <sz val="9"/>
            <color rgb="FF000000"/>
            <rFont val="Segoe UI"/>
            <family val="2"/>
            <charset val="1"/>
          </rPr>
          <t xml:space="preserve">FOLHA - REFERÊNCIA JUL/20 - LANÇADO PLANILHA PAGAMENTO GEFIC EM AGO/20.
</t>
        </r>
      </text>
    </comment>
    <comment ref="AD669" authorId="0" shapeId="0" xr:uid="{00000000-0006-0000-0000-000019070000}">
      <text>
        <r>
          <rPr>
            <sz val="11"/>
            <color rgb="FF000000"/>
            <rFont val="Calibri"/>
            <family val="2"/>
            <charset val="1"/>
          </rPr>
          <t xml:space="preserve">ENERGIA - REFERÊNCIA JUL/20 - LANÇADO PLANILHA PAGAMENTO GEFIC EM AGO/20
</t>
        </r>
      </text>
    </comment>
    <comment ref="F670" authorId="0" shapeId="0" xr:uid="{00000000-0006-0000-0000-000074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70" authorId="0" shapeId="0" xr:uid="{00000000-0006-0000-0000-00009E020000}">
      <text>
        <r>
          <rPr>
            <b/>
            <sz val="9"/>
            <color rgb="FF000000"/>
            <rFont val="Segoe UI"/>
            <family val="2"/>
            <charset val="1"/>
          </rPr>
          <t xml:space="preserve">FOLHA - REFERÊNCIA AGO/20 - LANÇADO PLANILHA PAGAMENTO GEFIC EM SET/20.
</t>
        </r>
      </text>
    </comment>
    <comment ref="AA670" authorId="0" shapeId="0" xr:uid="{00000000-0006-0000-0000-0000E0030000}">
      <text>
        <r>
          <rPr>
            <b/>
            <sz val="9"/>
            <color rgb="FF000000"/>
            <rFont val="Segoe UI"/>
            <family val="2"/>
            <charset val="1"/>
          </rPr>
          <t xml:space="preserve">FOLHA - REFERÊNCIA AGO/20 - LANÇADO PLANILHA PAGAMENTO GEFIC EM SET/20.
</t>
        </r>
      </text>
    </comment>
    <comment ref="AD670" authorId="0" shapeId="0" xr:uid="{00000000-0006-0000-0000-00001A070000}">
      <text>
        <r>
          <rPr>
            <sz val="11"/>
            <color rgb="FF000000"/>
            <rFont val="Calibri"/>
            <family val="2"/>
            <charset val="1"/>
          </rPr>
          <t xml:space="preserve">ENERGIA - REFERÊNCIA AGO/20 - LANÇADO PLANILHA PAGAMENTO GEFIC EM SET/20
</t>
        </r>
      </text>
    </comment>
    <comment ref="AU670" authorId="0" shapeId="0" xr:uid="{00000000-0006-0000-0000-0000E1090000}">
      <text>
        <r>
          <rPr>
            <sz val="11"/>
            <color rgb="FF000000"/>
            <rFont val="Calibri"/>
            <family val="2"/>
            <charset val="1"/>
          </rPr>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r>
      </text>
    </comment>
    <comment ref="Z671" authorId="0" shapeId="0" xr:uid="{00000000-0006-0000-0000-00009F020000}">
      <text>
        <r>
          <rPr>
            <b/>
            <sz val="9"/>
            <color rgb="FF000000"/>
            <rFont val="Segoe UI"/>
            <family val="2"/>
            <charset val="1"/>
          </rPr>
          <t xml:space="preserve">FOLHA - REFERÊNCIA SET/20 - LANÇADO PLANILHA PAGAMENTO GEFIC EM OUT/20 
</t>
        </r>
      </text>
    </comment>
    <comment ref="AD671" authorId="0" shapeId="0" xr:uid="{00000000-0006-0000-0000-00001B070000}">
      <text>
        <r>
          <rPr>
            <sz val="11"/>
            <color rgb="FF000000"/>
            <rFont val="Calibri"/>
            <family val="2"/>
            <charset val="1"/>
          </rPr>
          <t xml:space="preserve">ENERGIA - REFERÊNCIA SET/20 - LANÇADO PLANILHA PAGAMENTO GEFIC EM OUT/20
</t>
        </r>
      </text>
    </comment>
    <comment ref="Z672" authorId="0" shapeId="0" xr:uid="{00000000-0006-0000-0000-0000A0020000}">
      <text>
        <r>
          <rPr>
            <b/>
            <sz val="9"/>
            <color rgb="FF000000"/>
            <rFont val="Segoe UI"/>
            <family val="2"/>
            <charset val="1"/>
          </rPr>
          <t xml:space="preserve">FOLHA - REFERÊNCIA OUT/20 - LANÇADO PLANILHA PAGAMENTO GEFIC EM NOV/20.
</t>
        </r>
      </text>
    </comment>
    <comment ref="AA672" authorId="0" shapeId="0" xr:uid="{00000000-0006-0000-0000-0000E1030000}">
      <text>
        <r>
          <rPr>
            <b/>
            <sz val="9"/>
            <color rgb="FF000000"/>
            <rFont val="Segoe UI"/>
            <family val="2"/>
            <charset val="1"/>
          </rPr>
          <t xml:space="preserve">FOLHA - REFERÊNCIA OUT/20 - LANÇADO PLANILHA PAGAMENTO GEFIC EM NOV/20.
</t>
        </r>
      </text>
    </comment>
    <comment ref="AB672" authorId="0" shapeId="0" xr:uid="{00000000-0006-0000-0000-0000A0040000}">
      <text>
        <r>
          <rPr>
            <sz val="11"/>
            <color rgb="FF000000"/>
            <rFont val="Calibri"/>
            <family val="2"/>
            <charset val="1"/>
          </rPr>
          <t xml:space="preserve">FOLHA - REFERÊNCIA SET/20 - DIFERENÇA ENTRE O APLICADO NA  PARCELA DE OUTUBRO E O LANÇADO  NA  PLANILHA PAGAMENTO GAOS OUT/20 
</t>
        </r>
      </text>
    </comment>
    <comment ref="AD672" authorId="0" shapeId="0" xr:uid="{00000000-0006-0000-0000-00001C070000}">
      <text>
        <r>
          <rPr>
            <sz val="11"/>
            <color rgb="FF000000"/>
            <rFont val="Calibri"/>
            <family val="2"/>
            <charset val="1"/>
          </rPr>
          <t xml:space="preserve">ENERGIA - REFERÊNCIA OUT/20 - LANÇADO PLANILHA PAGAMENTO GEFIC EM NOV/20
</t>
        </r>
        <r>
          <rPr>
            <sz val="9"/>
            <color rgb="FF000000"/>
            <rFont val="Tahoma"/>
            <family val="2"/>
            <charset val="1"/>
          </rPr>
          <t>.
PARTE...................................R$ 54.244,08 (VALOR INFORMADO 65.378,53)
RESTANTE FOI LANÇADO NA PARCELA DE JAN/21</t>
        </r>
      </text>
    </comment>
    <comment ref="Z673" authorId="0" shapeId="0" xr:uid="{00000000-0006-0000-0000-0000A1020000}">
      <text>
        <r>
          <rPr>
            <b/>
            <sz val="9"/>
            <color rgb="FF000000"/>
            <rFont val="Segoe UI"/>
            <family val="2"/>
            <charset val="1"/>
          </rPr>
          <t xml:space="preserve">FOLHA - REFERÊNCIA NOV/20 - LANÇADO PLANILHA PAGAMENTO GEFIC EM DEZ/20.
</t>
        </r>
      </text>
    </comment>
    <comment ref="AA673" authorId="0" shapeId="0" xr:uid="{00000000-0006-0000-0000-0000E2030000}">
      <text>
        <r>
          <rPr>
            <b/>
            <sz val="9"/>
            <color rgb="FF000000"/>
            <rFont val="Segoe UI"/>
            <family val="2"/>
            <charset val="1"/>
          </rPr>
          <t xml:space="preserve">FOLHA - REFERÊNCIA NOV/20 - LANÇADO PLANILHA PAGAMENTO GEFIC EM DEZ/20.
</t>
        </r>
      </text>
    </comment>
    <comment ref="AD673" authorId="0" shapeId="0" xr:uid="{00000000-0006-0000-0000-00001D070000}">
      <text>
        <r>
          <rPr>
            <b/>
            <sz val="9"/>
            <color rgb="FF000000"/>
            <rFont val="Tahoma"/>
            <family val="2"/>
            <charset val="1"/>
          </rPr>
          <t>Difeença CELG REFERÊNCIA OUT/20 LANÇADO NA PLANILHA DE REPASSE MENSAL DA GAOS NOV/20..................R$ 11.134,45 (VALOR INFORMADO (65.378,53)
.
ENERGIA -- LANÇADO PLANILHA PAGAMENTO GEFIC EM DEZ/20
NOV/20...............................R$ 38.823,34
 VALOR INFORMADO (58.005,37)
RESTANTE LANÇADO NA PLANILHA DE JAN/21</t>
        </r>
      </text>
    </comment>
    <comment ref="F674" authorId="0" shapeId="0" xr:uid="{00000000-0006-0000-0000-000075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74" authorId="0" shapeId="0" xr:uid="{00000000-0006-0000-0000-0000A2020000}">
      <text>
        <r>
          <rPr>
            <sz val="11"/>
            <color rgb="FF000000"/>
            <rFont val="Calibri"/>
            <family val="2"/>
            <charset val="1"/>
          </rPr>
          <t xml:space="preserve">FOLHA - REFERÊNCIA DEZ/20- LANÇADO PLANILHA PAGAMENTO GEFIC EM JAN/21.
</t>
        </r>
      </text>
    </comment>
    <comment ref="AA674" authorId="0" shapeId="0" xr:uid="{00000000-0006-0000-0000-0000E3030000}">
      <text>
        <r>
          <rPr>
            <sz val="11"/>
            <color rgb="FF000000"/>
            <rFont val="Calibri"/>
            <family val="2"/>
            <charset val="1"/>
          </rPr>
          <t xml:space="preserve">FOLHA - REFERÊNCIA DEZ/20- LANÇADO PLANILHA PAGAMENTO GEFIC EM JAN/21.
</t>
        </r>
      </text>
    </comment>
    <comment ref="AD674" authorId="0" shapeId="0" xr:uid="{00000000-0006-0000-0000-00001E070000}">
      <text>
        <r>
          <rPr>
            <b/>
            <sz val="9"/>
            <color rgb="FF000000"/>
            <rFont val="Tahoma"/>
            <family val="2"/>
            <charset val="1"/>
          </rPr>
          <t xml:space="preserve">
ENERGIA -- LANÇADO PLANILHA PAGAMENTO GEFIC EM DEZ/20
NOV/20...............................RESTANTE R$ 19.182,03
 (VALOR INFORMADO NA PLANILHA DE DEZ/20 58.005,37)
DEZ/20................................R$ 61.565,20</t>
        </r>
      </text>
    </comment>
    <comment ref="AX674" authorId="0" shapeId="0" xr:uid="{00000000-0006-0000-0000-0000AA0A0000}">
      <text>
        <r>
          <rPr>
            <sz val="11"/>
            <color rgb="FF000000"/>
            <rFont val="Calibri"/>
            <family val="2"/>
            <charset val="1"/>
          </rPr>
          <t xml:space="preserve">REG.DESPESA -CUSTEIO 16/01 A 31/01/21, PROC.202100010003601
</t>
        </r>
      </text>
    </comment>
    <comment ref="Z675" authorId="0" shapeId="0" xr:uid="{00000000-0006-0000-0000-0000A3020000}">
      <text>
        <r>
          <rPr>
            <sz val="11"/>
            <color rgb="FF000000"/>
            <rFont val="Calibri"/>
            <family val="2"/>
            <charset val="1"/>
          </rPr>
          <t xml:space="preserve">FOLHA - REFERÊNCIA JAN/21- LANÇADO PLANILHA PAGAMENTO GEFIC EM FEV/21.
</t>
        </r>
      </text>
    </comment>
    <comment ref="AA675" authorId="0" shapeId="0" xr:uid="{00000000-0006-0000-0000-0000E4030000}">
      <text>
        <r>
          <rPr>
            <sz val="11"/>
            <color rgb="FF000000"/>
            <rFont val="Calibri"/>
            <family val="2"/>
            <charset val="1"/>
          </rPr>
          <t xml:space="preserve">FOLHA - REFERÊNCIA JAN/21- LANÇADO PLANILHA PAGAMENTO GEFIC EM FEV/21.
</t>
        </r>
      </text>
    </comment>
    <comment ref="AD675" authorId="0" shapeId="0" xr:uid="{00000000-0006-0000-0000-00001F070000}">
      <text>
        <r>
          <rPr>
            <sz val="11"/>
            <color rgb="FF000000"/>
            <rFont val="Calibri"/>
            <family val="2"/>
            <charset val="1"/>
          </rPr>
          <t xml:space="preserve">CELG JAN/21 LANÇADO NA PLANILHA DE FEV/21
</t>
        </r>
      </text>
    </comment>
    <comment ref="AX675" authorId="0" shapeId="0" xr:uid="{00000000-0006-0000-0000-0000AB0A0000}">
      <text>
        <r>
          <rPr>
            <sz val="11"/>
            <color rgb="FF000000"/>
            <rFont val="Calibri"/>
            <family val="2"/>
            <charset val="1"/>
          </rPr>
          <t xml:space="preserve"> REGULARIZAÇÃO DE DESPESAS PARCIAL PELO PERÍODO DE 01/02 /2021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REFERENTE AOS PERÍODOS: . 01/02/2021 a 28/02/2021....................R$ 1.231.028,04, PROC.202100010003601
</t>
        </r>
      </text>
    </comment>
    <comment ref="Z676" authorId="0" shapeId="0" xr:uid="{00000000-0006-0000-0000-0000A4020000}">
      <text>
        <r>
          <rPr>
            <sz val="11"/>
            <color rgb="FF000000"/>
            <rFont val="Calibri"/>
            <family val="2"/>
            <charset val="1"/>
          </rPr>
          <t xml:space="preserve">FOLHA - REFERÊNCIA FEV/21- LANÇADO PLANILHA PAGAMENTO GEFIC EM MAR/21.
</t>
        </r>
      </text>
    </comment>
    <comment ref="AA676" authorId="0" shapeId="0" xr:uid="{00000000-0006-0000-0000-0000E5030000}">
      <text>
        <r>
          <rPr>
            <sz val="11"/>
            <color rgb="FF000000"/>
            <rFont val="Calibri"/>
            <family val="2"/>
            <charset val="1"/>
          </rPr>
          <t xml:space="preserve">FOLHA - REFERÊNCIA FEV/21- LANÇADO PLANILHA PAGAMENTO GEFIC EM MAR/21.
</t>
        </r>
      </text>
    </comment>
    <comment ref="AD676" authorId="0" shapeId="0" xr:uid="{00000000-0006-0000-0000-000020070000}">
      <text>
        <r>
          <rPr>
            <sz val="11"/>
            <color rgb="FF000000"/>
            <rFont val="Calibri"/>
            <family val="2"/>
            <charset val="1"/>
          </rPr>
          <t xml:space="preserve">CELG FEV/21 LANÇADO NA PLANILHA DE MAR/21
</t>
        </r>
      </text>
    </comment>
    <comment ref="AX676" authorId="0" shapeId="0" xr:uid="{00000000-0006-0000-0000-0000AC0A0000}">
      <text>
        <r>
          <rPr>
            <sz val="11"/>
            <color rgb="FF000000"/>
            <rFont val="Calibri"/>
            <family val="2"/>
            <charset val="1"/>
          </rPr>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r>
      </text>
    </comment>
    <comment ref="G677" authorId="0" shapeId="0" xr:uid="{00000000-0006-0000-0000-000095000000}">
      <text>
        <r>
          <rPr>
            <sz val="11"/>
            <color rgb="FF000000"/>
            <rFont val="Calibri"/>
            <family val="2"/>
            <charset val="1"/>
          </rPr>
          <t xml:space="preserve">vegência Apartir da outorga que se deu em 26/04 a 17/11/23 - 2 T.Aditivo implantação de 18 leitos com perfil de UTI
</t>
        </r>
        <r>
          <rPr>
            <sz val="9"/>
            <color rgb="FF000000"/>
            <rFont val="Segoe UI"/>
            <family val="2"/>
            <charset val="1"/>
          </rPr>
          <t>.
R$ 123.102,80 -HOUVE GLOSA REFERENTE AO VALOR REPASSADO A MAIOR NA PARCELA  DE ABRIL/2021 REFERENTE AO 2º TERMO ADITIVO, POR UM EQUIVOCO FOI CALCULADO COM  ATA INICIAL DA VIGÊNCIA DE 23/04/21, SENDO QUE O CORRETO  É 26/04/21</t>
        </r>
      </text>
    </comment>
    <comment ref="Z677" authorId="0" shapeId="0" xr:uid="{00000000-0006-0000-0000-0000A5020000}">
      <text>
        <r>
          <rPr>
            <sz val="11"/>
            <color rgb="FF000000"/>
            <rFont val="Calibri"/>
            <family val="2"/>
            <charset val="1"/>
          </rPr>
          <t xml:space="preserve">FOLHA - REFERÊNCIA MAR/21- LANÇADO PLANILHA PAGAMENTO GEFIC EM ABR/21.
</t>
        </r>
      </text>
    </comment>
    <comment ref="AA677" authorId="0" shapeId="0" xr:uid="{00000000-0006-0000-0000-0000E6030000}">
      <text>
        <r>
          <rPr>
            <sz val="11"/>
            <color rgb="FF000000"/>
            <rFont val="Calibri"/>
            <family val="2"/>
            <charset val="1"/>
          </rPr>
          <t xml:space="preserve">FOLHA - REFERÊNCIA MAR/21- LANÇADO PLANILHA PAGAMENTO GEFIC EM ABR/21.
</t>
        </r>
      </text>
    </comment>
    <comment ref="AD677" authorId="0" shapeId="0" xr:uid="{00000000-0006-0000-0000-000021070000}">
      <text>
        <r>
          <rPr>
            <sz val="11"/>
            <color rgb="FF000000"/>
            <rFont val="Calibri"/>
            <family val="2"/>
            <charset val="1"/>
          </rPr>
          <t xml:space="preserve">CELG MAR/21 LANÇADO NA PLANILHA DE ABR/21
</t>
        </r>
      </text>
    </comment>
    <comment ref="AX677" authorId="0" shapeId="0" xr:uid="{00000000-0006-0000-0000-0000AD0A0000}">
      <text>
        <r>
          <rPr>
            <sz val="11"/>
            <color rgb="FF000000"/>
            <rFont val="Calibri"/>
            <family val="2"/>
            <charset val="1"/>
          </rPr>
          <t xml:space="preserve">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
</t>
        </r>
      </text>
    </comment>
    <comment ref="G678" authorId="0" shapeId="0" xr:uid="{00000000-0006-0000-0000-000096000000}">
      <text>
        <r>
          <rPr>
            <sz val="11"/>
            <color rgb="FF000000"/>
            <rFont val="Calibri"/>
            <family val="2"/>
            <charset val="1"/>
          </rPr>
          <t xml:space="preserve">vegência Apartir da outorga que se deu em 26/04 a 17/11/23 - 2 T.Aditivo implantação de 18 leitos com perfil de UTI
</t>
        </r>
      </text>
    </comment>
    <comment ref="Z678" authorId="0" shapeId="0" xr:uid="{00000000-0006-0000-0000-0000A6020000}">
      <text>
        <r>
          <rPr>
            <sz val="11"/>
            <color rgb="FF000000"/>
            <rFont val="Calibri"/>
            <family val="2"/>
            <charset val="1"/>
          </rPr>
          <t xml:space="preserve">FOLHA - REFERÊNCIA ABR/21- LANÇADO PLANILHA PAGAMENTO GEFIC EM MAI/21.
</t>
        </r>
      </text>
    </comment>
    <comment ref="AA678" authorId="0" shapeId="0" xr:uid="{00000000-0006-0000-0000-0000E7030000}">
      <text>
        <r>
          <rPr>
            <sz val="11"/>
            <color rgb="FF000000"/>
            <rFont val="Calibri"/>
            <family val="2"/>
            <charset val="1"/>
          </rPr>
          <t xml:space="preserve">FOLHA - REFERÊNCIA ABR/21- LANÇADO PLANILHA PAGAMENTO GEFIC EM MAI/21.
</t>
        </r>
      </text>
    </comment>
    <comment ref="AD678" authorId="0" shapeId="0" xr:uid="{00000000-0006-0000-0000-000022070000}">
      <text>
        <r>
          <rPr>
            <sz val="11"/>
            <color rgb="FF000000"/>
            <rFont val="Calibri"/>
            <family val="2"/>
            <charset val="1"/>
          </rPr>
          <t xml:space="preserve">CELG ABR/21 LANÇADO NA PLANILHA DE MAI/21
</t>
        </r>
      </text>
    </comment>
    <comment ref="G679" authorId="0" shapeId="0" xr:uid="{00000000-0006-0000-0000-000097000000}">
      <text>
        <r>
          <rPr>
            <sz val="11"/>
            <color rgb="FF000000"/>
            <rFont val="Calibri"/>
            <family val="2"/>
            <charset val="1"/>
          </rPr>
          <t xml:space="preserve">vegência Apartir da outorga que se deu em 26/04 a 17/11/23 - 2 T.Aditivo implantação de 18 leitos com perfil de UTI
</t>
        </r>
      </text>
    </comment>
    <comment ref="Z679" authorId="0" shapeId="0" xr:uid="{00000000-0006-0000-0000-0000A7020000}">
      <text>
        <r>
          <rPr>
            <sz val="11"/>
            <color rgb="FF000000"/>
            <rFont val="Calibri"/>
            <family val="2"/>
            <charset val="1"/>
          </rPr>
          <t xml:space="preserve">FOLHA - REFERÊNCIA MAI/21- LANÇADO PLANILHA PAGAMENTO GEFIC EM JUN/21.
</t>
        </r>
      </text>
    </comment>
    <comment ref="AA679" authorId="0" shapeId="0" xr:uid="{00000000-0006-0000-0000-0000E8030000}">
      <text>
        <r>
          <rPr>
            <sz val="11"/>
            <color rgb="FF000000"/>
            <rFont val="Calibri"/>
            <family val="2"/>
            <charset val="1"/>
          </rPr>
          <t xml:space="preserve">FOLHA - REFERÊNCIA MAI/21- LANÇADO PLANILHA PAGAMENTO GEFIC EM JUN/21.
</t>
        </r>
      </text>
    </comment>
    <comment ref="AD679" authorId="0" shapeId="0" xr:uid="{00000000-0006-0000-0000-000023070000}">
      <text>
        <r>
          <rPr>
            <sz val="11"/>
            <color rgb="FF000000"/>
            <rFont val="Calibri"/>
            <family val="2"/>
            <charset val="1"/>
          </rPr>
          <t xml:space="preserve">CELG MA/21 LANÇADO NA PLANILHA DE JUN/21
</t>
        </r>
      </text>
    </comment>
    <comment ref="G680" authorId="0" shapeId="0" xr:uid="{00000000-0006-0000-0000-000098000000}">
      <text>
        <r>
          <rPr>
            <sz val="11"/>
            <color rgb="FF000000"/>
            <rFont val="Calibri"/>
            <family val="2"/>
            <charset val="1"/>
          </rPr>
          <t xml:space="preserve">vegência Apartir da outorga que se deu em 26/04 a 17/11/23 - 2 T.Aditivo implantação de 18 leitos com perfil de UTI
</t>
        </r>
      </text>
    </comment>
    <comment ref="Z680" authorId="0" shapeId="0" xr:uid="{00000000-0006-0000-0000-0000A8020000}">
      <text>
        <r>
          <rPr>
            <sz val="11"/>
            <color rgb="FF000000"/>
            <rFont val="Calibri"/>
            <family val="2"/>
            <charset val="1"/>
          </rPr>
          <t xml:space="preserve">FOLHA - REFERÊNCIA JUN/21- LANÇADO PLANILHA PAGAMENTO GEFIC EM JUL/21.
</t>
        </r>
      </text>
    </comment>
    <comment ref="AA680" authorId="0" shapeId="0" xr:uid="{00000000-0006-0000-0000-0000E9030000}">
      <text>
        <r>
          <rPr>
            <sz val="11"/>
            <color rgb="FF000000"/>
            <rFont val="Calibri"/>
            <family val="2"/>
            <charset val="1"/>
          </rPr>
          <t xml:space="preserve">FOLHA - REFERÊNCIA JUN/21- LANÇADO PLANILHA PAGAMENTO GEFIC EM JUL/21.
</t>
        </r>
      </text>
    </comment>
    <comment ref="AD680" authorId="0" shapeId="0" xr:uid="{00000000-0006-0000-0000-000024070000}">
      <text>
        <r>
          <rPr>
            <sz val="11"/>
            <color rgb="FF000000"/>
            <rFont val="Calibri"/>
            <family val="2"/>
            <charset val="1"/>
          </rPr>
          <t xml:space="preserve">CELG JUN/21 LANÇADO NA PLANILHA DE JUL/21
</t>
        </r>
      </text>
    </comment>
    <comment ref="AE680" authorId="0" shapeId="0" xr:uid="{00000000-0006-0000-0000-000099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AW680" authorId="0" shapeId="0" xr:uid="{00000000-0006-0000-0000-00003E0A0000}">
      <text>
        <r>
          <rPr>
            <sz val="11"/>
            <color rgb="FF000000"/>
            <rFont val="Calibri"/>
            <family val="2"/>
            <charset val="1"/>
          </rPr>
          <t xml:space="preserve">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t>
        </r>
        <r>
          <rPr>
            <sz val="9"/>
            <color rgb="FF000000"/>
            <rFont val="Segoe UI"/>
            <family val="2"/>
            <charset val="1"/>
          </rPr>
          <t>FOI FEITO GUIA DE RECOLHIMENTO PARA DEVOLUÇÃO DO SALDO REMANESCENTE DE R$ 31.038,42</t>
        </r>
      </text>
    </comment>
    <comment ref="G681" authorId="0" shapeId="0" xr:uid="{00000000-0006-0000-0000-000099000000}">
      <text>
        <r>
          <rPr>
            <sz val="11"/>
            <color rgb="FF000000"/>
            <rFont val="Calibri"/>
            <family val="2"/>
            <charset val="1"/>
          </rPr>
          <t xml:space="preserve">vegência Apartir da outorga que se deu em 26/04 a 17/11/23 - 2 T.Aditivo implantação de 18 leitos com perfil de UTI
</t>
        </r>
      </text>
    </comment>
    <comment ref="Z681" authorId="0" shapeId="0" xr:uid="{00000000-0006-0000-0000-0000A9020000}">
      <text>
        <r>
          <rPr>
            <sz val="11"/>
            <color rgb="FF000000"/>
            <rFont val="Calibri"/>
            <family val="2"/>
            <charset val="1"/>
          </rPr>
          <t xml:space="preserve">FOLHA - REFERÊNCIA JUL/21- LANÇADO PLANILHA PAGAMENTO GEFIC EM AGO/21.
</t>
        </r>
      </text>
    </comment>
    <comment ref="AA681" authorId="0" shapeId="0" xr:uid="{00000000-0006-0000-0000-0000EA030000}">
      <text>
        <r>
          <rPr>
            <sz val="11"/>
            <color rgb="FF000000"/>
            <rFont val="Calibri"/>
            <family val="2"/>
            <charset val="1"/>
          </rPr>
          <t xml:space="preserve">FOLHA - REFERÊNCIA JUL/21- LANÇADO PLANILHA PAGAMENTO GEFIC EM AGO/21.
</t>
        </r>
      </text>
    </comment>
    <comment ref="AD681" authorId="0" shapeId="0" xr:uid="{00000000-0006-0000-0000-000025070000}">
      <text>
        <r>
          <rPr>
            <sz val="11"/>
            <color rgb="FF000000"/>
            <rFont val="Calibri"/>
            <family val="2"/>
            <charset val="1"/>
          </rPr>
          <t xml:space="preserve">CELG JUL/21 LANÇADO NA PLANILHA DE AGO/21
</t>
        </r>
      </text>
    </comment>
    <comment ref="G682" authorId="0" shapeId="0" xr:uid="{00000000-0006-0000-0000-00009A000000}">
      <text>
        <r>
          <rPr>
            <sz val="11"/>
            <color rgb="FF000000"/>
            <rFont val="Calibri"/>
            <family val="2"/>
            <charset val="1"/>
          </rPr>
          <t xml:space="preserve">vegência Apartir da outorga que se deu em 26/04 a 17/11/23 - 2 T.Aditivo implantação de 18 leitos com perfil de UTI
</t>
        </r>
      </text>
    </comment>
    <comment ref="AE682" authorId="0" shapeId="0" xr:uid="{00000000-0006-0000-0000-00009A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G683" authorId="0" shapeId="0" xr:uid="{00000000-0006-0000-0000-00009B000000}">
      <text>
        <r>
          <rPr>
            <sz val="11"/>
            <color rgb="FF000000"/>
            <rFont val="Calibri"/>
            <family val="2"/>
            <charset val="1"/>
          </rPr>
          <t xml:space="preserve">vegência Apartir da outorga que se deu em 26/04 a 17/11/23 - 2 T.Aditivo implantação de 18 leitos com perfil de UTI
</t>
        </r>
      </text>
    </comment>
    <comment ref="AE685" authorId="0" shapeId="0" xr:uid="{00000000-0006-0000-0000-00009B080000}">
      <text>
        <r>
          <rPr>
            <b/>
            <sz val="9"/>
            <color rgb="FF000000"/>
            <rFont val="Tahoma"/>
            <family val="2"/>
            <charset val="1"/>
          </rPr>
          <t xml:space="preserve">Valor custeio ref.ao acréscimo de leitos e serviços (ainda não foram implantados)
</t>
        </r>
      </text>
    </comment>
    <comment ref="AF685" authorId="0" shapeId="0" xr:uid="{00000000-0006-0000-0000-00001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AE686" authorId="0" shapeId="0" xr:uid="{00000000-0006-0000-0000-00009C080000}">
      <text>
        <r>
          <rPr>
            <b/>
            <sz val="9"/>
            <color rgb="FF000000"/>
            <rFont val="Tahoma"/>
            <family val="2"/>
            <charset val="1"/>
          </rPr>
          <t xml:space="preserve">Valor custeio ref.ao acréscimo de leitos e serviços (ainda não foram implantados)
</t>
        </r>
      </text>
    </comment>
    <comment ref="AF686" authorId="0" shapeId="0" xr:uid="{00000000-0006-0000-0000-00001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F687" authorId="0" shapeId="0" xr:uid="{00000000-0006-0000-0000-000076000000}">
      <text>
        <r>
          <rPr>
            <b/>
            <sz val="9"/>
            <color rgb="FF000000"/>
            <rFont val="Tahoma"/>
            <family val="2"/>
            <charset val="1"/>
          </rPr>
          <t>* Parcela 1.703.853,60; 
* aquisição de equipamentos médico hospitalar  R$ 1.578.356,75; 
* instrumento cirurgico R$ 135.000,00 e 
* Instalação  usina de gases com manutenção preventiva R$ 243.020,86.</t>
        </r>
      </text>
    </comment>
    <comment ref="AE687" authorId="0" shapeId="0" xr:uid="{00000000-0006-0000-0000-00009D080000}">
      <text>
        <r>
          <rPr>
            <b/>
            <sz val="9"/>
            <color rgb="FF000000"/>
            <rFont val="Tahoma"/>
            <family val="2"/>
            <charset val="1"/>
          </rPr>
          <t xml:space="preserve">Investimento:                                                                                                                               *Aquisição de equipamentos médico hospitalar  R$ 1.578.356,75;                    *Instrumento cirurgico R$ 135.000,00;                                                                               *Instalação  usina de gases com manutenção preventiva R$ 243.020,86.
</t>
        </r>
      </text>
    </comment>
    <comment ref="AF687" authorId="0" shapeId="0" xr:uid="{00000000-0006-0000-0000-000014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r>
      </text>
    </comment>
    <comment ref="AU694" authorId="0" shapeId="0" xr:uid="{00000000-0006-0000-0000-0000E2090000}">
      <text>
        <r>
          <rPr>
            <sz val="11"/>
            <color rgb="FF000000"/>
            <rFont val="Calibri"/>
            <family val="2"/>
            <charset val="1"/>
          </rPr>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r>
        <r>
          <rPr>
            <b/>
            <sz val="9"/>
            <color rgb="FF000000"/>
            <rFont val="Tahoma"/>
            <family val="2"/>
            <charset val="1"/>
          </rPr>
          <t xml:space="preserve">.
</t>
        </r>
      </text>
    </comment>
    <comment ref="AD695" authorId="0" shapeId="0" xr:uid="{00000000-0006-0000-0000-000026070000}">
      <text>
        <r>
          <rPr>
            <b/>
            <sz val="9"/>
            <color rgb="FF000000"/>
            <rFont val="Tahoma"/>
            <family val="2"/>
            <charset val="1"/>
          </rPr>
          <t xml:space="preserve">GLOSA REF.AO FORNECIMENTO EM SET/17.
</t>
        </r>
      </text>
    </comment>
    <comment ref="AD696" authorId="0" shapeId="0" xr:uid="{00000000-0006-0000-0000-000027070000}">
      <text>
        <r>
          <rPr>
            <sz val="11"/>
            <color rgb="FF000000"/>
            <rFont val="Calibri"/>
            <family val="2"/>
            <charset val="1"/>
          </rPr>
          <t xml:space="preserve">CELG - REFERÊNCIA OUT/17.........R$10.316,64
CELG - REFERÊNCIA NOV/17.........R$ 2.629,25
</t>
        </r>
      </text>
    </comment>
    <comment ref="AD699" authorId="0" shapeId="0" xr:uid="{00000000-0006-0000-0000-000028070000}">
      <text>
        <r>
          <rPr>
            <b/>
            <sz val="9"/>
            <color rgb="FF000000"/>
            <rFont val="Tahoma"/>
            <family val="2"/>
            <charset val="1"/>
          </rPr>
          <t xml:space="preserve">CELG -FEVEREIRO/18
</t>
        </r>
      </text>
    </comment>
    <comment ref="AD700" authorId="0" shapeId="0" xr:uid="{00000000-0006-0000-0000-000029070000}">
      <text>
        <r>
          <rPr>
            <b/>
            <sz val="9"/>
            <color rgb="FF000000"/>
            <rFont val="Tahoma"/>
            <family val="2"/>
            <charset val="1"/>
          </rPr>
          <t xml:space="preserve">CELG - MAR/18
</t>
        </r>
      </text>
    </comment>
    <comment ref="AD702" authorId="0" shapeId="0" xr:uid="{00000000-0006-0000-0000-00002A070000}">
      <text>
        <r>
          <rPr>
            <b/>
            <sz val="9"/>
            <color rgb="FF000000"/>
            <rFont val="Tahoma"/>
            <family val="2"/>
            <charset val="1"/>
          </rPr>
          <t xml:space="preserve">CELG - MAI/18
</t>
        </r>
      </text>
    </comment>
    <comment ref="AD703" authorId="0" shapeId="0" xr:uid="{00000000-0006-0000-0000-00002B070000}">
      <text>
        <r>
          <rPr>
            <b/>
            <sz val="9"/>
            <color rgb="FF000000"/>
            <rFont val="Tahoma"/>
            <family val="2"/>
            <charset val="1"/>
          </rPr>
          <t xml:space="preserve">CELG - JUN/2018
</t>
        </r>
      </text>
    </comment>
    <comment ref="F704" authorId="0" shapeId="0" xr:uid="{00000000-0006-0000-0000-000077000000}">
      <text>
        <r>
          <rPr>
            <b/>
            <sz val="9"/>
            <color rgb="FF000000"/>
            <rFont val="Tahoma"/>
            <family val="2"/>
            <charset val="1"/>
          </rPr>
          <t>até 25/08/18</t>
        </r>
      </text>
    </comment>
    <comment ref="G704" authorId="0" shapeId="0" xr:uid="{00000000-0006-0000-0000-00009C000000}">
      <text>
        <r>
          <rPr>
            <b/>
            <sz val="9"/>
            <color rgb="FF000000"/>
            <rFont val="Tahoma"/>
            <family val="2"/>
            <charset val="1"/>
          </rPr>
          <t xml:space="preserve">R$ 405.439,08 parcela custeio, R$ 86.390,30  aporte estimativa glosa de folha pagamento e R$ 29.322,45 Aporte custeiar a operacionalização do Projeto Especial Mais saude para todos os Goianos.(despesas período 26/08 a 31/08/18)
.
.
O VALOR CORRESPONDENTE AO PROJETO MAIS SAÚDE PARA TODOS GOIANOS DEPENDE DE CUMPRIMENTO DE METAS PARA O REPASSE INTEGRAL E SE NÃO FOR ATNGIDA PODE SER PAGA A MENOR.
</t>
        </r>
      </text>
    </comment>
    <comment ref="AD704" authorId="0" shapeId="0" xr:uid="{00000000-0006-0000-0000-00002C070000}">
      <text>
        <r>
          <rPr>
            <b/>
            <sz val="9"/>
            <color rgb="FF000000"/>
            <rFont val="Tahoma"/>
            <family val="2"/>
            <charset val="1"/>
          </rPr>
          <t xml:space="preserve">CELG - JUL/2018
</t>
        </r>
      </text>
    </comment>
    <comment ref="AE704" authorId="0" shapeId="0" xr:uid="{00000000-0006-0000-0000-00009E080000}">
      <text>
        <r>
          <rPr>
            <b/>
            <sz val="9"/>
            <color rgb="FF000000"/>
            <rFont val="Tahoma"/>
            <family val="2"/>
            <charset val="1"/>
          </rPr>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F704" authorId="0" shapeId="0" xr:uid="{00000000-0006-0000-0000-000015090000}">
      <text>
        <r>
          <rPr>
            <b/>
            <sz val="9"/>
            <color rgb="FF000000"/>
            <rFont val="Tahoma"/>
            <family val="2"/>
            <charset val="1"/>
          </rPr>
          <t xml:space="preserve"> R$ 491.829,37
 - PARTE DO VALOR CONFORME MEMORANDO Nº177/2018-SGPF/SES, COMPENSAÇÃO DE SALDO VISTO DISPONIBILIDADE DE SALDO FINANCEIRO NECESSÁRIO PARA ENCERRAMENTO  DO ANO  CONTÁBIL (TOTAL DE R$ 4.783.655,95).
</t>
        </r>
      </text>
    </comment>
    <comment ref="G705" authorId="0" shapeId="0" xr:uid="{00000000-0006-0000-0000-00009D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5" authorId="0" shapeId="0" xr:uid="{00000000-0006-0000-0000-0000EB030000}">
      <text>
        <r>
          <rPr>
            <sz val="9"/>
            <color rgb="FF000000"/>
            <rFont val="Tahoma"/>
            <family val="2"/>
            <charset val="1"/>
          </rPr>
          <t xml:space="preserve">GLOSA ESTIMADA NÃO VEIO PLANILHA GEFIC/ NÃO FOI OUTORGADO AINDA 14/12/18
</t>
        </r>
      </text>
    </comment>
    <comment ref="AD705" authorId="0" shapeId="0" xr:uid="{00000000-0006-0000-0000-00002D070000}">
      <text>
        <r>
          <rPr>
            <b/>
            <sz val="9"/>
            <color rgb="FF000000"/>
            <rFont val="Tahoma"/>
            <family val="2"/>
            <charset val="1"/>
          </rPr>
          <t>CELG - AGO/18
GLOSA ESTIMADA NÃO VEIO PLANILHA GEFIC/ NÃO FOI OUTORGADO AINDA 14/12/18</t>
        </r>
      </text>
    </comment>
    <comment ref="AE705" authorId="0" shapeId="0" xr:uid="{00000000-0006-0000-0000-00009F080000}">
      <text>
        <r>
          <rPr>
            <b/>
            <sz val="9"/>
            <color rgb="FF000000"/>
            <rFont val="Tahoma"/>
            <family val="2"/>
            <charset val="1"/>
          </rPr>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5" authorId="0" shapeId="0" xr:uid="{00000000-0006-0000-0000-000016090000}">
      <text>
        <r>
          <rPr>
            <sz val="11"/>
            <color rgb="FF000000"/>
            <rFont val="Calibri"/>
            <family val="2"/>
            <charset val="1"/>
          </rPr>
          <t xml:space="preserve"> R$ 2.613.722,61- PARTE DO VALOR CONFORME MEMORANDO Nº177/2018-SGPF/SES, COMPENSAÇÃO DE SALDO VISTO DISPONIBILIDADE DE SALDO FINANCEIRO NECESSÁRIO PARA ENCERRAMENTO  DO ANO  CONTÁBIL (TOTAL DE R$ 4.783.655,95).
</t>
        </r>
      </text>
    </comment>
    <comment ref="G706" authorId="0" shapeId="0" xr:uid="{00000000-0006-0000-0000-00009E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6" authorId="0" shapeId="0" xr:uid="{00000000-0006-0000-0000-0000EC030000}">
      <text>
        <r>
          <rPr>
            <sz val="9"/>
            <color rgb="FF000000"/>
            <rFont val="Tahoma"/>
            <family val="2"/>
            <charset val="1"/>
          </rPr>
          <t xml:space="preserve">GLOSA ESTIMADA NÃO VEIO PLANILHA GEFIC/ NÃO FOI OUTORGADO AINDA 14/12/18
</t>
        </r>
      </text>
    </comment>
    <comment ref="AD706" authorId="0" shapeId="0" xr:uid="{00000000-0006-0000-0000-00002E070000}">
      <text>
        <r>
          <rPr>
            <b/>
            <sz val="9"/>
            <color rgb="FF000000"/>
            <rFont val="Tahoma"/>
            <family val="2"/>
            <charset val="1"/>
          </rPr>
          <t>CELG - SET/18 LANÇADO NA PLANILHA OUT/18</t>
        </r>
      </text>
    </comment>
    <comment ref="AE706" authorId="0" shapeId="0" xr:uid="{00000000-0006-0000-0000-0000A0080000}">
      <text>
        <r>
          <rPr>
            <b/>
            <sz val="9"/>
            <color rgb="FF000000"/>
            <rFont val="Tahoma"/>
            <family val="2"/>
            <charset val="1"/>
          </rPr>
          <t xml:space="preserve">
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6" authorId="0" shapeId="0" xr:uid="{00000000-0006-0000-0000-000017090000}">
      <text>
        <r>
          <rPr>
            <sz val="11"/>
            <color rgb="FF000000"/>
            <rFont val="Calibri"/>
            <family val="2"/>
            <charset val="1"/>
          </rPr>
          <t xml:space="preserve"> R$ 1.678.103,97 - RESTANTE DO VALOR CONFORME MEMORANDO Nº177/2018-SGPF/SES, COMPENSAÇÃO DE SALDO VISTO DISPONIBILIDADE DE SALDO FINANCEIRO NECESSÁRIO PARA ENCERRAMENTO  DO ANO  CONTÁBIL (TOTAL DE R$ 4.783.655,95).
</t>
        </r>
      </text>
    </comment>
    <comment ref="G707" authorId="0" shapeId="0" xr:uid="{00000000-0006-0000-0000-00009F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7" authorId="0" shapeId="0" xr:uid="{00000000-0006-0000-0000-0000ED030000}">
      <text>
        <r>
          <rPr>
            <sz val="9"/>
            <color rgb="FF000000"/>
            <rFont val="Tahoma"/>
            <family val="2"/>
            <charset val="1"/>
          </rPr>
          <t xml:space="preserve">GLOSA ESTIMADA NÃO VEIO PLANILHA GEFIC/ NÃO FOI OUTORGADO AINDA 14/12/18
</t>
        </r>
      </text>
    </comment>
    <comment ref="AD707" authorId="0" shapeId="0" xr:uid="{00000000-0006-0000-0000-00002F070000}">
      <text>
        <r>
          <rPr>
            <b/>
            <sz val="9"/>
            <color rgb="FF000000"/>
            <rFont val="Tahoma"/>
            <family val="2"/>
            <charset val="1"/>
          </rPr>
          <t>CELG - AGO/18
GLOSA ESTIMADA NÃO VEIO PLANILHA GEFIC/ NÃO FOI OUTORGADO AINDA 14/12/18</t>
        </r>
      </text>
    </comment>
    <comment ref="AE707" authorId="0" shapeId="0" xr:uid="{00000000-0006-0000-0000-0000A1080000}">
      <text>
        <r>
          <rPr>
            <sz val="11"/>
            <color rgb="FF000000"/>
            <rFont val="Calibri"/>
            <family val="2"/>
            <charset val="1"/>
          </rPr>
          <t xml:space="preserve">.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G708" authorId="0" shapeId="0" xr:uid="{00000000-0006-0000-0000-0000A0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8" authorId="0" shapeId="0" xr:uid="{00000000-0006-0000-0000-0000EE030000}">
      <text>
        <r>
          <rPr>
            <sz val="9"/>
            <color rgb="FF000000"/>
            <rFont val="Tahoma"/>
            <family val="2"/>
            <charset val="1"/>
          </rPr>
          <t xml:space="preserve">GLOSA ESTIMADA NÃO VEIO PLANILHA GEFIC/ NÃO FOI OUTORGADO AINDA 14/12/18
</t>
        </r>
      </text>
    </comment>
    <comment ref="AD708" authorId="0" shapeId="0" xr:uid="{00000000-0006-0000-0000-000030070000}">
      <text>
        <r>
          <rPr>
            <b/>
            <sz val="9"/>
            <color rgb="FF000000"/>
            <rFont val="Tahoma"/>
            <family val="2"/>
            <charset val="1"/>
          </rPr>
          <t>CELG - AGO/18
GLOSA ESTIMADA NÃO VEIO PLANILHA GEFIC/ NÃO FOI OUTORGADO AINDA 14/12/18</t>
        </r>
      </text>
    </comment>
    <comment ref="AE708" authorId="0" shapeId="0" xr:uid="{00000000-0006-0000-0000-0000A2080000}">
      <text>
        <r>
          <rPr>
            <sz val="11"/>
            <color rgb="FF000000"/>
            <rFont val="Calibri"/>
            <family val="2"/>
            <charset val="1"/>
          </rPr>
          <t xml:space="preserve">.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O708" authorId="0" shapeId="0" xr:uid="{00000000-0006-0000-0000-000074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r>
      </text>
    </comment>
    <comment ref="G709" authorId="0" shapeId="0" xr:uid="{00000000-0006-0000-0000-0000A1000000}">
      <text>
        <r>
          <rPr>
            <sz val="9"/>
            <color rgb="FF000000"/>
            <rFont val="Tahoma"/>
            <family val="2"/>
            <charset val="1"/>
          </rPr>
          <t xml:space="preserve">R$ 2.432.634,46 parcela custeio, R$ 518.341,79 aporte estimativa glosa de folha pagamento.
</t>
        </r>
      </text>
    </comment>
    <comment ref="AD709" authorId="0" shapeId="0" xr:uid="{00000000-0006-0000-0000-000031070000}">
      <text>
        <r>
          <rPr>
            <b/>
            <sz val="9"/>
            <color rgb="FF000000"/>
            <rFont val="Tahoma"/>
            <family val="2"/>
            <charset val="1"/>
          </rPr>
          <t xml:space="preserve">ENEL - DEZ/18
</t>
        </r>
      </text>
    </comment>
    <comment ref="G710" authorId="0" shapeId="0" xr:uid="{00000000-0006-0000-0000-0000A2000000}">
      <text>
        <r>
          <rPr>
            <sz val="9"/>
            <color rgb="FF000000"/>
            <rFont val="Tahoma"/>
            <family val="2"/>
            <charset val="1"/>
          </rPr>
          <t xml:space="preserve">R$ 2.432.634,46 parcela custeio, R$ 518.341,79 aporte estimativa glosa de folha pagamento.
</t>
        </r>
      </text>
    </comment>
    <comment ref="AO710" authorId="0" shapeId="0" xr:uid="{00000000-0006-0000-0000-000075090000}">
      <text>
        <r>
          <rPr>
            <b/>
            <sz val="9"/>
            <color rgb="FF000000"/>
            <rFont val="Tahoma"/>
            <family val="2"/>
            <charset val="1"/>
          </rPr>
          <t xml:space="preserve">
.
R$ 50,00 - Repassado a maior como diferença de folha de JAN/19, ajuste com o valor lançado na planilha de pagamento FEV/19 GEFIC, foi efetivada a glosa junto a parcela mensal de JUN de 2020. </t>
        </r>
      </text>
    </comment>
    <comment ref="G711" authorId="0" shapeId="0" xr:uid="{00000000-0006-0000-0000-0000A3000000}">
      <text>
        <r>
          <rPr>
            <sz val="9"/>
            <color rgb="FF000000"/>
            <rFont val="Tahoma"/>
            <family val="2"/>
            <charset val="1"/>
          </rPr>
          <t xml:space="preserve">R$ 2.432.634,46 parcela custeio, R$ 518.341,79 aporte estimativa glosa de folha pagamento.
</t>
        </r>
      </text>
    </comment>
    <comment ref="AD711" authorId="0" shapeId="0" xr:uid="{00000000-0006-0000-0000-000032070000}">
      <text>
        <r>
          <rPr>
            <b/>
            <sz val="9"/>
            <color rgb="FF000000"/>
            <rFont val="Tahoma"/>
            <family val="2"/>
            <charset val="1"/>
          </rPr>
          <t xml:space="preserve">REFERÊNCIA JAN/19 - LANÇADO PLANILHA GEFIC EM FEV/19
</t>
        </r>
      </text>
    </comment>
    <comment ref="G712" authorId="0" shapeId="0" xr:uid="{00000000-0006-0000-0000-0000A4000000}">
      <text>
        <r>
          <rPr>
            <sz val="9"/>
            <color rgb="FF000000"/>
            <rFont val="Tahoma"/>
            <family val="2"/>
            <charset val="1"/>
          </rPr>
          <t xml:space="preserve">R$ 2.432.634,46 parcela custeio, R$ 518.341,79 aporte estimativa glosa de folha pagamento.
</t>
        </r>
      </text>
    </comment>
    <comment ref="AA712" authorId="0" shapeId="0" xr:uid="{00000000-0006-0000-0000-0000EF030000}">
      <text>
        <r>
          <rPr>
            <b/>
            <sz val="9"/>
            <color rgb="FF000000"/>
            <rFont val="Tahoma"/>
            <family val="2"/>
            <charset val="1"/>
          </rPr>
          <t xml:space="preserve">VALOR ESTIMADO PREVISTO CONTRATO GESTÃO. 
</t>
        </r>
      </text>
    </comment>
    <comment ref="AD712" authorId="0" shapeId="0" xr:uid="{00000000-0006-0000-0000-000033070000}">
      <text>
        <r>
          <rPr>
            <b/>
            <sz val="9"/>
            <color rgb="FF000000"/>
            <rFont val="Tahoma"/>
            <family val="2"/>
            <charset val="1"/>
          </rPr>
          <t xml:space="preserve">REFERÊNCIA FEV/19 - LANÇADO PLANILHA GEFIC EM MAR19
</t>
        </r>
      </text>
    </comment>
    <comment ref="G713" authorId="0" shapeId="0" xr:uid="{00000000-0006-0000-0000-0000A5000000}">
      <text>
        <r>
          <rPr>
            <sz val="9"/>
            <color rgb="FF000000"/>
            <rFont val="Tahoma"/>
            <family val="2"/>
            <charset val="1"/>
          </rPr>
          <t xml:space="preserve">R$ 2.432.634,46 parcela custeio, R$ 518.341,79 aporte estimativa glosa de folha pagamento.
</t>
        </r>
      </text>
    </comment>
    <comment ref="AA713" authorId="0" shapeId="0" xr:uid="{00000000-0006-0000-0000-0000F0030000}">
      <text>
        <r>
          <rPr>
            <b/>
            <sz val="9"/>
            <color rgb="FF000000"/>
            <rFont val="Tahoma"/>
            <family val="2"/>
            <charset val="1"/>
          </rPr>
          <t xml:space="preserve">VALOR ESTIMADO PREVISTO CONTRATO GESTÃO. 
</t>
        </r>
      </text>
    </comment>
    <comment ref="AD713" authorId="0" shapeId="0" xr:uid="{00000000-0006-0000-0000-000034070000}">
      <text>
        <r>
          <rPr>
            <b/>
            <sz val="9"/>
            <color rgb="FF000000"/>
            <rFont val="Tahoma"/>
            <family val="2"/>
            <charset val="1"/>
          </rPr>
          <t xml:space="preserve">REFERÊNCIA MAR/19 - LANÇADO PLANILHA GEFIC EM ABR/19
</t>
        </r>
      </text>
    </comment>
    <comment ref="G714" authorId="0" shapeId="0" xr:uid="{00000000-0006-0000-0000-0000A6000000}">
      <text>
        <r>
          <rPr>
            <sz val="9"/>
            <color rgb="FF000000"/>
            <rFont val="Tahoma"/>
            <family val="2"/>
            <charset val="1"/>
          </rPr>
          <t xml:space="preserve">R$ 2.432.634,46 parcela custeio, R$ 518.341,79 aporte estimativa glosa de folha pagamento.
</t>
        </r>
      </text>
    </comment>
    <comment ref="AA714" authorId="0" shapeId="0" xr:uid="{00000000-0006-0000-0000-0000F1030000}">
      <text>
        <r>
          <rPr>
            <b/>
            <sz val="9"/>
            <color rgb="FF000000"/>
            <rFont val="Tahoma"/>
            <family val="2"/>
            <charset val="1"/>
          </rPr>
          <t xml:space="preserve">VALOR ESTIMADO PREVISTO CONTRATO GESTÃO. 
</t>
        </r>
      </text>
    </comment>
    <comment ref="AD714" authorId="0" shapeId="0" xr:uid="{00000000-0006-0000-0000-000035070000}">
      <text>
        <r>
          <rPr>
            <b/>
            <sz val="9"/>
            <color rgb="FF000000"/>
            <rFont val="Tahoma"/>
            <family val="2"/>
            <charset val="1"/>
          </rPr>
          <t xml:space="preserve">REFERÊNCIA ABR/19 - LANÇADO PLANILHA GEFIC EM MAI/19
</t>
        </r>
      </text>
    </comment>
    <comment ref="G715" authorId="0" shapeId="0" xr:uid="{00000000-0006-0000-0000-0000A7000000}">
      <text>
        <r>
          <rPr>
            <sz val="9"/>
            <color rgb="FF000000"/>
            <rFont val="Tahoma"/>
            <family val="2"/>
            <charset val="1"/>
          </rPr>
          <t xml:space="preserve">R$ 2.432.634,46 parcela custeio, R$ 518.341,79 aporte estimativa glosa de folha pagamento.
</t>
        </r>
      </text>
    </comment>
    <comment ref="AA715" authorId="0" shapeId="0" xr:uid="{00000000-0006-0000-0000-0000F2030000}">
      <text>
        <r>
          <rPr>
            <b/>
            <sz val="9"/>
            <color rgb="FF000000"/>
            <rFont val="Tahoma"/>
            <family val="2"/>
            <charset val="1"/>
          </rPr>
          <t xml:space="preserve">VALOR ESTIMADO PREVISTO CONTRATO GESTÃO. 
</t>
        </r>
      </text>
    </comment>
    <comment ref="AD715" authorId="0" shapeId="0" xr:uid="{00000000-0006-0000-0000-000036070000}">
      <text>
        <r>
          <rPr>
            <b/>
            <sz val="9"/>
            <color rgb="FF000000"/>
            <rFont val="Tahoma"/>
            <family val="2"/>
            <charset val="1"/>
          </rPr>
          <t>- ENERGIA MAI/19</t>
        </r>
      </text>
    </comment>
    <comment ref="G716" authorId="0" shapeId="0" xr:uid="{00000000-0006-0000-0000-0000A8000000}">
      <text>
        <r>
          <rPr>
            <b/>
            <sz val="9"/>
            <color rgb="FF000000"/>
            <rFont val="Tahoma"/>
            <family val="2"/>
            <charset val="1"/>
          </rPr>
          <t xml:space="preserve">R$ 2.027.195,38 parcela custeio, R$ 431.951,49  aporte estimativa glosa de folha pagamento e .(despesas período 01/08 a 25/08/19)
</t>
        </r>
      </text>
    </comment>
    <comment ref="H716" authorId="0" shapeId="0" xr:uid="{00000000-0006-0000-0000-0000C8000000}">
      <text>
        <r>
          <rPr>
            <sz val="11"/>
            <color rgb="FF000000"/>
            <rFont val="Calibri"/>
            <family val="2"/>
            <charset val="1"/>
          </rPr>
          <t xml:space="preserve">vigência 26/08/19 a 21/02/20
R$ 441.131,36 CUSTEIO;
R$ 50.698,02 - FOLHA
</t>
        </r>
      </text>
    </comment>
    <comment ref="AA716" authorId="0" shapeId="0" xr:uid="{00000000-0006-0000-0000-0000F3030000}">
      <text>
        <r>
          <rPr>
            <b/>
            <sz val="9"/>
            <color rgb="FF000000"/>
            <rFont val="Tahoma"/>
            <family val="2"/>
            <charset val="1"/>
          </rPr>
          <t xml:space="preserve">VALOR ESTIMADO PREVISTO CONTRATO GESTÃO. 
</t>
        </r>
      </text>
    </comment>
    <comment ref="AD716" authorId="0" shapeId="0" xr:uid="{00000000-0006-0000-0000-000037070000}">
      <text>
        <r>
          <rPr>
            <sz val="11"/>
            <color rgb="FF000000"/>
            <rFont val="Calibri"/>
            <family val="2"/>
            <charset val="1"/>
          </rPr>
          <t xml:space="preserve">R$ 13.835,71 REFERÊNCIA JUN/19 - LANÇADO PLANILHA PAGAMENTO GEFIC EM JUL/19
</t>
        </r>
        <r>
          <rPr>
            <sz val="9"/>
            <color rgb="FF000000"/>
            <rFont val="Tahoma"/>
            <family val="2"/>
            <charset val="1"/>
          </rPr>
          <t>.
R$ 12.308,40 - ENERGIA - REFERÊNCIA JUL/19 - LANÇADO PLANILHA PAGAMENTO GEFIC EM AGO/19</t>
        </r>
      </text>
    </comment>
    <comment ref="H717" authorId="0" shapeId="0" xr:uid="{00000000-0006-0000-0000-0000C9000000}">
      <text>
        <r>
          <rPr>
            <sz val="11"/>
            <color rgb="FF000000"/>
            <rFont val="Calibri"/>
            <family val="2"/>
            <charset val="1"/>
          </rPr>
          <t xml:space="preserve">R$ 2.594.630,59 CUSTEIO;
R$ 304.188,10 - FOLHA
</t>
        </r>
      </text>
    </comment>
    <comment ref="H718" authorId="0" shapeId="0" xr:uid="{00000000-0006-0000-0000-0000CA000000}">
      <text>
        <r>
          <rPr>
            <sz val="11"/>
            <color rgb="FF000000"/>
            <rFont val="Calibri"/>
            <family val="2"/>
            <charset val="1"/>
          </rPr>
          <t xml:space="preserve">R$ 2.333.842,82 - CUSTEIO;
R$ 304.188,10 - FOLHA
</t>
        </r>
      </text>
    </comment>
    <comment ref="AD718" authorId="0" shapeId="0" xr:uid="{00000000-0006-0000-0000-000038070000}">
      <text>
        <r>
          <rPr>
            <sz val="11"/>
            <color rgb="FF000000"/>
            <rFont val="Calibri"/>
            <family val="2"/>
            <charset val="1"/>
          </rPr>
          <t xml:space="preserve">REFERÊNCIA SET/19 - LANÇADO PLANILHA PAGAMENTO GEFIC EM OUT/19
</t>
        </r>
      </text>
    </comment>
    <comment ref="AU718" authorId="0" shapeId="0" xr:uid="{00000000-0006-0000-0000-0000E3090000}">
      <text>
        <r>
          <rPr>
            <b/>
            <sz val="9"/>
            <color rgb="FF000000"/>
            <rFont val="Tahoma"/>
            <family val="2"/>
            <charset val="1"/>
          </rPr>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r>
      </text>
    </comment>
    <comment ref="H719" authorId="0" shapeId="0" xr:uid="{00000000-0006-0000-0000-0000CB000000}">
      <text>
        <r>
          <rPr>
            <sz val="11"/>
            <color rgb="FF000000"/>
            <rFont val="Calibri"/>
            <family val="2"/>
            <charset val="1"/>
          </rPr>
          <t xml:space="preserve">R$ 2.333.842,82 - CUSTEIO;
R$ 304.188,10 - FOLHA
</t>
        </r>
      </text>
    </comment>
    <comment ref="AB719" authorId="0" shapeId="0" xr:uid="{00000000-0006-0000-0000-0000A1040000}">
      <text>
        <r>
          <rPr>
            <sz val="11"/>
            <color rgb="FF000000"/>
            <rFont val="Calibri"/>
            <family val="2"/>
            <charset val="1"/>
          </rPr>
          <t xml:space="preserve">R$ 4.450,39 - DIFERENÇA GLOSA DE FOLHA AGO/19 LANÇADA NA PLANILHA DE PREVISÃO DE PAGAMENTO SET/19 DA GEFIC (O PAGAMENTO PASSOU A SER REALIZADO DENTRO DO MÊS DE REFERÊNCIA POR ISSO FOI LANÇADA GLOSA ESTIMADA PREVISTA NO CONTRATO DE GESTÃO)
.
R$ 10.629,80 - DIFERENÇA GLOSA DE FOLHA SET/19 LANÇADA NA PLANILHA DE PREVISÃO DE PAGAMENTO OUT/19 DA GEFIC (O PAGAMENTO PASSOU A SER REALIZADO DENTRO DO MÊS DE REFERÊNCIA POR ISSO FOI LANÇADA GLOSA ESTIMADA PREVISTA NO CONTRATO DE GESTÃO)
</t>
        </r>
      </text>
    </comment>
    <comment ref="AD719" authorId="0" shapeId="0" xr:uid="{00000000-0006-0000-0000-000039070000}">
      <text>
        <r>
          <rPr>
            <sz val="11"/>
            <color rgb="FF000000"/>
            <rFont val="Calibri"/>
            <family val="2"/>
            <charset val="1"/>
          </rPr>
          <t xml:space="preserve">R$ 15.495,90  - PARTE ENERGIA - REFERÊNCIA OUT/19 - LANÇADO PLANILHA PAGAMENTO GEFIC EM NOV/19;
</t>
        </r>
      </text>
    </comment>
    <comment ref="H720" authorId="0" shapeId="0" xr:uid="{00000000-0006-0000-0000-0000CC000000}">
      <text>
        <r>
          <rPr>
            <sz val="11"/>
            <color rgb="FF000000"/>
            <rFont val="Calibri"/>
            <family val="2"/>
            <charset val="1"/>
          </rPr>
          <t xml:space="preserve">R$ 2.333.842,82 - CUSTEIO;
R$ 304.188,10 - FOLHA
</t>
        </r>
      </text>
    </comment>
    <comment ref="AA720" authorId="0" shapeId="0" xr:uid="{00000000-0006-0000-0000-0000F4030000}">
      <text>
        <r>
          <rPr>
            <sz val="9"/>
            <color rgb="FF000000"/>
            <rFont val="Tahoma"/>
            <family val="2"/>
            <charset val="1"/>
          </rPr>
          <t xml:space="preserve">VALOR PREVISTO CONTRATO GESTÃO
</t>
        </r>
      </text>
    </comment>
    <comment ref="AD720" authorId="0" shapeId="0" xr:uid="{00000000-0006-0000-0000-00003A070000}">
      <text>
        <r>
          <rPr>
            <b/>
            <sz val="9"/>
            <color rgb="FF000000"/>
            <rFont val="Tahoma"/>
            <family val="2"/>
            <charset val="1"/>
          </rPr>
          <t xml:space="preserve">R$ 7.358,13 - RESTANTE ENERGIA - REFERÊNCIA OUT/19 - LANÇADO PLANILHA PAGAMENTO GEFIC EM NOV/19;
.
R$ 20.149,15 ENERGIA - REFERÊNCIA NOV/19 - LANÇADO PLANILHA PAGAMENTO GEFIC EM DEZ/19
.
</t>
        </r>
      </text>
    </comment>
    <comment ref="H721" authorId="0" shapeId="0" xr:uid="{00000000-0006-0000-0000-0000CD000000}">
      <text>
        <r>
          <rPr>
            <sz val="11"/>
            <color rgb="FF000000"/>
            <rFont val="Calibri"/>
            <family val="2"/>
            <charset val="1"/>
          </rPr>
          <t xml:space="preserve">R$ 2.333.842,82 - CUSTEIO;
R$ 304.188,10 - FOLHA
</t>
        </r>
      </text>
    </comment>
    <comment ref="AA721" authorId="0" shapeId="0" xr:uid="{00000000-0006-0000-0000-0000F5030000}">
      <text>
        <r>
          <rPr>
            <sz val="9"/>
            <color rgb="FF000000"/>
            <rFont val="Tahoma"/>
            <family val="2"/>
            <charset val="1"/>
          </rPr>
          <t xml:space="preserve">VALOR PREVISTO CONTRATO GESTÃO
</t>
        </r>
      </text>
    </comment>
    <comment ref="AD721" authorId="0" shapeId="0" xr:uid="{00000000-0006-0000-0000-00003B070000}">
      <text>
        <r>
          <rPr>
            <sz val="11"/>
            <color rgb="FF000000"/>
            <rFont val="Calibri"/>
            <family val="2"/>
            <charset val="1"/>
          </rPr>
          <t xml:space="preserve">ENERGIA - REFERÊNCIA DEZ/19 - LANÇADO PLANILHA PAGAMENTO GEFIC EM JAN/20
</t>
        </r>
      </text>
    </comment>
    <comment ref="D722" authorId="0" shapeId="0" xr:uid="{00000000-0006-0000-0000-000009000000}">
      <text>
        <r>
          <rPr>
            <sz val="11"/>
            <color rgb="FF000000"/>
            <rFont val="Calibri"/>
            <family val="2"/>
            <charset val="1"/>
          </rPr>
          <t xml:space="preserve">até 21/02/20
</t>
        </r>
      </text>
    </comment>
    <comment ref="H722" authorId="0" shapeId="0" xr:uid="{00000000-0006-0000-0000-0000CE000000}">
      <text>
        <r>
          <rPr>
            <sz val="11"/>
            <color rgb="FF000000"/>
            <rFont val="Calibri"/>
            <family val="2"/>
            <charset val="1"/>
          </rPr>
          <t xml:space="preserve">ATÉ 21/02/20
R$ 1.944.869,02 - CUSTEIO;
R$ 253.490,08 - FOLHA
</t>
        </r>
      </text>
    </comment>
    <comment ref="M722" authorId="0" shapeId="0" xr:uid="{00000000-0006-0000-0000-0000E8000000}">
      <text>
        <r>
          <rPr>
            <sz val="11"/>
            <color rgb="FF000000"/>
            <rFont val="Calibri"/>
            <family val="2"/>
            <charset val="1"/>
          </rPr>
          <t xml:space="preserve">R$ 700.152,85 - CUSTEIO;
R$ 91.256,43 - FOLHA
</t>
        </r>
      </text>
    </comment>
    <comment ref="AA722" authorId="0" shapeId="0" xr:uid="{00000000-0006-0000-0000-0000F6030000}">
      <text>
        <r>
          <rPr>
            <sz val="9"/>
            <color rgb="FF000000"/>
            <rFont val="Tahoma"/>
            <family val="2"/>
            <charset val="1"/>
          </rPr>
          <t xml:space="preserve">VALOR PREVISTO CONTRATO GESTÃO
</t>
        </r>
      </text>
    </comment>
    <comment ref="AD722" authorId="0" shapeId="0" xr:uid="{00000000-0006-0000-0000-00003C070000}">
      <text>
        <r>
          <rPr>
            <sz val="11"/>
            <color rgb="FF000000"/>
            <rFont val="Calibri"/>
            <family val="2"/>
            <charset val="1"/>
          </rPr>
          <t xml:space="preserve">ENERGIA - REFERÊNCIA JAN/20 - LANÇADO PLANILHA PAGAMENTO GEFIC EM FEV/20
</t>
        </r>
      </text>
    </comment>
    <comment ref="AO722" authorId="0" shapeId="0" xr:uid="{00000000-0006-0000-0000-000076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722" authorId="0" shapeId="0" xr:uid="{00000000-0006-0000-0000-0000E4090000}">
      <text>
        <r>
          <rPr>
            <sz val="11"/>
            <color rgb="FF000000"/>
            <rFont val="Calibri"/>
            <family val="2"/>
            <charset val="1"/>
          </rPr>
          <t xml:space="preserve">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
</t>
        </r>
      </text>
    </comment>
    <comment ref="M723" authorId="0" shapeId="0" xr:uid="{00000000-0006-0000-0000-0000E9000000}">
      <text>
        <r>
          <rPr>
            <sz val="11"/>
            <color rgb="FF000000"/>
            <rFont val="Calibri"/>
            <family val="2"/>
            <charset val="1"/>
          </rPr>
          <t xml:space="preserve">R$ 2.333.842,82 - CUSTEIO;
R$ 304.188,10 - FOLHA
</t>
        </r>
      </text>
    </comment>
    <comment ref="AA723" authorId="0" shapeId="0" xr:uid="{00000000-0006-0000-0000-0000F7030000}">
      <text>
        <r>
          <rPr>
            <sz val="9"/>
            <color rgb="FF000000"/>
            <rFont val="Tahoma"/>
            <family val="2"/>
            <charset val="1"/>
          </rPr>
          <t xml:space="preserve">VALOR PREVISTO CONTRATO GESTÃO
</t>
        </r>
      </text>
    </comment>
    <comment ref="AD723" authorId="0" shapeId="0" xr:uid="{00000000-0006-0000-0000-00003D070000}">
      <text>
        <r>
          <rPr>
            <sz val="11"/>
            <color rgb="FF000000"/>
            <rFont val="Calibri"/>
            <family val="2"/>
            <charset val="1"/>
          </rPr>
          <t xml:space="preserve">ENERGIA - REFERÊNCIA FEV20 - LANÇADO PLANILHA PAGAMENTO GEFIC EM MAR/20
</t>
        </r>
      </text>
    </comment>
    <comment ref="AW723" authorId="0" shapeId="0" xr:uid="{00000000-0006-0000-0000-00003F0A0000}">
      <text>
        <r>
          <rPr>
            <sz val="11"/>
            <color rgb="FF000000"/>
            <rFont val="Calibri"/>
            <family val="2"/>
            <charset val="1"/>
          </rPr>
          <t xml:space="preserve">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
</t>
        </r>
      </text>
    </comment>
    <comment ref="M724" authorId="0" shapeId="0" xr:uid="{00000000-0006-0000-0000-0000EA000000}">
      <text>
        <r>
          <rPr>
            <sz val="11"/>
            <color rgb="FF000000"/>
            <rFont val="Calibri"/>
            <family val="2"/>
            <charset val="1"/>
          </rPr>
          <t xml:space="preserve">R$ 2.333.842,82 - CUSTEIO;
R$ 304.188,10 - FOLHA
</t>
        </r>
      </text>
    </comment>
    <comment ref="AA724" authorId="0" shapeId="0" xr:uid="{00000000-0006-0000-0000-0000F8030000}">
      <text>
        <r>
          <rPr>
            <sz val="9"/>
            <color rgb="FF000000"/>
            <rFont val="Tahoma"/>
            <family val="2"/>
            <charset val="1"/>
          </rPr>
          <t xml:space="preserve">VALOR PREVISTO CONTRATO GESTÃO
</t>
        </r>
      </text>
    </comment>
    <comment ref="AD724" authorId="0" shapeId="0" xr:uid="{00000000-0006-0000-0000-00003E070000}">
      <text>
        <r>
          <rPr>
            <sz val="11"/>
            <color rgb="FF000000"/>
            <rFont val="Calibri"/>
            <family val="2"/>
            <charset val="1"/>
          </rPr>
          <t xml:space="preserve">CELG - REFERÊNCIA MAR/20 - LANÇADO PLANILHA PAGAMENTO GEFIC EM ABR/20
</t>
        </r>
      </text>
    </comment>
    <comment ref="AW724" authorId="0" shapeId="0" xr:uid="{00000000-0006-0000-0000-0000400A0000}">
      <text>
        <r>
          <rPr>
            <sz val="11"/>
            <color rgb="FF000000"/>
            <rFont val="Calibri"/>
            <family val="2"/>
            <charset val="1"/>
          </rPr>
          <t xml:space="preserve">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
</t>
        </r>
      </text>
    </comment>
    <comment ref="M725" authorId="0" shapeId="0" xr:uid="{00000000-0006-0000-0000-0000EB000000}">
      <text>
        <r>
          <rPr>
            <sz val="11"/>
            <color rgb="FF000000"/>
            <rFont val="Calibri"/>
            <family val="2"/>
            <charset val="1"/>
          </rPr>
          <t xml:space="preserve">R$ 2.333.842,82 - CUSTEIO;
R$ 304.188,10 - FOLHA
</t>
        </r>
      </text>
    </comment>
    <comment ref="Z725" authorId="0" shapeId="0" xr:uid="{00000000-0006-0000-0000-0000AA020000}">
      <text>
        <r>
          <rPr>
            <sz val="11"/>
            <color rgb="FF000000"/>
            <rFont val="Calibri"/>
            <family val="2"/>
            <charset val="1"/>
          </rPr>
          <t xml:space="preserve">GLOSA DE FOLHA ABR/20 LANÇADA NA PLANILHA DE PREVISÃO DE PAGAMENTO MAI/20 DA GAOS
</t>
        </r>
      </text>
    </comment>
    <comment ref="AB725" authorId="0" shapeId="0" xr:uid="{00000000-0006-0000-0000-0000A2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725" authorId="0" shapeId="0" xr:uid="{00000000-0006-0000-0000-00003F070000}">
      <text>
        <r>
          <rPr>
            <sz val="11"/>
            <color rgb="FF000000"/>
            <rFont val="Calibri"/>
            <family val="2"/>
            <charset val="1"/>
          </rPr>
          <t xml:space="preserve">REFERÊNCIA ABR/20 - LANÇADO PLANILHA PAGAMENTO GEFIC EM MAI/20
</t>
        </r>
      </text>
    </comment>
    <comment ref="M726" authorId="0" shapeId="0" xr:uid="{00000000-0006-0000-0000-0000EC000000}">
      <text>
        <r>
          <rPr>
            <sz val="11"/>
            <color rgb="FF000000"/>
            <rFont val="Calibri"/>
            <family val="2"/>
            <charset val="1"/>
          </rPr>
          <t xml:space="preserve">R$ 2.333.842,82 - CUSTEIO;
R$ 304.188,10 - FOLHA
</t>
        </r>
      </text>
    </comment>
    <comment ref="AA726" authorId="0" shapeId="0" xr:uid="{00000000-0006-0000-0000-0000F9030000}">
      <text>
        <r>
          <rPr>
            <sz val="11"/>
            <color rgb="FF000000"/>
            <rFont val="Calibri"/>
            <family val="2"/>
            <charset val="1"/>
          </rPr>
          <t xml:space="preserve">ESTIMADO
</t>
        </r>
      </text>
    </comment>
    <comment ref="AB726" authorId="0" shapeId="0" xr:uid="{00000000-0006-0000-0000-0000A3040000}">
      <text>
        <r>
          <rPr>
            <b/>
            <sz val="9"/>
            <color rgb="FF000000"/>
            <rFont val="Segoe UI"/>
            <family val="2"/>
            <charset val="1"/>
          </rPr>
          <t>GLOSA R$ 50.000,00 - Repassado a maior como diferença de folha de JAN/19, ajuste com o valor lançado na planilha de pagamento FEV/19 GEFIC.</t>
        </r>
      </text>
    </comment>
    <comment ref="AD726" authorId="0" shapeId="0" xr:uid="{00000000-0006-0000-0000-000040070000}">
      <text>
        <r>
          <rPr>
            <sz val="11"/>
            <color rgb="FF000000"/>
            <rFont val="Calibri"/>
            <family val="2"/>
            <charset val="1"/>
          </rPr>
          <t xml:space="preserve">ENERGIA - REFERÊNCIA MAI/20 - LANÇADO PLANILHA PAGAMENTO GEFIC EM JUN/20
</t>
        </r>
      </text>
    </comment>
    <comment ref="M727" authorId="0" shapeId="0" xr:uid="{00000000-0006-0000-0000-0000ED000000}">
      <text>
        <r>
          <rPr>
            <sz val="11"/>
            <color rgb="FF000000"/>
            <rFont val="Calibri"/>
            <family val="2"/>
            <charset val="1"/>
          </rPr>
          <t xml:space="preserve">R$ 2.333.842,82 - CUSTEIO;
R$ 304.188,10 - FOLHA
</t>
        </r>
      </text>
    </comment>
    <comment ref="AA727" authorId="0" shapeId="0" xr:uid="{00000000-0006-0000-0000-0000FA030000}">
      <text>
        <r>
          <rPr>
            <sz val="11"/>
            <color rgb="FF000000"/>
            <rFont val="Calibri"/>
            <family val="2"/>
            <charset val="1"/>
          </rPr>
          <t xml:space="preserve">ESTIMADO
</t>
        </r>
      </text>
    </comment>
    <comment ref="AD727" authorId="0" shapeId="0" xr:uid="{00000000-0006-0000-0000-000041070000}">
      <text>
        <r>
          <rPr>
            <sz val="11"/>
            <color rgb="FF000000"/>
            <rFont val="Calibri"/>
            <family val="2"/>
            <charset val="1"/>
          </rPr>
          <t xml:space="preserve">ENERGIA - REFERÊNCIA JUN/20 - LANÇADO PLANILHA PAGAMENTO GEFIC EM JUL/20
</t>
        </r>
      </text>
    </comment>
    <comment ref="M728" authorId="0" shapeId="0" xr:uid="{00000000-0006-0000-0000-0000EE000000}">
      <text>
        <r>
          <rPr>
            <sz val="11"/>
            <color rgb="FF000000"/>
            <rFont val="Calibri"/>
            <family val="2"/>
            <charset val="1"/>
          </rPr>
          <t xml:space="preserve">R$ 2.333.842,82 - CUSTEIO;
R$ 304.188,10 - FOLHA
</t>
        </r>
      </text>
    </comment>
    <comment ref="Z728" authorId="0" shapeId="0" xr:uid="{00000000-0006-0000-0000-0000AB020000}">
      <text>
        <r>
          <rPr>
            <b/>
            <sz val="9"/>
            <color rgb="FF000000"/>
            <rFont val="Segoe UI"/>
            <family val="2"/>
            <charset val="1"/>
          </rPr>
          <t xml:space="preserve">FOLHA - REFERÊNCIA JUL/20 - LANÇADO PLANILHA PAGAMENTO GEFIC EM AGO/20.
</t>
        </r>
      </text>
    </comment>
    <comment ref="AA728" authorId="0" shapeId="0" xr:uid="{00000000-0006-0000-0000-0000FB030000}">
      <text>
        <r>
          <rPr>
            <b/>
            <sz val="9"/>
            <color rgb="FF000000"/>
            <rFont val="Segoe UI"/>
            <family val="2"/>
            <charset val="1"/>
          </rPr>
          <t xml:space="preserve">FOLHA - REFERÊNCIA JUL/20 - LANÇADO PLANILHA PAGAMENTO GEFIC EM AGO/20.
</t>
        </r>
      </text>
    </comment>
    <comment ref="AD728" authorId="0" shapeId="0" xr:uid="{00000000-0006-0000-0000-000042070000}">
      <text>
        <r>
          <rPr>
            <sz val="11"/>
            <color rgb="FF000000"/>
            <rFont val="Calibri"/>
            <family val="2"/>
            <charset val="1"/>
          </rPr>
          <t xml:space="preserve">ENERGIA - REFERÊNCIA JUL/20 - LANÇADO PLANILHA PAGAMENTO GEFIC EM AGO/20
</t>
        </r>
      </text>
    </comment>
    <comment ref="M729" authorId="0" shapeId="0" xr:uid="{00000000-0006-0000-0000-0000EF000000}">
      <text>
        <r>
          <rPr>
            <sz val="11"/>
            <color rgb="FF000000"/>
            <rFont val="Calibri"/>
            <family val="2"/>
            <charset val="1"/>
          </rPr>
          <t xml:space="preserve">R$ 2.333.842,82 - CUSTEIO;
R$ 304.188,10 - FOLHA
</t>
        </r>
      </text>
    </comment>
    <comment ref="Z729" authorId="0" shapeId="0" xr:uid="{00000000-0006-0000-0000-0000AC020000}">
      <text>
        <r>
          <rPr>
            <b/>
            <sz val="9"/>
            <color rgb="FF000000"/>
            <rFont val="Segoe UI"/>
            <family val="2"/>
            <charset val="1"/>
          </rPr>
          <t xml:space="preserve">FOLHA - REFERÊNCIA AGO/20 - LANÇADO PLANILHA PAGAMENTO GEFIC EM SET/20.
</t>
        </r>
      </text>
    </comment>
    <comment ref="AA729" authorId="0" shapeId="0" xr:uid="{00000000-0006-0000-0000-0000FC030000}">
      <text>
        <r>
          <rPr>
            <b/>
            <sz val="9"/>
            <color rgb="FF000000"/>
            <rFont val="Segoe UI"/>
            <family val="2"/>
            <charset val="1"/>
          </rPr>
          <t xml:space="preserve">FOLHA - REFERÊNCIA AGO/20 - LANÇADO PLANILHA PAGAMENTO GEFIC EM SET/20.
</t>
        </r>
      </text>
    </comment>
    <comment ref="AD729" authorId="0" shapeId="0" xr:uid="{00000000-0006-0000-0000-000043070000}">
      <text>
        <r>
          <rPr>
            <sz val="11"/>
            <color rgb="FF000000"/>
            <rFont val="Calibri"/>
            <family val="2"/>
            <charset val="1"/>
          </rPr>
          <t xml:space="preserve">ENERGIA - REFERÊNCIA AGO/20 - LANÇADO PLANILHA PAGAMENTO GEFIC EM SET/20
</t>
        </r>
      </text>
    </comment>
    <comment ref="M730" authorId="0" shapeId="0" xr:uid="{00000000-0006-0000-0000-0000F0000000}">
      <text>
        <r>
          <rPr>
            <sz val="11"/>
            <color rgb="FF000000"/>
            <rFont val="Calibri"/>
            <family val="2"/>
            <charset val="1"/>
          </rPr>
          <t xml:space="preserve">R$ 2.333.842,82 - CUSTEIO;
R$ 304.188,10 - FOLHA
</t>
        </r>
      </text>
    </comment>
    <comment ref="Z730" authorId="0" shapeId="0" xr:uid="{00000000-0006-0000-0000-0000AD020000}">
      <text>
        <r>
          <rPr>
            <b/>
            <sz val="9"/>
            <color rgb="FF000000"/>
            <rFont val="Segoe UI"/>
            <family val="2"/>
            <charset val="1"/>
          </rPr>
          <t xml:space="preserve">FOLHA - REFERÊNCIA SET/20 - LANÇADO PLANILHA PAGAMENTO GEFIC EM OUT/20 
</t>
        </r>
      </text>
    </comment>
    <comment ref="AA730" authorId="0" shapeId="0" xr:uid="{00000000-0006-0000-0000-0000FD030000}">
      <text>
        <r>
          <rPr>
            <b/>
            <sz val="9"/>
            <color rgb="FF000000"/>
            <rFont val="Segoe UI"/>
            <family val="2"/>
            <charset val="1"/>
          </rPr>
          <t xml:space="preserve">FOLHA - REFERÊNCIA SET/20 - LANÇADO PLANILHA PAGAMENTO GEFIC EM OUT/20 
</t>
        </r>
      </text>
    </comment>
    <comment ref="AD730" authorId="0" shapeId="0" xr:uid="{00000000-0006-0000-0000-000044070000}">
      <text>
        <r>
          <rPr>
            <sz val="11"/>
            <color rgb="FF000000"/>
            <rFont val="Calibri"/>
            <family val="2"/>
            <charset val="1"/>
          </rPr>
          <t xml:space="preserve">ENERGIA - REFERÊNCIA SET/20 - LANÇADO PLANILHA PAGAMENTO GEFIC EM OUT/20
</t>
        </r>
      </text>
    </comment>
    <comment ref="AF730" authorId="0" shapeId="0" xr:uid="{00000000-0006-0000-0000-000018090000}">
      <text>
        <r>
          <rPr>
            <sz val="9"/>
            <color rgb="FF000000"/>
            <rFont val="Segoe UI"/>
            <family val="2"/>
            <charset val="1"/>
          </rPr>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r>
      </text>
    </comment>
    <comment ref="M731" authorId="0" shapeId="0" xr:uid="{00000000-0006-0000-0000-0000F1000000}">
      <text>
        <r>
          <rPr>
            <sz val="11"/>
            <color rgb="FF000000"/>
            <rFont val="Calibri"/>
            <family val="2"/>
            <charset val="1"/>
          </rPr>
          <t xml:space="preserve">R$ 2.333.842,82 - CUSTEIO;
R$ 304.188,10 - FOLHA
</t>
        </r>
      </text>
    </comment>
    <comment ref="Z731" authorId="0" shapeId="0" xr:uid="{00000000-0006-0000-0000-0000AE020000}">
      <text>
        <r>
          <rPr>
            <b/>
            <sz val="9"/>
            <color rgb="FF000000"/>
            <rFont val="Segoe UI"/>
            <family val="2"/>
            <charset val="1"/>
          </rPr>
          <t xml:space="preserve">FOLHA - REFERÊNCIA OUT/20 - LANÇADO PLANILHA PAGAMENTO GEFIC EM NOV/20.
</t>
        </r>
      </text>
    </comment>
    <comment ref="AA731" authorId="0" shapeId="0" xr:uid="{00000000-0006-0000-0000-0000FE030000}">
      <text>
        <r>
          <rPr>
            <b/>
            <sz val="9"/>
            <color rgb="FF000000"/>
            <rFont val="Segoe UI"/>
            <family val="2"/>
            <charset val="1"/>
          </rPr>
          <t xml:space="preserve">FOLHA - REFERÊNCIA OUT/20 - LANÇADO PLANILHA PAGAMENTO GEFIC EM NOV/20.
</t>
        </r>
      </text>
    </comment>
    <comment ref="AD731" authorId="0" shapeId="0" xr:uid="{00000000-0006-0000-0000-000045070000}">
      <text>
        <r>
          <rPr>
            <sz val="11"/>
            <color rgb="FF000000"/>
            <rFont val="Calibri"/>
            <family val="2"/>
            <charset val="1"/>
          </rPr>
          <t xml:space="preserve">ENERGIA - REFERÊNCIA OUT/20 - LANÇADO PLANILHA PAGAMENTO GEFIC EM NOV/20
</t>
        </r>
      </text>
    </comment>
    <comment ref="AF731" authorId="0" shapeId="0" xr:uid="{00000000-0006-0000-0000-000019090000}">
      <text>
        <r>
          <rPr>
            <sz val="9"/>
            <color rgb="FF000000"/>
            <rFont val="Segoe UI"/>
            <family val="2"/>
            <charset val="1"/>
          </rPr>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2" authorId="0" shapeId="0" xr:uid="{00000000-0006-0000-0000-0000F2000000}">
      <text>
        <r>
          <rPr>
            <sz val="11"/>
            <color rgb="FF000000"/>
            <rFont val="Calibri"/>
            <family val="2"/>
            <charset val="1"/>
          </rPr>
          <t xml:space="preserve">R$ 2.333.842,82 - CUSTEIO;
R$ 304.188,10 - FOLHA
</t>
        </r>
      </text>
    </comment>
    <comment ref="Z732" authorId="0" shapeId="0" xr:uid="{00000000-0006-0000-0000-0000AF020000}">
      <text>
        <r>
          <rPr>
            <b/>
            <sz val="9"/>
            <color rgb="FF000000"/>
            <rFont val="Segoe UI"/>
            <family val="2"/>
            <charset val="1"/>
          </rPr>
          <t xml:space="preserve">FOLHA - REFERÊNCIA NOV/20 - LANÇADO PLANILHA PAGAMENTO GEFIC EM DEZ/20.
</t>
        </r>
      </text>
    </comment>
    <comment ref="AA732" authorId="0" shapeId="0" xr:uid="{00000000-0006-0000-0000-0000FF030000}">
      <text>
        <r>
          <rPr>
            <b/>
            <sz val="9"/>
            <color rgb="FF000000"/>
            <rFont val="Segoe UI"/>
            <family val="2"/>
            <charset val="1"/>
          </rPr>
          <t xml:space="preserve">FOLHA - REFERÊNCIA NOV/20 - LANÇADO PLANILHA PAGAMENTO GEFIC EM DEZ/20.
</t>
        </r>
      </text>
    </comment>
    <comment ref="AD732" authorId="0" shapeId="0" xr:uid="{00000000-0006-0000-0000-000046070000}">
      <text>
        <r>
          <rPr>
            <sz val="11"/>
            <color rgb="FF000000"/>
            <rFont val="Calibri"/>
            <family val="2"/>
            <charset val="1"/>
          </rPr>
          <t xml:space="preserve">ENERGIA - LANÇADO PLANILHA PAGAMENTO GEFIC EM DEZ/20
.
NOV/20..........................R$18.907,35
DEZ/20..........................R$ 19473,47
</t>
        </r>
      </text>
    </comment>
    <comment ref="AF732" authorId="0" shapeId="0" xr:uid="{00000000-0006-0000-0000-00001A090000}">
      <text>
        <r>
          <rPr>
            <sz val="9"/>
            <color rgb="FF000000"/>
            <rFont val="Segoe UI"/>
            <family val="2"/>
            <charset val="1"/>
          </rPr>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3" authorId="0" shapeId="0" xr:uid="{00000000-0006-0000-0000-0000F3000000}">
      <text>
        <r>
          <rPr>
            <sz val="11"/>
            <color rgb="FF000000"/>
            <rFont val="Calibri"/>
            <family val="2"/>
            <charset val="1"/>
          </rPr>
          <t xml:space="preserve">R$ 2.333.842,82 - CUSTEIO;
R$ 304.188,10 - FOLHA
</t>
        </r>
      </text>
    </comment>
    <comment ref="Z733" authorId="0" shapeId="0" xr:uid="{00000000-0006-0000-0000-0000B0020000}">
      <text>
        <r>
          <rPr>
            <sz val="11"/>
            <color rgb="FF000000"/>
            <rFont val="Calibri"/>
            <family val="2"/>
            <charset val="1"/>
          </rPr>
          <t xml:space="preserve">FOLHA - REFERÊNCIA DEZ/20- LANÇADO PLANILHA PAGAMENTO GEFIC EM JAN/21.
</t>
        </r>
      </text>
    </comment>
    <comment ref="AA733" authorId="0" shapeId="0" xr:uid="{00000000-0006-0000-0000-000000040000}">
      <text>
        <r>
          <rPr>
            <sz val="11"/>
            <color rgb="FF000000"/>
            <rFont val="Calibri"/>
            <family val="2"/>
            <charset val="1"/>
          </rPr>
          <t xml:space="preserve">FOLHA - REFERÊNCIA DEZ/20- LANÇADO PLANILHA PAGAMENTO GEFIC EM JAN/21.
</t>
        </r>
      </text>
    </comment>
    <comment ref="AE733" authorId="0" shapeId="0" xr:uid="{00000000-0006-0000-0000-0000A3080000}">
      <text>
        <r>
          <rPr>
            <sz val="9"/>
            <color rgb="FF000000"/>
            <rFont val="Segoe UI"/>
            <family val="2"/>
            <charset val="1"/>
          </rPr>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r>
      </text>
    </comment>
    <comment ref="AF733" authorId="0" shapeId="0" xr:uid="{00000000-0006-0000-0000-00001B090000}">
      <text>
        <r>
          <rPr>
            <sz val="9"/>
            <color rgb="FF000000"/>
            <rFont val="Segoe UI"/>
            <family val="2"/>
            <charset val="1"/>
          </rPr>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r>
      </text>
    </comment>
    <comment ref="AV733" authorId="0" shapeId="0" xr:uid="{00000000-0006-0000-0000-0000030A0000}">
      <text>
        <r>
          <rPr>
            <sz val="11"/>
            <color rgb="FF000000"/>
            <rFont val="Calibri"/>
            <family val="2"/>
            <charset val="1"/>
          </rPr>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r>
      </text>
    </comment>
    <comment ref="AX735" authorId="0" shapeId="0" xr:uid="{00000000-0006-0000-0000-0000AE0A0000}">
      <text>
        <r>
          <rPr>
            <sz val="11"/>
            <color rgb="FF000000"/>
            <rFont val="Calibri"/>
            <family val="2"/>
            <charset val="1"/>
          </rPr>
          <t xml:space="preserve">R$ 1.319.015,40 - REG.DESP.CUSTEIO 26/01/2021 a 10/02/2021, PROC.202100010005139
</t>
        </r>
        <r>
          <rPr>
            <sz val="9"/>
            <color rgb="FF000000"/>
            <rFont val="Segoe UI"/>
            <family val="2"/>
            <charset val="1"/>
          </rPr>
          <t xml:space="preserve">.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t>
        </r>
      </text>
    </comment>
    <comment ref="AX736" authorId="0" shapeId="0" xr:uid="{00000000-0006-0000-0000-0000AF0A0000}">
      <text>
        <r>
          <rPr>
            <sz val="11"/>
            <color rgb="FF000000"/>
            <rFont val="Calibri"/>
            <family val="2"/>
            <charset val="1"/>
          </rPr>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VALORES:.FEVEREIRO 2021.
</t>
        </r>
      </text>
    </comment>
    <comment ref="D737" authorId="0" shapeId="0" xr:uid="{00000000-0006-0000-0000-00000A000000}">
      <text>
        <r>
          <rPr>
            <sz val="11"/>
            <color rgb="FF000000"/>
            <rFont val="Calibri"/>
            <family val="2"/>
            <charset val="1"/>
          </rPr>
          <t xml:space="preserve">VIGÊNCIA 180 DIAS A PARTIR DA PUBLICAÇÃO que foi 23/03/21
</t>
        </r>
      </text>
    </comment>
    <comment ref="E737" authorId="0" shapeId="0" xr:uid="{00000000-0006-0000-0000-000024000000}">
      <text>
        <r>
          <rPr>
            <b/>
            <sz val="9"/>
            <color rgb="FF000000"/>
            <rFont val="Segoe UI"/>
            <family val="2"/>
            <charset val="1"/>
          </rPr>
          <t>VIGÊNCIA 180 DIAS A PARTIR DA PUBLICAÇÃO que foi 23/03/21</t>
        </r>
      </text>
    </comment>
    <comment ref="AX737" authorId="0" shapeId="0" xr:uid="{00000000-0006-0000-0000-0000B00A0000}">
      <text>
        <r>
          <rPr>
            <sz val="11"/>
            <color rgb="FF000000"/>
            <rFont val="Calibri"/>
            <family val="2"/>
            <charset val="1"/>
          </rPr>
          <t xml:space="preserve">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t>
        </r>
        <r>
          <rPr>
            <sz val="9"/>
            <color rgb="FF000000"/>
            <rFont val="Segoe UI"/>
            <family val="2"/>
            <charset val="1"/>
          </rPr>
          <t>.
R$ 86.777,33 - DIA 22/03/21 -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
R$ 25.454,76. - REGULARICAÇÃO DE DESPESA,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VALORES:.MARÇO /2021.</t>
        </r>
      </text>
    </comment>
    <comment ref="Z738" authorId="0" shapeId="0" xr:uid="{00000000-0006-0000-0000-0000B1020000}">
      <text>
        <r>
          <rPr>
            <sz val="11"/>
            <color rgb="FF000000"/>
            <rFont val="Calibri"/>
            <family val="2"/>
            <charset val="1"/>
          </rPr>
          <t xml:space="preserve">FOLHA - REFERÊNCIA MAR/21- LANÇADO PLANILHA PAGAMENTO GEFIC EM ABR/21.
</t>
        </r>
      </text>
    </comment>
    <comment ref="AA738" authorId="0" shapeId="0" xr:uid="{00000000-0006-0000-0000-000001040000}">
      <text>
        <r>
          <rPr>
            <sz val="11"/>
            <color rgb="FF000000"/>
            <rFont val="Calibri"/>
            <family val="2"/>
            <charset val="1"/>
          </rPr>
          <t xml:space="preserve">FOLHA - REFERÊNCIA MAR/21- LANÇADO PLANILHA PAGAMENTO GEFIC EM ABR/21.
</t>
        </r>
      </text>
    </comment>
    <comment ref="AD738" authorId="0" shapeId="0" xr:uid="{00000000-0006-0000-0000-000047070000}">
      <text>
        <r>
          <rPr>
            <sz val="11"/>
            <color rgb="FF000000"/>
            <rFont val="Calibri"/>
            <family val="2"/>
            <charset val="1"/>
          </rPr>
          <t xml:space="preserve">CELG MAR/21 LANÇADO NA PLANILHA DE ABR/21
</t>
        </r>
      </text>
    </comment>
    <comment ref="Z739" authorId="0" shapeId="0" xr:uid="{00000000-0006-0000-0000-0000B202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A739" authorId="0" shapeId="0" xr:uid="{00000000-0006-0000-0000-00000204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D739" authorId="0" shapeId="0" xr:uid="{00000000-0006-0000-0000-000048070000}">
      <text>
        <r>
          <rPr>
            <sz val="11"/>
            <color rgb="FF000000"/>
            <rFont val="Calibri"/>
            <family val="2"/>
            <charset val="1"/>
          </rPr>
          <t xml:space="preserve">CELG LANÇADA NA PLANILHA DE MAR/21:
.
DIAS VIGENTES DE JAN/21.......................R$ 2.676,73
FEVEREIRO/21..................................................R$ 17.051,67
.
CELG ABR/21 LANÇADO NA PLANILHA DE MAI/21.............................R$ 16.779,21
</t>
        </r>
      </text>
    </comment>
    <comment ref="Z740" authorId="0" shapeId="0" xr:uid="{00000000-0006-0000-0000-0000B3020000}">
      <text>
        <r>
          <rPr>
            <sz val="11"/>
            <color rgb="FF000000"/>
            <rFont val="Calibri"/>
            <family val="2"/>
            <charset val="1"/>
          </rPr>
          <t xml:space="preserve">FOLHA - REFERÊNCIA MAI/21- LANÇADO PLANILHA PAGAMENTO GEFIC EM JUN/21.
</t>
        </r>
      </text>
    </comment>
    <comment ref="AA740" authorId="0" shapeId="0" xr:uid="{00000000-0006-0000-0000-000003040000}">
      <text>
        <r>
          <rPr>
            <sz val="11"/>
            <color rgb="FF000000"/>
            <rFont val="Calibri"/>
            <family val="2"/>
            <charset val="1"/>
          </rPr>
          <t xml:space="preserve">FOLHA - REFERÊNCIA MAI/21- LANÇADO PLANILHA PAGAMENTO GEFIC EM JUN/21.
</t>
        </r>
      </text>
    </comment>
    <comment ref="AD740" authorId="0" shapeId="0" xr:uid="{00000000-0006-0000-0000-000049070000}">
      <text>
        <r>
          <rPr>
            <sz val="11"/>
            <color rgb="FF000000"/>
            <rFont val="Calibri"/>
            <family val="2"/>
            <charset val="1"/>
          </rPr>
          <t xml:space="preserve">CELG MA/21 LANÇADO NA PLANILHA DE JUN/21
</t>
        </r>
      </text>
    </comment>
    <comment ref="Z741" authorId="0" shapeId="0" xr:uid="{00000000-0006-0000-0000-0000B4020000}">
      <text>
        <r>
          <rPr>
            <sz val="11"/>
            <color rgb="FF000000"/>
            <rFont val="Calibri"/>
            <family val="2"/>
            <charset val="1"/>
          </rPr>
          <t xml:space="preserve">FOLHA - REFERÊNCIA JUN/21- LANÇADO PLANILHA PAGAMENTO GEFIC EM JUL/21.
</t>
        </r>
      </text>
    </comment>
    <comment ref="AA741" authorId="0" shapeId="0" xr:uid="{00000000-0006-0000-0000-000004040000}">
      <text>
        <r>
          <rPr>
            <sz val="11"/>
            <color rgb="FF000000"/>
            <rFont val="Calibri"/>
            <family val="2"/>
            <charset val="1"/>
          </rPr>
          <t xml:space="preserve">FOLHA - REFERÊNCIA JUN/21- LANÇADO PLANILHA PAGAMENTO GEFIC EM JUL/21.
</t>
        </r>
      </text>
    </comment>
    <comment ref="AD741" authorId="0" shapeId="0" xr:uid="{00000000-0006-0000-0000-00004A070000}">
      <text>
        <r>
          <rPr>
            <sz val="11"/>
            <color rgb="FF000000"/>
            <rFont val="Calibri"/>
            <family val="2"/>
            <charset val="1"/>
          </rPr>
          <t xml:space="preserve">CELG JUN/21 LANÇADO NA PLANILHA DE JUL/21
</t>
        </r>
      </text>
    </comment>
    <comment ref="Z742" authorId="0" shapeId="0" xr:uid="{00000000-0006-0000-0000-0000B5020000}">
      <text>
        <r>
          <rPr>
            <sz val="11"/>
            <color rgb="FF000000"/>
            <rFont val="Calibri"/>
            <family val="2"/>
            <charset val="1"/>
          </rPr>
          <t xml:space="preserve">FOLHA - REFERÊNCIA JUL/21- LANÇADO PLANILHA PAGAMENTO GEFIC EM AGO/21.
</t>
        </r>
      </text>
    </comment>
    <comment ref="AA742" authorId="0" shapeId="0" xr:uid="{00000000-0006-0000-0000-000005040000}">
      <text>
        <r>
          <rPr>
            <sz val="11"/>
            <color rgb="FF000000"/>
            <rFont val="Calibri"/>
            <family val="2"/>
            <charset val="1"/>
          </rPr>
          <t xml:space="preserve">FOLHA - REFERÊNCIA JUL/21- LANÇADO PLANILHA PAGAMENTO GEFIC EM AGO/21.
</t>
        </r>
      </text>
    </comment>
    <comment ref="AD742" authorId="0" shapeId="0" xr:uid="{00000000-0006-0000-0000-00004B070000}">
      <text>
        <r>
          <rPr>
            <sz val="11"/>
            <color rgb="FF000000"/>
            <rFont val="Calibri"/>
            <family val="2"/>
            <charset val="1"/>
          </rPr>
          <t xml:space="preserve">CELG JUL/21 LANÇADO NA PLANILHA DE AGO/21
</t>
        </r>
      </text>
    </comment>
    <comment ref="E743" authorId="0" shapeId="0" xr:uid="{00000000-0006-0000-0000-000025000000}">
      <text>
        <r>
          <rPr>
            <sz val="11"/>
            <color rgb="FF000000"/>
            <rFont val="Calibri"/>
            <family val="2"/>
            <charset val="1"/>
          </rPr>
          <t xml:space="preserve">VIGÊNCIA 180 DIAS A PARTIR DA PUBLICAÇÃO que foi 23/03/21
</t>
        </r>
      </text>
    </comment>
    <comment ref="AE745" authorId="0" shapeId="0" xr:uid="{00000000-0006-0000-0000-0000A4080000}">
      <text>
        <r>
          <rPr>
            <b/>
            <sz val="9"/>
            <color rgb="FF000000"/>
            <rFont val="Tahoma"/>
            <family val="2"/>
            <charset val="1"/>
          </rPr>
          <t xml:space="preserve">Diferença do 1º TA, devido os serviços acrecidos não estar funcionando totalmente.
</t>
        </r>
      </text>
    </comment>
    <comment ref="AE746" authorId="0" shapeId="0" xr:uid="{00000000-0006-0000-0000-0000A5080000}">
      <text>
        <r>
          <rPr>
            <b/>
            <sz val="9"/>
            <color rgb="FF000000"/>
            <rFont val="Tahoma"/>
            <family val="2"/>
            <charset val="1"/>
          </rPr>
          <t xml:space="preserve">o repasse total de 2.700.000,00 está vinculado ao cumprimento da Proposta Técnica do 1º TA.
</t>
        </r>
      </text>
    </comment>
    <comment ref="AE747" authorId="0" shapeId="0" xr:uid="{00000000-0006-0000-0000-0000A6080000}">
      <text>
        <r>
          <rPr>
            <b/>
            <sz val="9"/>
            <color rgb="FF000000"/>
            <rFont val="Tahoma"/>
            <family val="2"/>
            <charset val="1"/>
          </rPr>
          <t xml:space="preserve">o repasse total de 2.700.000,00 está vinculado ao cumprimento da Proposta Técnica do 1º TA.
</t>
        </r>
      </text>
    </comment>
    <comment ref="AW756" authorId="0" shapeId="0" xr:uid="{00000000-0006-0000-0000-0000410A0000}">
      <text>
        <r>
          <rPr>
            <sz val="11"/>
            <color rgb="FF000000"/>
            <rFont val="Calibri"/>
            <family val="2"/>
            <charset val="1"/>
          </rPr>
          <t xml:space="preserve">INVESTIMENTO PARA AQUISIÇÃO DE BENS MÓVEIS A SEREM UTILI- 
ZADOS NO ATENDIMENTO AO PACIENTE NAS ÁREAS DE: AMBULATÓRIO E TERAPIAS NO CENTRO DE REFERÊNCIA E EXCELÊNCIA EM DEPENDÊNCIA QUÍMICA-CREDEQ </t>
        </r>
        <r>
          <rPr>
            <sz val="9"/>
            <color rgb="FF000000"/>
            <rFont val="Tahoma"/>
            <family val="2"/>
            <charset val="1"/>
          </rPr>
          <t>PROC.201700010012480.</t>
        </r>
      </text>
    </comment>
    <comment ref="AD759" authorId="0" shapeId="0" xr:uid="{00000000-0006-0000-0000-00004C070000}">
      <text>
        <r>
          <rPr>
            <b/>
            <sz val="9"/>
            <color rgb="FF000000"/>
            <rFont val="Tahoma"/>
            <family val="2"/>
            <charset val="1"/>
          </rPr>
          <t xml:space="preserve">CELG -FEVEREIRO/18
</t>
        </r>
      </text>
    </comment>
    <comment ref="G760" authorId="0" shapeId="0" xr:uid="{00000000-0006-0000-0000-0000A9000000}">
      <text>
        <r>
          <rPr>
            <sz val="9"/>
            <color rgb="FF000000"/>
            <rFont val="Tahoma"/>
            <family val="2"/>
            <charset val="1"/>
          </rPr>
          <t xml:space="preserve">Redução pactuada no 2º T.Aditivo:
JAN/18.................R$ 318.865,36
FEV/18.................R$ 318.865,36
MAR/18................R$ 318.865,36
ABR/18.................R$ 318.865,36
TOTAL...............R$ 1.275.461,44
</t>
        </r>
      </text>
    </comment>
    <comment ref="AD760" authorId="0" shapeId="0" xr:uid="{00000000-0006-0000-0000-00004D070000}">
      <text>
        <r>
          <rPr>
            <b/>
            <sz val="9"/>
            <color rgb="FF000000"/>
            <rFont val="Tahoma"/>
            <family val="2"/>
            <charset val="1"/>
          </rPr>
          <t>CELG - MAR/18</t>
        </r>
      </text>
    </comment>
    <comment ref="G761" authorId="0" shapeId="0" xr:uid="{00000000-0006-0000-0000-0000AA000000}">
      <text>
        <r>
          <rPr>
            <b/>
            <sz val="9"/>
            <color rgb="FF000000"/>
            <rFont val="Tahoma"/>
            <family val="2"/>
            <charset val="1"/>
          </rPr>
          <t xml:space="preserve">Redução pactuada no 2º T.A
</t>
        </r>
      </text>
    </comment>
    <comment ref="G762" authorId="0" shapeId="0" xr:uid="{00000000-0006-0000-0000-0000AB000000}">
      <text>
        <r>
          <rPr>
            <b/>
            <sz val="9"/>
            <color rgb="FF000000"/>
            <rFont val="Tahoma"/>
            <family val="2"/>
            <charset val="1"/>
          </rPr>
          <t xml:space="preserve">Redução pactuada no 2º T.A
</t>
        </r>
      </text>
    </comment>
    <comment ref="AD762" authorId="0" shapeId="0" xr:uid="{00000000-0006-0000-0000-00004E070000}">
      <text>
        <r>
          <rPr>
            <b/>
            <sz val="9"/>
            <color rgb="FF000000"/>
            <rFont val="Tahoma"/>
            <family val="2"/>
            <charset val="1"/>
          </rPr>
          <t xml:space="preserve">CELG - MAI/18
</t>
        </r>
      </text>
    </comment>
    <comment ref="AU762" authorId="0" shapeId="0" xr:uid="{00000000-0006-0000-0000-0000E5090000}">
      <text>
        <r>
          <rPr>
            <b/>
            <sz val="9"/>
            <color rgb="FF000000"/>
            <rFont val="Tahoma"/>
            <family val="2"/>
            <charset val="1"/>
          </rPr>
          <t xml:space="preserve">PROC.201800010004376 -RESCISÕES TRABALHISTAS DO CREDEQ PERÍ
ODO DE AGOSTO A DEZEMBRO DE 2017
</t>
        </r>
      </text>
    </comment>
    <comment ref="AW762" authorId="0" shapeId="0" xr:uid="{00000000-0006-0000-0000-0000420A0000}">
      <text>
        <r>
          <rPr>
            <sz val="11"/>
            <color rgb="FF000000"/>
            <rFont val="Calibri"/>
            <family val="2"/>
            <charset val="1"/>
          </rPr>
          <t xml:space="preserve">PROCESSO: 201700010016731
.
OBJETO: REPASSE DE RECURSOS FIN. À ORGANIZAÇÃO SOCIAL COMUNIDADE LUZ DA VIDA
, A TÍTULO DE INVESTIMENTO, PARA AQUIS. DE SISTEMAS ESPECIAIS DE COMUNICAÇÃO
 SENDO: SISTEMA DE CONTROLE DE ACESSO, E SISTEMA DE SONORIZAÇÃO E INTERCOMUN
ICAÇÃO.
</t>
        </r>
        <r>
          <rPr>
            <sz val="9"/>
            <color rgb="FF000000"/>
            <rFont val="Tahoma"/>
            <family val="2"/>
            <charset val="1"/>
          </rPr>
          <t xml:space="preserve">
</t>
        </r>
      </text>
    </comment>
    <comment ref="G763" authorId="0" shapeId="0" xr:uid="{00000000-0006-0000-0000-0000AC000000}">
      <text>
        <r>
          <rPr>
            <b/>
            <sz val="9"/>
            <color rgb="FF000000"/>
            <rFont val="Tahoma"/>
            <family val="2"/>
            <charset val="1"/>
          </rPr>
          <t xml:space="preserve">Redução pactuada no 2º T.A
</t>
        </r>
      </text>
    </comment>
    <comment ref="AD763" authorId="0" shapeId="0" xr:uid="{00000000-0006-0000-0000-00004F070000}">
      <text>
        <r>
          <rPr>
            <b/>
            <sz val="9"/>
            <color rgb="FF000000"/>
            <rFont val="Tahoma"/>
            <family val="2"/>
            <charset val="1"/>
          </rPr>
          <t xml:space="preserve">CELG - JUN/2018
</t>
        </r>
      </text>
    </comment>
    <comment ref="AE763" authorId="0" shapeId="0" xr:uid="{00000000-0006-0000-0000-0000A7080000}">
      <text>
        <r>
          <rPr>
            <b/>
            <sz val="9"/>
            <color rgb="FF000000"/>
            <rFont val="Tahoma"/>
            <family val="2"/>
            <charset val="1"/>
          </rPr>
          <t xml:space="preserve">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
</t>
        </r>
      </text>
    </comment>
    <comment ref="AD764" authorId="0" shapeId="0" xr:uid="{00000000-0006-0000-0000-000050070000}">
      <text>
        <r>
          <rPr>
            <b/>
            <sz val="9"/>
            <color rgb="FF000000"/>
            <rFont val="Tahoma"/>
            <family val="2"/>
            <charset val="1"/>
          </rPr>
          <t xml:space="preserve">CELG - JUL/2018
</t>
        </r>
      </text>
    </comment>
    <comment ref="AE764" authorId="0" shapeId="0" xr:uid="{00000000-0006-0000-0000-0000A8080000}">
      <text>
        <r>
          <rPr>
            <sz val="11"/>
            <color rgb="FF000000"/>
            <rFont val="Calibri"/>
            <family val="2"/>
            <charset val="1"/>
          </rPr>
          <t xml:space="preserve">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t>
        </r>
        <r>
          <rPr>
            <sz val="9"/>
            <color rgb="FF000000"/>
            <rFont val="Tahoma"/>
            <family val="2"/>
            <charset val="1"/>
          </rPr>
          <t>.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r>
      </text>
    </comment>
    <comment ref="AD765" authorId="0" shapeId="0" xr:uid="{00000000-0006-0000-0000-000051070000}">
      <text>
        <r>
          <rPr>
            <b/>
            <sz val="9"/>
            <color rgb="FF000000"/>
            <rFont val="Tahoma"/>
            <family val="2"/>
            <charset val="1"/>
          </rPr>
          <t>CELG - AGO/18</t>
        </r>
      </text>
    </comment>
    <comment ref="AE765" authorId="0" shapeId="0" xr:uid="{00000000-0006-0000-0000-0000A9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
</t>
        </r>
        <r>
          <rPr>
            <sz val="9"/>
            <color rgb="FF000000"/>
            <rFont val="Tahoma"/>
            <family val="2"/>
            <charset val="1"/>
          </rPr>
          <t xml:space="preserve">
</t>
        </r>
      </text>
    </comment>
    <comment ref="AU765" authorId="0" shapeId="0" xr:uid="{00000000-0006-0000-0000-0000E6090000}">
      <text>
        <r>
          <rPr>
            <b/>
            <sz val="9"/>
            <color rgb="FF000000"/>
            <rFont val="Tahoma"/>
            <family val="2"/>
            <charset val="1"/>
          </rPr>
          <t xml:space="preserve">PROC.201800010016079 - RESCISÕES TRABALHISTAS OCORRIDAS NOS MESES DE DEZ/17 A MAR/18. 
</t>
        </r>
      </text>
    </comment>
    <comment ref="AD766" authorId="0" shapeId="0" xr:uid="{00000000-0006-0000-0000-000052070000}">
      <text>
        <r>
          <rPr>
            <b/>
            <sz val="9"/>
            <color rgb="FF000000"/>
            <rFont val="Tahoma"/>
            <family val="2"/>
            <charset val="1"/>
          </rPr>
          <t xml:space="preserve">CELG - SET/18
</t>
        </r>
      </text>
    </comment>
    <comment ref="AE766" authorId="0" shapeId="0" xr:uid="{00000000-0006-0000-0000-0000AA080000}">
      <text>
        <r>
          <rPr>
            <sz val="11"/>
            <color rgb="FF000000"/>
            <rFont val="Calibri"/>
            <family val="2"/>
            <charset val="1"/>
          </rPr>
          <t xml:space="preserve">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t>
        </r>
        <r>
          <rPr>
            <sz val="9"/>
            <color rgb="FF000000"/>
            <rFont val="Tahoma"/>
            <family val="2"/>
            <charset val="1"/>
          </rPr>
          <t>.
* R$ 27.931,10 - 2º T.A - NUCLEO DE ODONTOLOGIA ( ESTÁ EM FASE DE IMPLANTAÇÃO) REDUÇÃO INSERIDA NA PLANILHA REPASSE/GEFIC OUT/18.</t>
        </r>
      </text>
    </comment>
    <comment ref="AD767" authorId="0" shapeId="0" xr:uid="{00000000-0006-0000-0000-000053070000}">
      <text>
        <r>
          <rPr>
            <b/>
            <sz val="9"/>
            <color rgb="FF000000"/>
            <rFont val="Tahoma"/>
            <family val="2"/>
            <charset val="1"/>
          </rPr>
          <t xml:space="preserve">CELG-OUT/18
</t>
        </r>
      </text>
    </comment>
    <comment ref="AE767" authorId="0" shapeId="0" xr:uid="{00000000-0006-0000-0000-0000AB080000}">
      <text>
        <r>
          <rPr>
            <sz val="11"/>
            <color rgb="FF000000"/>
            <rFont val="Calibri"/>
            <family val="2"/>
            <charset val="1"/>
          </rPr>
          <t xml:space="preserve">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xml:space="preserve">.
R$ 27.931,10 NUCLEO DE ODONTOLOGIA PREVISTO NO 2º T.ADITIVO EM FASE DE IMPLANTAÇÃO - R$ 27.931,10 (LANÇADO NA PLANILHA DE PAGAMENTO GEFIC DO MES DE NOV/18)
</t>
        </r>
      </text>
    </comment>
    <comment ref="AU767" authorId="0" shapeId="0" xr:uid="{00000000-0006-0000-0000-0000E7090000}">
      <text>
        <r>
          <rPr>
            <b/>
            <sz val="9"/>
            <color rgb="FF000000"/>
            <rFont val="Tahoma"/>
            <family val="2"/>
            <charset val="1"/>
          </rPr>
          <t xml:space="preserve">PROC.201700010012328 RESSARCIMENTO DE VALORES DESPENDIDOS COM ENC 
ARGOS DAS RESCISÕES TRABALHISTAS DO CREDEQ- CENTRO DE REFERÊNCIA E EXCELÊNCI 
A EM DEPENDÊNCIA QUÍMICA, REFERENTES AO ANO DE 2017.
</t>
        </r>
      </text>
    </comment>
    <comment ref="AD768" authorId="0" shapeId="0" xr:uid="{00000000-0006-0000-0000-000054070000}">
      <text>
        <r>
          <rPr>
            <b/>
            <sz val="9"/>
            <color rgb="FF000000"/>
            <rFont val="Tahoma"/>
            <family val="2"/>
            <charset val="1"/>
          </rPr>
          <t xml:space="preserve">CELG-NOV/18
</t>
        </r>
      </text>
    </comment>
    <comment ref="AE768" authorId="0" shapeId="0" xr:uid="{00000000-0006-0000-0000-0000AC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NUCLIO DE ODONTOLOGIA PREVISTO NO 2º T.ADITIVO EM FASE DE IMPLANTAÇÃO - R$ 27.931,10 (LANÇADO NA PLANILHA DE PAGAMENTO GEFIC DO MES DE DEZ/18)</t>
        </r>
      </text>
    </comment>
    <comment ref="AD769" authorId="0" shapeId="0" xr:uid="{00000000-0006-0000-0000-000055070000}">
      <text>
        <r>
          <rPr>
            <b/>
            <sz val="9"/>
            <color rgb="FF000000"/>
            <rFont val="Tahoma"/>
            <family val="2"/>
            <charset val="1"/>
          </rPr>
          <t xml:space="preserve">ENEL - DEZ/18
</t>
        </r>
      </text>
    </comment>
    <comment ref="AE769" authorId="0" shapeId="0" xr:uid="{00000000-0006-0000-0000-0000AD080000}">
      <text>
        <r>
          <rPr>
            <sz val="9"/>
            <color rgb="FF000000"/>
            <rFont val="Tahoma"/>
            <family val="2"/>
            <charset val="1"/>
          </rPr>
          <t xml:space="preserve">Núcleo de odontologia em fase de implantaççao  2º Termo Aditivo - PLANILHA GEFIC
</t>
        </r>
      </text>
    </comment>
    <comment ref="AN769" authorId="0" shapeId="0" xr:uid="{00000000-0006-0000-0000-000047090000}">
      <text>
        <r>
          <rPr>
            <sz val="9"/>
            <color rgb="FF000000"/>
            <rFont val="Tahoma"/>
            <family val="2"/>
            <charset val="1"/>
          </rPr>
          <t xml:space="preserve">Diferença apurada referente a flosa de telefonia efetuada a maior - mês DEZ/18
</t>
        </r>
      </text>
    </comment>
    <comment ref="AD771" authorId="0" shapeId="0" xr:uid="{00000000-0006-0000-0000-000056070000}">
      <text>
        <r>
          <rPr>
            <b/>
            <sz val="9"/>
            <color rgb="FF000000"/>
            <rFont val="Tahoma"/>
            <family val="2"/>
            <charset val="1"/>
          </rPr>
          <t xml:space="preserve">REFERÊNCIA JAN/19 - LANÇADO PLANILHA GEFIC EM FEV/19
</t>
        </r>
      </text>
    </comment>
    <comment ref="AE771" authorId="0" shapeId="0" xr:uid="{00000000-0006-0000-0000-0000AE080000}">
      <text>
        <r>
          <rPr>
            <b/>
            <sz val="9"/>
            <color rgb="FF000000"/>
            <rFont val="Tahoma"/>
            <family val="2"/>
            <charset val="1"/>
          </rPr>
          <t xml:space="preserve">NÚCLEO DE ODONTOLOGOGIA EM FASE DE IMPLANTAÇÃO - 2º TA- LANÇADO PLANILHA GEFIC EM FEV/19
</t>
        </r>
      </text>
    </comment>
    <comment ref="AD772" authorId="0" shapeId="0" xr:uid="{00000000-0006-0000-0000-000057070000}">
      <text>
        <r>
          <rPr>
            <b/>
            <sz val="9"/>
            <color rgb="FF000000"/>
            <rFont val="Tahoma"/>
            <family val="2"/>
            <charset val="1"/>
          </rPr>
          <t xml:space="preserve">REFERÊNCIA FEV/19 - LANÇADO PLANILHA GEFIC EM MAR19
</t>
        </r>
      </text>
    </comment>
    <comment ref="AE772" authorId="0" shapeId="0" xr:uid="{00000000-0006-0000-0000-0000AF080000}">
      <text>
        <r>
          <rPr>
            <b/>
            <sz val="9"/>
            <color rgb="FF000000"/>
            <rFont val="Tahoma"/>
            <family val="2"/>
            <charset val="1"/>
          </rPr>
          <t xml:space="preserve">NÚCLEO DE ODONTOLOGOGIA EM FASE DE IMPLANTAÇÃO - 2º TA- LANÇADO PLANILHA GEFIC EM MAR/19
</t>
        </r>
      </text>
    </comment>
    <comment ref="AC773" authorId="0" shapeId="0" xr:uid="{00000000-0006-0000-0000-000043050000}">
      <text>
        <r>
          <rPr>
            <b/>
            <sz val="9"/>
            <color rgb="FF000000"/>
            <rFont val="Tahoma"/>
            <family val="2"/>
            <charset val="1"/>
          </rPr>
          <t xml:space="preserve">TELEFONIA FIXA -REFERÊNCIA ABR/19 - LANÇADO PLANILHA GEFIC EM ABR/19
</t>
        </r>
      </text>
    </comment>
    <comment ref="AD773" authorId="0" shapeId="0" xr:uid="{00000000-0006-0000-0000-000058070000}">
      <text>
        <r>
          <rPr>
            <b/>
            <sz val="9"/>
            <color rgb="FF000000"/>
            <rFont val="Tahoma"/>
            <family val="2"/>
            <charset val="1"/>
          </rPr>
          <t xml:space="preserve">REFERÊNCIA MAR/19 - LANÇADO PLANILHA GEFIC EM ABR/19
</t>
        </r>
      </text>
    </comment>
    <comment ref="AE773" authorId="0" shapeId="0" xr:uid="{00000000-0006-0000-0000-0000B0080000}">
      <text>
        <r>
          <rPr>
            <b/>
            <sz val="9"/>
            <color rgb="FF000000"/>
            <rFont val="Tahoma"/>
            <family val="2"/>
            <charset val="1"/>
          </rPr>
          <t xml:space="preserve">NÚCLEO DE ODONTOLOGOGIA EM FASE DE IMPLANTAÇÃO - 2º TA- LANÇADO PLANILHA GEFIC EM ABR/19
</t>
        </r>
      </text>
    </comment>
    <comment ref="AD774" authorId="0" shapeId="0" xr:uid="{00000000-0006-0000-0000-000059070000}">
      <text>
        <r>
          <rPr>
            <b/>
            <sz val="9"/>
            <color rgb="FF000000"/>
            <rFont val="Tahoma"/>
            <family val="2"/>
            <charset val="1"/>
          </rPr>
          <t xml:space="preserve">REFERÊNCIA ABR/19 - LANÇADO PLANILHA GEFIC EM MAI/19
</t>
        </r>
      </text>
    </comment>
    <comment ref="AE774" authorId="0" shapeId="0" xr:uid="{00000000-0006-0000-0000-0000B1080000}">
      <text>
        <r>
          <rPr>
            <b/>
            <sz val="9"/>
            <color rgb="FF000000"/>
            <rFont val="Tahoma"/>
            <family val="2"/>
            <charset val="1"/>
          </rPr>
          <t xml:space="preserve">NÚCLEO DE ODONTOLOGOGIA EM FASE DE IMPLANTAÇÃO - 2º TA- LANÇADO PLANILHA GEFIC EM MAI/19
</t>
        </r>
      </text>
    </comment>
    <comment ref="H775" authorId="0" shapeId="0" xr:uid="{00000000-0006-0000-0000-0000CF000000}">
      <text>
        <r>
          <rPr>
            <sz val="9"/>
            <color rgb="FF000000"/>
            <rFont val="Tahoma"/>
            <family val="2"/>
            <charset val="1"/>
          </rPr>
          <t xml:space="preserve">A partir 31/07/19 a 26/01/19
</t>
        </r>
      </text>
    </comment>
    <comment ref="AD775" authorId="0" shapeId="0" xr:uid="{00000000-0006-0000-0000-00005A070000}">
      <text>
        <r>
          <rPr>
            <b/>
            <sz val="9"/>
            <color rgb="FF000000"/>
            <rFont val="Tahoma"/>
            <family val="2"/>
            <charset val="1"/>
          </rPr>
          <t>- ENERGIA MAI / 19</t>
        </r>
      </text>
    </comment>
    <comment ref="AE775" authorId="0" shapeId="0" xr:uid="{00000000-0006-0000-0000-0000B2080000}">
      <text>
        <r>
          <rPr>
            <sz val="11"/>
            <color rgb="FF000000"/>
            <rFont val="Calibri"/>
            <family val="2"/>
            <charset val="1"/>
          </rPr>
          <t xml:space="preserve">NÚCLEO DE ODONTOLOGOGIA EM FASE DE IMPLANTAÇÃO - 2º TA- LANÇADO PLANILHA GEFIC EM JUN/19
</t>
        </r>
      </text>
    </comment>
    <comment ref="AD776" authorId="0" shapeId="0" xr:uid="{00000000-0006-0000-0000-00005B070000}">
      <text>
        <r>
          <rPr>
            <sz val="11"/>
            <color rgb="FF000000"/>
            <rFont val="Calibri"/>
            <family val="2"/>
            <charset val="1"/>
          </rPr>
          <t xml:space="preserve">R$ 28.364,60 CELG REFERÊNCIA JUN/19 - LANÇADO PLANILHA PAGAMENTO GEFIC EM JUL/19.
.
</t>
        </r>
        <r>
          <rPr>
            <sz val="9"/>
            <color rgb="FF000000"/>
            <rFont val="Tahoma"/>
            <family val="2"/>
            <charset val="1"/>
          </rPr>
          <t>R$ 23.344,91 CELG REFERÊNCIA JUL/19 - LANÇADO PLANILHA PAGAMENTO GEFIC EM AGO/19.</t>
        </r>
      </text>
    </comment>
    <comment ref="AE776" authorId="0" shapeId="0" xr:uid="{00000000-0006-0000-0000-0000B3080000}">
      <text>
        <r>
          <rPr>
            <sz val="11"/>
            <color rgb="FF000000"/>
            <rFont val="Calibri"/>
            <family val="2"/>
            <charset val="1"/>
          </rPr>
          <t xml:space="preserve">NÚCLEO DE ODONTOLOGOGIA EM FASE DE IMPLANTAÇÃO - 2º TA- LANÇADO PLANILHA GEFIC EM JUL/19
</t>
        </r>
      </text>
    </comment>
    <comment ref="AD777" authorId="0" shapeId="0" xr:uid="{00000000-0006-0000-0000-00005C070000}">
      <text>
        <r>
          <rPr>
            <sz val="11"/>
            <color rgb="FF000000"/>
            <rFont val="Calibri"/>
            <family val="2"/>
            <charset val="1"/>
          </rPr>
          <t xml:space="preserve">R$ 26.493,96 CELG REFERÊNCIA AGO/19 - LANÇADO PLANILHA PAGAMENTO GEFIC EM SET/19.
</t>
        </r>
      </text>
    </comment>
    <comment ref="AU778" authorId="0" shapeId="0" xr:uid="{00000000-0006-0000-0000-0000E8090000}">
      <text>
        <r>
          <rPr>
            <sz val="11"/>
            <color rgb="FF000000"/>
            <rFont val="Calibri"/>
            <family val="2"/>
            <charset val="1"/>
          </rPr>
          <t xml:space="preserve">RESSARCIMENTO DE VALORES DESPENDIDOS COM ENCARGOS DAS RESCISÕES TRABALHISTAS DO CREDEQ, REFERENTE AO PRIMEIRO SEMESTRE DE 2018, Processo nº 201800010036558.
</t>
        </r>
      </text>
    </comment>
    <comment ref="AD779" authorId="0" shapeId="0" xr:uid="{00000000-0006-0000-0000-00005D070000}">
      <text>
        <r>
          <rPr>
            <sz val="11"/>
            <color rgb="FF000000"/>
            <rFont val="Calibri"/>
            <family val="2"/>
            <charset val="1"/>
          </rPr>
          <t xml:space="preserve">CELG REFERÊNCIA SET/19 - LANÇADO PLANILHA PAGAMENTO GEFIC EM OUT/19.
</t>
        </r>
        <r>
          <rPr>
            <sz val="9"/>
            <color rgb="FF000000"/>
            <rFont val="Tahoma"/>
            <family val="2"/>
            <charset val="1"/>
          </rPr>
          <t xml:space="preserve">
</t>
        </r>
      </text>
    </comment>
    <comment ref="AD780" authorId="0" shapeId="0" xr:uid="{00000000-0006-0000-0000-00005E070000}">
      <text>
        <r>
          <rPr>
            <b/>
            <sz val="9"/>
            <color rgb="FF000000"/>
            <rFont val="Tahoma"/>
            <family val="2"/>
            <charset val="1"/>
          </rPr>
          <t>R$ 29.541,66 - CELG REFERÊNCIA OUT/19 - LANÇADO PLANILHA PAGAMENTO GEFIC EM NOV/19.
.
R$ 28.330,60 - ENERGIA - REFERÊNCIA NOV/19 - LANÇADO PLANILHA PAGAMENTO GEFIC EM DEZ/19</t>
        </r>
      </text>
    </comment>
    <comment ref="H781" authorId="0" shapeId="0" xr:uid="{00000000-0006-0000-0000-0000D0000000}">
      <text>
        <r>
          <rPr>
            <sz val="11"/>
            <color rgb="FF000000"/>
            <rFont val="Calibri"/>
            <family val="2"/>
            <charset val="1"/>
          </rPr>
          <t xml:space="preserve">A partir 31/07/19 a 26/01/20
</t>
        </r>
      </text>
    </comment>
    <comment ref="K781" authorId="0" shapeId="0" xr:uid="{00000000-0006-0000-0000-0000D8000000}">
      <text>
        <r>
          <rPr>
            <sz val="11"/>
            <color rgb="FF000000"/>
            <rFont val="Calibri"/>
            <family val="2"/>
            <charset val="1"/>
          </rPr>
          <t xml:space="preserve">27/01/2020 a 26/01/2021
</t>
        </r>
      </text>
    </comment>
    <comment ref="AD781" authorId="0" shapeId="0" xr:uid="{00000000-0006-0000-0000-00005F070000}">
      <text>
        <r>
          <rPr>
            <sz val="11"/>
            <color rgb="FF000000"/>
            <rFont val="Calibri"/>
            <family val="2"/>
            <charset val="1"/>
          </rPr>
          <t xml:space="preserve">ENERGIA - REFERÊNCIA DEZ/19 - LANÇADO PLANILHA PAGAMENTO GEFIC EM JAN/20
</t>
        </r>
      </text>
    </comment>
    <comment ref="AD782" authorId="0" shapeId="0" xr:uid="{00000000-0006-0000-0000-000060070000}">
      <text>
        <r>
          <rPr>
            <sz val="11"/>
            <color rgb="FF000000"/>
            <rFont val="Calibri"/>
            <family val="2"/>
            <charset val="1"/>
          </rPr>
          <t xml:space="preserve">ENERGIA - REFERÊNCIA JAN/20 - LANÇADO PLANILHA PAGAMENTO GEFIC EM FEV/20
</t>
        </r>
      </text>
    </comment>
    <comment ref="AD783" authorId="0" shapeId="0" xr:uid="{00000000-0006-0000-0000-000061070000}">
      <text>
        <r>
          <rPr>
            <sz val="11"/>
            <color rgb="FF000000"/>
            <rFont val="Calibri"/>
            <family val="2"/>
            <charset val="1"/>
          </rPr>
          <t xml:space="preserve">ENERGIA - REFERÊNCIA FEV20 - LANÇADO PLANILHA PAGAMENTO GEFIC EM MAR/20
</t>
        </r>
      </text>
    </comment>
    <comment ref="AD784" authorId="0" shapeId="0" xr:uid="{00000000-0006-0000-0000-000062070000}">
      <text>
        <r>
          <rPr>
            <sz val="11"/>
            <color rgb="FF000000"/>
            <rFont val="Calibri"/>
            <family val="2"/>
            <charset val="1"/>
          </rPr>
          <t xml:space="preserve">ESTIMATIVA FEV/20
</t>
        </r>
      </text>
    </comment>
    <comment ref="AD785" authorId="0" shapeId="0" xr:uid="{00000000-0006-0000-0000-000063070000}">
      <text>
        <r>
          <rPr>
            <sz val="11"/>
            <color rgb="FF000000"/>
            <rFont val="Calibri"/>
            <family val="2"/>
            <charset val="1"/>
          </rPr>
          <t xml:space="preserve">REFERÊNCIA ABR/20 - LANÇADO PLANILHA PAGAMENTO GEFIC EM MAI/20
</t>
        </r>
      </text>
    </comment>
    <comment ref="AU785" authorId="0" shapeId="0" xr:uid="{00000000-0006-0000-0000-0000E9090000}">
      <text>
        <r>
          <rPr>
            <sz val="11"/>
            <color rgb="FF000000"/>
            <rFont val="Calibri"/>
            <family val="2"/>
            <charset val="1"/>
          </rPr>
          <t xml:space="preserve">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t>
        </r>
        <r>
          <rPr>
            <sz val="9"/>
            <color rgb="FF000000"/>
            <rFont val="Segoe UI"/>
            <family val="2"/>
            <charset val="1"/>
          </rPr>
          <t>.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r>
      </text>
    </comment>
    <comment ref="AD786" authorId="0" shapeId="0" xr:uid="{00000000-0006-0000-0000-000064070000}">
      <text>
        <r>
          <rPr>
            <sz val="11"/>
            <color rgb="FF000000"/>
            <rFont val="Calibri"/>
            <family val="2"/>
            <charset val="1"/>
          </rPr>
          <t xml:space="preserve">ENERGIA - REFERÊNCIA MAI/20 - LANÇADO PLANILHA PAGAMENTO GEFIC EM JUN/20
</t>
        </r>
      </text>
    </comment>
    <comment ref="AU786" authorId="0" shapeId="0" xr:uid="{00000000-0006-0000-0000-0000EA090000}">
      <text>
        <r>
          <rPr>
            <sz val="11"/>
            <color rgb="FF000000"/>
            <rFont val="Calibri"/>
            <family val="2"/>
            <charset val="1"/>
          </rPr>
          <t xml:space="preserve">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
</t>
        </r>
      </text>
    </comment>
    <comment ref="AD787" authorId="0" shapeId="0" xr:uid="{00000000-0006-0000-0000-000065070000}">
      <text>
        <r>
          <rPr>
            <sz val="11"/>
            <color rgb="FF000000"/>
            <rFont val="Calibri"/>
            <family val="2"/>
            <charset val="1"/>
          </rPr>
          <t xml:space="preserve">ENERGIA - REFERÊNCIA JUN/20 - LANÇADO PLANILHA PAGAMENTO GEFIC EM JUL/20
</t>
        </r>
      </text>
    </comment>
    <comment ref="AD788" authorId="0" shapeId="0" xr:uid="{00000000-0006-0000-0000-000066070000}">
      <text>
        <r>
          <rPr>
            <sz val="11"/>
            <color rgb="FF000000"/>
            <rFont val="Calibri"/>
            <family val="2"/>
            <charset val="1"/>
          </rPr>
          <t xml:space="preserve">ENERGIA - REFERÊNCIA JUL/20 - LANÇADO PLANILHA PAGAMENTO GEFIC EM AGO/20
</t>
        </r>
      </text>
    </comment>
    <comment ref="AD789" authorId="0" shapeId="0" xr:uid="{00000000-0006-0000-0000-000067070000}">
      <text>
        <r>
          <rPr>
            <sz val="11"/>
            <color rgb="FF000000"/>
            <rFont val="Calibri"/>
            <family val="2"/>
            <charset val="1"/>
          </rPr>
          <t xml:space="preserve">ENERGIA - REFERÊNCIA AGO/20 - LANÇADO PLANILHA PAGAMENTO GEFIC EM SET/20
</t>
        </r>
      </text>
    </comment>
    <comment ref="AD790" authorId="0" shapeId="0" xr:uid="{00000000-0006-0000-0000-000068070000}">
      <text>
        <r>
          <rPr>
            <sz val="11"/>
            <color rgb="FF000000"/>
            <rFont val="Calibri"/>
            <family val="2"/>
            <charset val="1"/>
          </rPr>
          <t xml:space="preserve">ENERGIA - REFERÊNCIA SET/20 - LANÇADO PLANILHA PAGAMENTO GEFIC EM OUT/20
</t>
        </r>
      </text>
    </comment>
    <comment ref="AD791" authorId="0" shapeId="0" xr:uid="{00000000-0006-0000-0000-000069070000}">
      <text>
        <r>
          <rPr>
            <sz val="11"/>
            <color rgb="FF000000"/>
            <rFont val="Calibri"/>
            <family val="2"/>
            <charset val="1"/>
          </rPr>
          <t xml:space="preserve">ENERGIA - REFERÊNCIA OUT/20 - LANÇADO PLANILHA PAGAMENTO GEFIC EM NOV/20
</t>
        </r>
      </text>
    </comment>
    <comment ref="AW791" authorId="0" shapeId="0" xr:uid="{00000000-0006-0000-0000-000043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
</t>
        </r>
      </text>
    </comment>
    <comment ref="AD792" authorId="0" shapeId="0" xr:uid="{00000000-0006-0000-0000-00006A070000}">
      <text>
        <r>
          <rPr>
            <sz val="11"/>
            <color rgb="FF000000"/>
            <rFont val="Calibri"/>
            <family val="2"/>
            <charset val="1"/>
          </rPr>
          <t xml:space="preserve">ENERGIA - REFERÊNCIA NOV/20 - LANÇADO PLANILHA PAGAMENTO GEFIC EM DEZ/20
</t>
        </r>
      </text>
    </comment>
    <comment ref="K793" authorId="0" shapeId="0" xr:uid="{00000000-0006-0000-0000-0000D9000000}">
      <text>
        <r>
          <rPr>
            <sz val="11"/>
            <color rgb="FF000000"/>
            <rFont val="Calibri"/>
            <family val="2"/>
            <charset val="1"/>
          </rPr>
          <t xml:space="preserve">até 26/01/21
</t>
        </r>
      </text>
    </comment>
    <comment ref="M793" authorId="0" shapeId="0" xr:uid="{00000000-0006-0000-0000-0000F4000000}">
      <text>
        <r>
          <rPr>
            <sz val="11"/>
            <color rgb="FF000000"/>
            <rFont val="Calibri"/>
            <family val="2"/>
            <charset val="1"/>
          </rPr>
          <t xml:space="preserve">até 26/01/21
</t>
        </r>
      </text>
    </comment>
    <comment ref="AD793" authorId="0" shapeId="0" xr:uid="{00000000-0006-0000-0000-00006B070000}">
      <text>
        <r>
          <rPr>
            <sz val="11"/>
            <color rgb="FF000000"/>
            <rFont val="Calibri"/>
            <family val="2"/>
            <charset val="1"/>
          </rPr>
          <t xml:space="preserve">R$ 26.818,37 - ENERGIA - REFERÊNCIA DEZ/20 - LANÇADO PLANILHA PAGAMENTO GEFIC EM DEZ20
</t>
        </r>
        <r>
          <rPr>
            <sz val="9"/>
            <color rgb="FF000000"/>
            <rFont val="Segoe UI"/>
            <family val="2"/>
            <charset val="1"/>
          </rPr>
          <t>.
R$ 22.290,75- ENERGIA REFERÊNCIA  JAN/21, INFORMADA NO Processo nº 201700010019675 PELA GAOS</t>
        </r>
      </text>
    </comment>
    <comment ref="AX793" authorId="0" shapeId="0" xr:uid="{00000000-0006-0000-0000-0000B1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X794" authorId="0" shapeId="0" xr:uid="{00000000-0006-0000-0000-0000B2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N795" authorId="0" shapeId="0" xr:uid="{00000000-0006-0000-0000-000010010000}">
      <text>
        <r>
          <rPr>
            <sz val="11"/>
            <color rgb="FF000000"/>
            <rFont val="Calibri"/>
            <family val="2"/>
            <charset val="1"/>
          </rPr>
          <t xml:space="preserve">DE 11/03 A 25/07/21
</t>
        </r>
      </text>
    </comment>
    <comment ref="AD795" authorId="0" shapeId="0" xr:uid="{00000000-0006-0000-0000-00006C070000}">
      <text>
        <r>
          <rPr>
            <sz val="11"/>
            <color rgb="FF000000"/>
            <rFont val="Calibri"/>
            <family val="2"/>
            <charset val="1"/>
          </rPr>
          <t xml:space="preserve">CELG FEV/21 LANÇADO NA PLANILHA DE MAR/21
</t>
        </r>
      </text>
    </comment>
    <comment ref="AW795" authorId="0" shapeId="0" xr:uid="{00000000-0006-0000-0000-0000440A0000}">
      <text>
        <r>
          <rPr>
            <sz val="11"/>
            <color rgb="FF000000"/>
            <rFont val="Calibri"/>
            <family val="2"/>
            <charset val="1"/>
          </rPr>
          <t xml:space="preserve">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t>
        </r>
        <r>
          <rPr>
            <sz val="9"/>
            <color rgb="FF000000"/>
            <rFont val="Segoe UI"/>
            <family val="2"/>
            <charset val="1"/>
          </rPr>
          <t>proc.201900010048662</t>
        </r>
      </text>
    </comment>
    <comment ref="AX795" authorId="0" shapeId="0" xr:uid="{00000000-0006-0000-0000-0000B3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D796" authorId="0" shapeId="0" xr:uid="{00000000-0006-0000-0000-00006D070000}">
      <text>
        <r>
          <rPr>
            <sz val="11"/>
            <color rgb="FF000000"/>
            <rFont val="Calibri"/>
            <family val="2"/>
            <charset val="1"/>
          </rPr>
          <t xml:space="preserve">CELG MAR/21 LANÇADO NA PLANILHA DE ABR/21
</t>
        </r>
      </text>
    </comment>
    <comment ref="AD797" authorId="0" shapeId="0" xr:uid="{00000000-0006-0000-0000-00006E070000}">
      <text>
        <r>
          <rPr>
            <sz val="11"/>
            <color rgb="FF000000"/>
            <rFont val="Calibri"/>
            <family val="2"/>
            <charset val="1"/>
          </rPr>
          <t xml:space="preserve">CELG ABR/21 LANÇADO NA PLANILHA DE MAI/21
</t>
        </r>
      </text>
    </comment>
    <comment ref="AW797" authorId="0" shapeId="0" xr:uid="{00000000-0006-0000-0000-0000450A0000}">
      <text>
        <r>
          <rPr>
            <sz val="11"/>
            <color rgb="FF000000"/>
            <rFont val="Calibri"/>
            <family val="2"/>
            <charset val="1"/>
          </rPr>
          <t xml:space="preserve">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t>
        </r>
        <r>
          <rPr>
            <sz val="9"/>
            <color rgb="FF000000"/>
            <rFont val="Tahoma"/>
            <family val="2"/>
            <charset val="1"/>
          </rPr>
          <t>.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r>
      </text>
    </comment>
    <comment ref="AD798" authorId="0" shapeId="0" xr:uid="{00000000-0006-0000-0000-00006F070000}">
      <text>
        <r>
          <rPr>
            <sz val="11"/>
            <color rgb="FF000000"/>
            <rFont val="Calibri"/>
            <family val="2"/>
            <charset val="1"/>
          </rPr>
          <t xml:space="preserve">CELG MA/21 LANÇADO NA PLANILHA DE JUN/21
</t>
        </r>
      </text>
    </comment>
    <comment ref="N799" authorId="0" shapeId="0" xr:uid="{00000000-0006-0000-0000-000011010000}">
      <text>
        <r>
          <rPr>
            <sz val="11"/>
            <color rgb="FF000000"/>
            <rFont val="Calibri"/>
            <family val="2"/>
            <charset val="1"/>
          </rPr>
          <t xml:space="preserve">DE 11/03 A 25/07/21
</t>
        </r>
      </text>
    </comment>
    <comment ref="AD799" authorId="0" shapeId="0" xr:uid="{00000000-0006-0000-0000-000070070000}">
      <text>
        <r>
          <rPr>
            <sz val="11"/>
            <color rgb="FF000000"/>
            <rFont val="Calibri"/>
            <family val="2"/>
            <charset val="1"/>
          </rPr>
          <t xml:space="preserve">CELG JUN/21 LANÇADO NA PLANILHA DE JUL/21
</t>
        </r>
      </text>
    </comment>
    <comment ref="AU799" authorId="0" shapeId="0" xr:uid="{00000000-0006-0000-0000-0000EB090000}">
      <text>
        <r>
          <rPr>
            <sz val="11"/>
            <color rgb="FF000000"/>
            <rFont val="Calibri"/>
            <family val="2"/>
            <charset val="1"/>
          </rPr>
          <t xml:space="preserve">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 . VALOR TOTAL EMPENHADO:……………………………………R$ 286.636,64
</t>
        </r>
      </text>
    </comment>
    <comment ref="AW799" authorId="0" shapeId="0" xr:uid="{00000000-0006-0000-0000-0000460A0000}">
      <text>
        <r>
          <rPr>
            <sz val="11"/>
            <color rgb="FF000000"/>
            <rFont val="Calibri"/>
            <family val="2"/>
            <charset val="1"/>
          </rPr>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VALOR EMPENHADO...........................
</t>
        </r>
        <r>
          <rPr>
            <sz val="9"/>
            <color rgb="FF000000"/>
            <rFont val="Tahoma"/>
            <family val="2"/>
            <charset val="1"/>
          </rPr>
          <t xml:space="preserve">.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r>
      </text>
    </comment>
    <comment ref="AX799" authorId="0" shapeId="0" xr:uid="{00000000-0006-0000-0000-0000B40A0000}">
      <text>
        <r>
          <rPr>
            <sz val="11"/>
            <color rgb="FF000000"/>
            <rFont val="Calibri"/>
            <family val="2"/>
            <charset val="1"/>
          </rPr>
          <t xml:space="preserve">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 R$ 404.792,83 . VALOR EMPENHADO DA REGULARIZAÇÃO:………………………..R$ 404.792,83
</t>
        </r>
      </text>
    </comment>
    <comment ref="AX800" authorId="0" shapeId="0" xr:uid="{00000000-0006-0000-0000-0000B50A0000}">
      <text>
        <r>
          <rPr>
            <sz val="11"/>
            <color rgb="FF000000"/>
            <rFont val="Calibri"/>
            <family val="2"/>
            <charset val="1"/>
          </rPr>
          <t xml:space="preserve"> R$ 674.654,73 -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proc.202100010034067.
</t>
        </r>
        <r>
          <rPr>
            <sz val="9"/>
            <color rgb="FF000000"/>
            <rFont val="Tahoma"/>
            <family val="2"/>
            <charset val="1"/>
          </rPr>
          <t>.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t>
        </r>
      </text>
    </comment>
    <comment ref="AX801" authorId="0" shapeId="0" xr:uid="{00000000-0006-0000-0000-0000B60A0000}">
      <text>
        <r>
          <rPr>
            <sz val="11"/>
            <color rgb="FF000000"/>
            <rFont val="Calibri"/>
            <family val="2"/>
            <charset val="1"/>
          </rPr>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r>
      </text>
    </comment>
    <comment ref="E804" authorId="0" shapeId="0" xr:uid="{00000000-0006-0000-0000-000026000000}">
      <text>
        <r>
          <rPr>
            <b/>
            <sz val="9"/>
            <color rgb="FF000000"/>
            <rFont val="Tahoma"/>
            <family val="2"/>
            <charset val="1"/>
          </rPr>
          <t xml:space="preserve">R$ 1.823.533,62 11 DIAS VIGÊNCIA A PARTIR DE 20/12/17 + R$ 1.326.206,27  OITO DIAS REFERENTE AO 1º APOSTILAMENTO ALTERANDO A VIGÊNCIA A PARTIR DA OUTORGA 12/12/17 </t>
        </r>
      </text>
    </comment>
    <comment ref="BL804" authorId="0" shapeId="0" xr:uid="{00000000-0006-0000-0000-0000EF0A0000}">
      <text>
        <r>
          <rPr>
            <b/>
            <sz val="9"/>
            <color rgb="FF000000"/>
            <rFont val="Tahoma"/>
            <family val="2"/>
            <charset val="1"/>
          </rPr>
          <t xml:space="preserve">20/12/17 A 19/12/21
</t>
        </r>
      </text>
    </comment>
    <comment ref="AD807" authorId="0" shapeId="0" xr:uid="{00000000-0006-0000-0000-000071070000}">
      <text>
        <r>
          <rPr>
            <b/>
            <sz val="9"/>
            <color rgb="FF000000"/>
            <rFont val="Tahoma"/>
            <family val="2"/>
            <charset val="1"/>
          </rPr>
          <t>CELG -FEVEREIRO/18</t>
        </r>
      </text>
    </comment>
    <comment ref="AD808" authorId="0" shapeId="0" xr:uid="{00000000-0006-0000-0000-000072070000}">
      <text>
        <r>
          <rPr>
            <b/>
            <sz val="9"/>
            <color rgb="FF000000"/>
            <rFont val="Tahoma"/>
            <family val="2"/>
            <charset val="1"/>
          </rPr>
          <t>CELG MAR/18</t>
        </r>
      </text>
    </comment>
    <comment ref="AD809" authorId="0" shapeId="0" xr:uid="{00000000-0006-0000-0000-000073070000}">
      <text>
        <r>
          <rPr>
            <b/>
            <sz val="9"/>
            <color rgb="FF000000"/>
            <rFont val="Tahoma"/>
            <family val="2"/>
            <charset val="1"/>
          </rPr>
          <t>CELG - ABRIL/2018</t>
        </r>
      </text>
    </comment>
    <comment ref="AD810" authorId="0" shapeId="0" xr:uid="{00000000-0006-0000-0000-000074070000}">
      <text>
        <r>
          <rPr>
            <b/>
            <sz val="9"/>
            <color rgb="FF000000"/>
            <rFont val="Tahoma"/>
            <family val="2"/>
            <charset val="1"/>
          </rPr>
          <t xml:space="preserve">CELG - MAI/18
</t>
        </r>
      </text>
    </comment>
    <comment ref="AD811" authorId="0" shapeId="0" xr:uid="{00000000-0006-0000-0000-000075070000}">
      <text>
        <r>
          <rPr>
            <b/>
            <sz val="9"/>
            <color rgb="FF000000"/>
            <rFont val="Tahoma"/>
            <family val="2"/>
            <charset val="1"/>
          </rPr>
          <t xml:space="preserve">CELG - JUN/2018
</t>
        </r>
      </text>
    </comment>
    <comment ref="AD812" authorId="0" shapeId="0" xr:uid="{00000000-0006-0000-0000-000076070000}">
      <text>
        <r>
          <rPr>
            <b/>
            <sz val="9"/>
            <color rgb="FF000000"/>
            <rFont val="Tahoma"/>
            <family val="2"/>
            <charset val="1"/>
          </rPr>
          <t xml:space="preserve">CELG - JUL/2018
</t>
        </r>
      </text>
    </comment>
    <comment ref="AD813" authorId="0" shapeId="0" xr:uid="{00000000-0006-0000-0000-000077070000}">
      <text>
        <r>
          <rPr>
            <b/>
            <sz val="9"/>
            <color rgb="FF000000"/>
            <rFont val="Tahoma"/>
            <family val="2"/>
            <charset val="1"/>
          </rPr>
          <t xml:space="preserve">CELG - AGO/18
</t>
        </r>
      </text>
    </comment>
    <comment ref="AF813" authorId="0" shapeId="0" xr:uid="{00000000-0006-0000-0000-00001C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r>
      </text>
    </comment>
    <comment ref="AU813" authorId="0" shapeId="0" xr:uid="{00000000-0006-0000-0000-0000EC090000}">
      <text>
        <r>
          <rPr>
            <b/>
            <sz val="9"/>
            <color rgb="FF000000"/>
            <rFont val="Tahoma"/>
            <family val="2"/>
            <charset val="1"/>
          </rPr>
          <t xml:space="preserve">R$ 9.485,16 - PROCESSO 201800010016079 - RESSARCIMENTO DE VALORES 
PAGOS AOS PROFISSIONAIS DO HOSPITAL ESTADUAL DE URGÊNCIAS DA REGIÃO SUDOESTE 
DR. ALBANIR FALEIROS MACHADO (HURSO), REFERENTE À RESCISÕES TRABALHISTAS 
OCORRIDAS NOS MESES DE DEZ/17 A MAR/18. 
</t>
        </r>
      </text>
    </comment>
    <comment ref="AD814" authorId="0" shapeId="0" xr:uid="{00000000-0006-0000-0000-000078070000}">
      <text>
        <r>
          <rPr>
            <b/>
            <sz val="9"/>
            <color rgb="FF000000"/>
            <rFont val="Tahoma"/>
            <family val="2"/>
            <charset val="1"/>
          </rPr>
          <t xml:space="preserve">CELG - SET/18
</t>
        </r>
      </text>
    </comment>
    <comment ref="AD815" authorId="0" shapeId="0" xr:uid="{00000000-0006-0000-0000-000079070000}">
      <text>
        <r>
          <rPr>
            <b/>
            <sz val="9"/>
            <color rgb="FF000000"/>
            <rFont val="Tahoma"/>
            <family val="2"/>
            <charset val="1"/>
          </rPr>
          <t xml:space="preserve">CELG - OUT/18
</t>
        </r>
      </text>
    </comment>
    <comment ref="AE815" authorId="0" shapeId="0" xr:uid="{00000000-0006-0000-0000-0000B4080000}">
      <text>
        <r>
          <rPr>
            <b/>
            <sz val="9"/>
            <color rgb="FF000000"/>
            <rFont val="Tahoma"/>
            <family val="2"/>
            <charset val="1"/>
          </rPr>
          <t xml:space="preserve">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t>
        </r>
      </text>
    </comment>
    <comment ref="AD816" authorId="0" shapeId="0" xr:uid="{00000000-0006-0000-0000-00007A070000}">
      <text>
        <r>
          <rPr>
            <b/>
            <sz val="9"/>
            <color rgb="FF000000"/>
            <rFont val="Tahoma"/>
            <family val="2"/>
            <charset val="1"/>
          </rPr>
          <t xml:space="preserve">CELG NOV/18
</t>
        </r>
      </text>
    </comment>
    <comment ref="AE816" authorId="0" shapeId="0" xr:uid="{00000000-0006-0000-0000-0000B5080000}">
      <text>
        <r>
          <rPr>
            <b/>
            <sz val="9"/>
            <color rgb="FF000000"/>
            <rFont val="Tahoma"/>
            <family val="2"/>
            <charset val="1"/>
          </rPr>
          <t xml:space="preserve">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
</t>
        </r>
      </text>
    </comment>
    <comment ref="AD817" authorId="0" shapeId="0" xr:uid="{00000000-0006-0000-0000-00007B070000}">
      <text>
        <r>
          <rPr>
            <b/>
            <sz val="9"/>
            <color rgb="FF000000"/>
            <rFont val="Tahoma"/>
            <family val="2"/>
            <charset val="1"/>
          </rPr>
          <t xml:space="preserve">ENEL:
* R$ 13.847,02 Diferença (referência NOV/18) apuradareferente a glosa efetuada a menor no mês de DEZ/18;
* R$ 52.581,51  DEZ/18.
</t>
        </r>
      </text>
    </comment>
    <comment ref="AD819" authorId="0" shapeId="0" xr:uid="{00000000-0006-0000-0000-00007C070000}">
      <text>
        <r>
          <rPr>
            <b/>
            <sz val="9"/>
            <color rgb="FF000000"/>
            <rFont val="Tahoma"/>
            <family val="2"/>
            <charset val="1"/>
          </rPr>
          <t xml:space="preserve">REFERÊNCIA JAN/19 - LANÇADO PLANILHA GEFIC EM FEV/19
</t>
        </r>
      </text>
    </comment>
    <comment ref="AA820" authorId="0" shapeId="0" xr:uid="{00000000-0006-0000-0000-000006040000}">
      <text>
        <r>
          <rPr>
            <b/>
            <sz val="9"/>
            <color rgb="FF000000"/>
            <rFont val="Tahoma"/>
            <family val="2"/>
            <charset val="1"/>
          </rPr>
          <t xml:space="preserve">VALOR ESTIMADO PREVISTO CONTRATO GESTÃO. 
</t>
        </r>
      </text>
    </comment>
    <comment ref="AD820" authorId="0" shapeId="0" xr:uid="{00000000-0006-0000-0000-00007D070000}">
      <text>
        <r>
          <rPr>
            <b/>
            <sz val="9"/>
            <color rgb="FF000000"/>
            <rFont val="Tahoma"/>
            <family val="2"/>
            <charset val="1"/>
          </rPr>
          <t xml:space="preserve">REFERÊNCIA FEV/19 - LANÇADO PLANILHA GEFIC EM MAR19
</t>
        </r>
      </text>
    </comment>
    <comment ref="AA821" authorId="0" shapeId="0" xr:uid="{00000000-0006-0000-0000-000007040000}">
      <text>
        <r>
          <rPr>
            <b/>
            <sz val="9"/>
            <color rgb="FF000000"/>
            <rFont val="Tahoma"/>
            <family val="2"/>
            <charset val="1"/>
          </rPr>
          <t xml:space="preserve">VALOR ESTIMADO PREVISTO CONTRATO GESTÃO. 
</t>
        </r>
      </text>
    </comment>
    <comment ref="AD821" authorId="0" shapeId="0" xr:uid="{00000000-0006-0000-0000-00007E070000}">
      <text>
        <r>
          <rPr>
            <b/>
            <sz val="9"/>
            <color rgb="FF000000"/>
            <rFont val="Tahoma"/>
            <family val="2"/>
            <charset val="1"/>
          </rPr>
          <t xml:space="preserve">REFERÊNCIA MAR/19 - LANÇADO PLANILHA GEFIC EM ABR/19
</t>
        </r>
      </text>
    </comment>
    <comment ref="AA822" authorId="0" shapeId="0" xr:uid="{00000000-0006-0000-0000-000008040000}">
      <text>
        <r>
          <rPr>
            <b/>
            <sz val="9"/>
            <color rgb="FF000000"/>
            <rFont val="Tahoma"/>
            <family val="2"/>
            <charset val="1"/>
          </rPr>
          <t xml:space="preserve">VALOR ESTIMADO PREVISTO CONTRATO GESTÃO. 
</t>
        </r>
      </text>
    </comment>
    <comment ref="AD822" authorId="0" shapeId="0" xr:uid="{00000000-0006-0000-0000-00007F070000}">
      <text>
        <r>
          <rPr>
            <b/>
            <sz val="9"/>
            <color rgb="FF000000"/>
            <rFont val="Tahoma"/>
            <family val="2"/>
            <charset val="1"/>
          </rPr>
          <t xml:space="preserve">REFERÊNCIA ABR/19 - LANÇADO PLANILHA GEFIC EM MAI/19
</t>
        </r>
      </text>
    </comment>
    <comment ref="AA823" authorId="0" shapeId="0" xr:uid="{00000000-0006-0000-0000-000009040000}">
      <text>
        <r>
          <rPr>
            <b/>
            <sz val="9"/>
            <color rgb="FF000000"/>
            <rFont val="Tahoma"/>
            <family val="2"/>
            <charset val="1"/>
          </rPr>
          <t xml:space="preserve">VALOR ESTIMADO PREVISTO CONTRATO GESTÃO. 
</t>
        </r>
      </text>
    </comment>
    <comment ref="AD823" authorId="0" shapeId="0" xr:uid="{00000000-0006-0000-0000-000080070000}">
      <text>
        <r>
          <rPr>
            <b/>
            <sz val="9"/>
            <color rgb="FF000000"/>
            <rFont val="Tahoma"/>
            <family val="2"/>
            <charset val="1"/>
          </rPr>
          <t xml:space="preserve">REFERÊNCIA MAI19 - LANÇADO PLANILHA GEFIC EM JUN/19
</t>
        </r>
      </text>
    </comment>
    <comment ref="AA824" authorId="0" shapeId="0" xr:uid="{00000000-0006-0000-0000-00000A040000}">
      <text>
        <r>
          <rPr>
            <b/>
            <sz val="9"/>
            <color rgb="FF000000"/>
            <rFont val="Tahoma"/>
            <family val="2"/>
            <charset val="1"/>
          </rPr>
          <t xml:space="preserve">VALOR ESTIMADO PREVISTO CONTRATO GESTÃO. 
</t>
        </r>
      </text>
    </comment>
    <comment ref="AD824" authorId="0" shapeId="0" xr:uid="{00000000-0006-0000-0000-000081070000}">
      <text>
        <r>
          <rPr>
            <sz val="11"/>
            <color rgb="FF000000"/>
            <rFont val="Calibri"/>
            <family val="2"/>
            <charset val="1"/>
          </rPr>
          <t xml:space="preserve">REFERÊNCIA JUN/19 - LANÇADO PLANILHA PAGAMENTO GEFIC EM JUL/19
</t>
        </r>
      </text>
    </comment>
    <comment ref="AA825" authorId="0" shapeId="0" xr:uid="{00000000-0006-0000-0000-00000B040000}">
      <text>
        <r>
          <rPr>
            <b/>
            <sz val="9"/>
            <color rgb="FF000000"/>
            <rFont val="Tahoma"/>
            <family val="2"/>
            <charset val="1"/>
          </rPr>
          <t xml:space="preserve">VALOR ESTIMADO PREVISTO CONTRATO GESTÃO. 
</t>
        </r>
      </text>
    </comment>
    <comment ref="AD825" authorId="0" shapeId="0" xr:uid="{00000000-0006-0000-0000-000082070000}">
      <text>
        <r>
          <rPr>
            <sz val="11"/>
            <color rgb="FF000000"/>
            <rFont val="Calibri"/>
            <family val="2"/>
            <charset val="1"/>
          </rPr>
          <t xml:space="preserve">R$ 45.953,77 ENERGIA - REFERÊNCIA JUL/19 - LANÇADO PLANILHA PAGAMENTO GEFIC EM AGO/19;
.
R$ 41.374,15 ENERGIA - REFERÊNCIA AGO/19 - LANÇADO PLANILHA PAGAMENTO GEFIC EM SET/19.
</t>
        </r>
      </text>
    </comment>
    <comment ref="AA826" authorId="0" shapeId="0" xr:uid="{00000000-0006-0000-0000-00000C040000}">
      <text>
        <r>
          <rPr>
            <b/>
            <sz val="9"/>
            <color rgb="FF000000"/>
            <rFont val="Tahoma"/>
            <family val="2"/>
            <charset val="1"/>
          </rPr>
          <t xml:space="preserve">VALOR ESTIMADO PREVISTO CONTRATO GESTÃO. 
</t>
        </r>
      </text>
    </comment>
    <comment ref="AA827" authorId="0" shapeId="0" xr:uid="{00000000-0006-0000-0000-00000D040000}">
      <text>
        <r>
          <rPr>
            <b/>
            <sz val="9"/>
            <color rgb="FF000000"/>
            <rFont val="Tahoma"/>
            <family val="2"/>
            <charset val="1"/>
          </rPr>
          <t xml:space="preserve">VALOR ESTIMADO PREVISTO CONTRATO GESTÃO. 
</t>
        </r>
      </text>
    </comment>
    <comment ref="AD827" authorId="0" shapeId="0" xr:uid="{00000000-0006-0000-0000-000083070000}">
      <text>
        <r>
          <rPr>
            <sz val="11"/>
            <color rgb="FF000000"/>
            <rFont val="Calibri"/>
            <family val="2"/>
            <charset val="1"/>
          </rPr>
          <t xml:space="preserve">ENERGIA - REFERÊNCIA SET/19 - LANÇADO PLANILHA PAGAMENTO GEFIC EM OUT/19
</t>
        </r>
      </text>
    </comment>
    <comment ref="AA828" authorId="0" shapeId="0" xr:uid="{00000000-0006-0000-0000-00000E040000}">
      <text>
        <r>
          <rPr>
            <b/>
            <sz val="9"/>
            <color rgb="FF000000"/>
            <rFont val="Tahoma"/>
            <family val="2"/>
            <charset val="1"/>
          </rPr>
          <t xml:space="preserve">VALOR ESTIMADO PREVISTO CONTRATO GESTÃO. 
</t>
        </r>
      </text>
    </comment>
    <comment ref="AD828" authorId="0" shapeId="0" xr:uid="{00000000-0006-0000-0000-000084070000}">
      <text>
        <r>
          <rPr>
            <b/>
            <sz val="9"/>
            <color rgb="FF000000"/>
            <rFont val="Tahoma"/>
            <family val="2"/>
            <charset val="1"/>
          </rPr>
          <t>R$ 63.644,27 - ENERGIA - REFERÊNCIA OUT/19 - LANÇADO PLANILHA PAGAMENTO GEFIC EM NOV/19
.
R$ 58.735,86 ENERGIA - REFERÊNCIA NOV/19 - LANÇADO PLANILHA PAGAMENTO GEFIC EM DEZ/19</t>
        </r>
      </text>
    </comment>
    <comment ref="AA829" authorId="0" shapeId="0" xr:uid="{00000000-0006-0000-0000-00000F040000}">
      <text>
        <r>
          <rPr>
            <b/>
            <sz val="9"/>
            <color rgb="FF000000"/>
            <rFont val="Tahoma"/>
            <family val="2"/>
            <charset val="1"/>
          </rPr>
          <t xml:space="preserve">VALOR ESTIMADO PREVISTO CONTRATO GESTÃO. 
</t>
        </r>
      </text>
    </comment>
    <comment ref="AD829" authorId="0" shapeId="0" xr:uid="{00000000-0006-0000-0000-000085070000}">
      <text>
        <r>
          <rPr>
            <b/>
            <sz val="9"/>
            <color rgb="FF000000"/>
            <rFont val="Tahoma"/>
            <family val="2"/>
            <charset val="1"/>
          </rPr>
          <t>ENERGIA - REFERÊNCIA DEZ/19 - LANÇADO PLANILHA PAGAMENTO GEFIC EM JAN/20</t>
        </r>
      </text>
    </comment>
    <comment ref="AA830" authorId="0" shapeId="0" xr:uid="{00000000-0006-0000-0000-000010040000}">
      <text>
        <r>
          <rPr>
            <b/>
            <sz val="9"/>
            <color rgb="FF000000"/>
            <rFont val="Tahoma"/>
            <family val="2"/>
            <charset val="1"/>
          </rPr>
          <t xml:space="preserve">VALOR ESTIMADO PREVISTO CONTRATO GESTÃO. 
</t>
        </r>
      </text>
    </comment>
    <comment ref="AD830" authorId="0" shapeId="0" xr:uid="{00000000-0006-0000-0000-000086070000}">
      <text>
        <r>
          <rPr>
            <sz val="11"/>
            <color rgb="FF000000"/>
            <rFont val="Calibri"/>
            <family val="2"/>
            <charset val="1"/>
          </rPr>
          <t xml:space="preserve">ENERGIA - REFERÊNCIA JAN/20 - LANÇADO PLANILHA PAGAMENTO GEFIC EM FEV/20
</t>
        </r>
      </text>
    </comment>
    <comment ref="AD831" authorId="0" shapeId="0" xr:uid="{00000000-0006-0000-0000-000087070000}">
      <text>
        <r>
          <rPr>
            <sz val="11"/>
            <color rgb="FF000000"/>
            <rFont val="Calibri"/>
            <family val="2"/>
            <charset val="1"/>
          </rPr>
          <t xml:space="preserve">ENERGIA - REFERÊNCIA FEV20 - LANÇADO PLANILHA PAGAMENTO GEFIC EM MAR/20
</t>
        </r>
      </text>
    </comment>
    <comment ref="AO831" authorId="0" shapeId="0" xr:uid="{00000000-0006-0000-0000-000077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831" authorId="0" shapeId="0" xr:uid="{00000000-0006-0000-0000-0000ED090000}">
      <text>
        <r>
          <rPr>
            <sz val="11"/>
            <color rgb="FF000000"/>
            <rFont val="Calibri"/>
            <family val="2"/>
            <charset val="1"/>
          </rPr>
          <t xml:space="preserve">R$ 83.024,20 - RESSARCIMENTO DE VALORES DESPENDIDOS COM ENCARGOS DAS RESCISÕES TRABALHISTAS DO HOSPITAL ESTADUAL DE URGÊNCIAS DA REGIÃO SUDOESTE DR. ALBANIR FALEIROS/HURSO REFERENTES AO PERÍODO DE PERÍODO DE JANEIRO A OUTUBRO DE 2019, PROCESSO SEI: 201900010046948.
</t>
        </r>
        <r>
          <rPr>
            <sz val="9"/>
            <color rgb="FF000000"/>
            <rFont val="Tahoma"/>
            <family val="2"/>
            <charset val="1"/>
          </rPr>
          <t>.</t>
        </r>
      </text>
    </comment>
    <comment ref="AW831" authorId="0" shapeId="0" xr:uid="{00000000-0006-0000-0000-0000470A0000}">
      <text>
        <r>
          <rPr>
            <sz val="11"/>
            <color rgb="FF000000"/>
            <rFont val="Calibri"/>
            <family val="2"/>
            <charset val="1"/>
          </rPr>
          <t xml:space="preserve">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
</t>
        </r>
      </text>
    </comment>
    <comment ref="AD832" authorId="0" shapeId="0" xr:uid="{00000000-0006-0000-0000-000088070000}">
      <text>
        <r>
          <rPr>
            <sz val="11"/>
            <color rgb="FF000000"/>
            <rFont val="Calibri"/>
            <family val="2"/>
            <charset val="1"/>
          </rPr>
          <t xml:space="preserve">ESTIMATIVA FEV/20
</t>
        </r>
      </text>
    </comment>
    <comment ref="Z833" authorId="0" shapeId="0" xr:uid="{00000000-0006-0000-0000-0000B6020000}">
      <text>
        <r>
          <rPr>
            <sz val="11"/>
            <color rgb="FF000000"/>
            <rFont val="Calibri"/>
            <family val="2"/>
            <charset val="1"/>
          </rPr>
          <t xml:space="preserve">GLOSA DE FOLHA ABR/20 LANÇADA NA PLANILHA DE PREVISÃO DE PAGAMENTO MAI/20 DA GAOS
</t>
        </r>
      </text>
    </comment>
    <comment ref="AD833" authorId="0" shapeId="0" xr:uid="{00000000-0006-0000-0000-000089070000}">
      <text>
        <r>
          <rPr>
            <sz val="11"/>
            <color rgb="FF000000"/>
            <rFont val="Calibri"/>
            <family val="2"/>
            <charset val="1"/>
          </rPr>
          <t xml:space="preserve">REFERÊNCIA ABR/20 - LANÇADO PLANILHA PAGAMENTO GEFIC EM MAI/20
</t>
        </r>
      </text>
    </comment>
    <comment ref="AA834" authorId="0" shapeId="0" xr:uid="{00000000-0006-0000-0000-000011040000}">
      <text>
        <r>
          <rPr>
            <b/>
            <sz val="9"/>
            <color rgb="FF000000"/>
            <rFont val="Segoe UI"/>
            <family val="2"/>
            <charset val="1"/>
          </rPr>
          <t>ESTIMADO</t>
        </r>
      </text>
    </comment>
    <comment ref="AD834" authorId="0" shapeId="0" xr:uid="{00000000-0006-0000-0000-00008A070000}">
      <text>
        <r>
          <rPr>
            <sz val="11"/>
            <color rgb="FF000000"/>
            <rFont val="Calibri"/>
            <family val="2"/>
            <charset val="1"/>
          </rPr>
          <t xml:space="preserve">ENERGIA - REFERÊNCIA MAI/20 - LANÇADO PLANILHA PAGAMENTO GEFIC EM JUN/20
</t>
        </r>
      </text>
    </comment>
    <comment ref="AU834" authorId="0" shapeId="0" xr:uid="{00000000-0006-0000-0000-0000EE090000}">
      <text>
        <r>
          <rPr>
            <sz val="11"/>
            <color rgb="FF000000"/>
            <rFont val="Calibri"/>
            <family val="2"/>
            <charset val="1"/>
          </rPr>
          <t xml:space="preserve">PROC.201900010046940, RESSARCIMENTO DE VALORES DESPENDIDOS COM ENCARGOS DAS RESCISÕES TRABALHISTAS DO HOSPITAL ESTADUAL DE URGÊNCIAS DA REGIÃO SUDOESTE DR. ALBANIR FALEIROS/HURSO REFERENTES AO PERÍODO DE PERÍODO DE JANEIRO A DEZEMBRO DE 2018
</t>
        </r>
      </text>
    </comment>
    <comment ref="AA835" authorId="0" shapeId="0" xr:uid="{00000000-0006-0000-0000-000012040000}">
      <text>
        <r>
          <rPr>
            <b/>
            <sz val="9"/>
            <color rgb="FF000000"/>
            <rFont val="Segoe UI"/>
            <family val="2"/>
            <charset val="1"/>
          </rPr>
          <t>ESTIMADO</t>
        </r>
      </text>
    </comment>
    <comment ref="AD835" authorId="0" shapeId="0" xr:uid="{00000000-0006-0000-0000-00008B070000}">
      <text>
        <r>
          <rPr>
            <sz val="11"/>
            <color rgb="FF000000"/>
            <rFont val="Calibri"/>
            <family val="2"/>
            <charset val="1"/>
          </rPr>
          <t xml:space="preserve">ENERGIA - REFERÊNCIA JUN/20 - LANÇADO PLANILHA PAGAMENTO GEFIC EM JUL/20
</t>
        </r>
      </text>
    </comment>
    <comment ref="AO835" authorId="0" shapeId="0" xr:uid="{00000000-0006-0000-0000-000078090000}">
      <text>
        <r>
          <rPr>
            <b/>
            <sz val="9"/>
            <color rgb="FF000000"/>
            <rFont val="Segoe UI"/>
            <family val="2"/>
            <charset val="1"/>
          </rPr>
          <t>DIFERENÇA ENTRE O ESTIMADO E O APLICADO DA FOLHA REFERÊNCIA JUN/20 - LANÇADO PLANILHA PAGAMENTO GEFIC EM JUL/20</t>
        </r>
      </text>
    </comment>
    <comment ref="AU835" authorId="0" shapeId="0" xr:uid="{00000000-0006-0000-0000-0000EF090000}">
      <text>
        <r>
          <rPr>
            <b/>
            <sz val="9"/>
            <color rgb="FF000000"/>
            <rFont val="Segoe UI"/>
            <family val="2"/>
            <charset val="1"/>
          </rPr>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r>
      </text>
    </comment>
    <comment ref="AW835" authorId="0" shapeId="0" xr:uid="{00000000-0006-0000-0000-0000480A0000}">
      <text>
        <r>
          <rPr>
            <sz val="11"/>
            <color rgb="FF000000"/>
            <rFont val="Calibri"/>
            <family val="2"/>
            <charset val="1"/>
          </rPr>
          <t xml:space="preserve">PROCESSO 201800010042829 - AQUISIÇÃO DE 11 APARELHOS DE AR CONDICIONADO - PARA HURSO IBGH 
</t>
        </r>
      </text>
    </comment>
    <comment ref="Z836" authorId="0" shapeId="0" xr:uid="{00000000-0006-0000-0000-0000B7020000}">
      <text>
        <r>
          <rPr>
            <b/>
            <sz val="9"/>
            <color rgb="FF000000"/>
            <rFont val="Segoe UI"/>
            <family val="2"/>
            <charset val="1"/>
          </rPr>
          <t xml:space="preserve">FOLHA - REFERÊNCIA JUL/20 - LANÇADO PLANILHA PAGAMENTO GEFIC EM AGO/20.
</t>
        </r>
      </text>
    </comment>
    <comment ref="AA836" authorId="0" shapeId="0" xr:uid="{00000000-0006-0000-0000-000013040000}">
      <text>
        <r>
          <rPr>
            <b/>
            <sz val="9"/>
            <color rgb="FF000000"/>
            <rFont val="Segoe UI"/>
            <family val="2"/>
            <charset val="1"/>
          </rPr>
          <t xml:space="preserve">FOLHA - REFERÊNCIA JUL/20 - LANÇADO PLANILHA PAGAMENTO GEFIC EM AGO/20.
</t>
        </r>
      </text>
    </comment>
    <comment ref="AD836" authorId="0" shapeId="0" xr:uid="{00000000-0006-0000-0000-00008C070000}">
      <text>
        <r>
          <rPr>
            <sz val="11"/>
            <color rgb="FF000000"/>
            <rFont val="Calibri"/>
            <family val="2"/>
            <charset val="1"/>
          </rPr>
          <t xml:space="preserve">ENERGIA - REFERÊNCIA JUL/20 - LANÇADO PLANILHA PAGAMENTO GEFIC EM AGO/20
</t>
        </r>
      </text>
    </comment>
    <comment ref="Z837" authorId="0" shapeId="0" xr:uid="{00000000-0006-0000-0000-0000B8020000}">
      <text>
        <r>
          <rPr>
            <b/>
            <sz val="9"/>
            <color rgb="FF000000"/>
            <rFont val="Segoe UI"/>
            <family val="2"/>
            <charset val="1"/>
          </rPr>
          <t xml:space="preserve">FOLHA - REFERÊNCIA AGO/20 - LANÇADO PLANILHA PAGAMENTO GEFIC EM SET/20.
</t>
        </r>
      </text>
    </comment>
    <comment ref="AA837" authorId="0" shapeId="0" xr:uid="{00000000-0006-0000-0000-000014040000}">
      <text>
        <r>
          <rPr>
            <b/>
            <sz val="9"/>
            <color rgb="FF000000"/>
            <rFont val="Segoe UI"/>
            <family val="2"/>
            <charset val="1"/>
          </rPr>
          <t xml:space="preserve">FOLHA - REFERÊNCIA AGO/20 - LANÇADO PLANILHA PAGAMENTO GEFIC EM SET/20.
</t>
        </r>
      </text>
    </comment>
    <comment ref="AD837" authorId="0" shapeId="0" xr:uid="{00000000-0006-0000-0000-00008D070000}">
      <text>
        <r>
          <rPr>
            <sz val="11"/>
            <color rgb="FF000000"/>
            <rFont val="Calibri"/>
            <family val="2"/>
            <charset val="1"/>
          </rPr>
          <t xml:space="preserve">ENERGIA - REFERÊNCIA AGO/20 - LANÇADO PLANILHA PAGAMENTO GEFIC EM SET/20
</t>
        </r>
      </text>
    </comment>
    <comment ref="AW837" authorId="0" shapeId="0" xr:uid="{00000000-0006-0000-0000-0000490A0000}">
      <text>
        <r>
          <rPr>
            <sz val="11"/>
            <color rgb="FF000000"/>
            <rFont val="Calibri"/>
            <family val="2"/>
            <charset val="1"/>
          </rPr>
          <t xml:space="preserve">PROC.201900010048832 -INVESTIMENTO,SISTEMAS DE GESTÃO HOSPITALAR 
3-Implantação do Cloud - HURSO
</t>
        </r>
      </text>
    </comment>
    <comment ref="Z838" authorId="0" shapeId="0" xr:uid="{00000000-0006-0000-0000-0000B9020000}">
      <text>
        <r>
          <rPr>
            <b/>
            <sz val="9"/>
            <color rgb="FF000000"/>
            <rFont val="Segoe UI"/>
            <family val="2"/>
            <charset val="1"/>
          </rPr>
          <t xml:space="preserve">FOLHA - REFERÊNCIA SET/20 - LANÇADO PLANILHA PAGAMENTO GEFIC EM OUT/20 
</t>
        </r>
      </text>
    </comment>
    <comment ref="AA838" authorId="0" shapeId="0" xr:uid="{00000000-0006-0000-0000-000015040000}">
      <text>
        <r>
          <rPr>
            <b/>
            <sz val="9"/>
            <color rgb="FF000000"/>
            <rFont val="Segoe UI"/>
            <family val="2"/>
            <charset val="1"/>
          </rPr>
          <t xml:space="preserve">FOLHA - REFERÊNCIA SET/20 - LANÇADO PLANILHA PAGAMENTO GEFIC EM OUT/20 
</t>
        </r>
      </text>
    </comment>
    <comment ref="AD838" authorId="0" shapeId="0" xr:uid="{00000000-0006-0000-0000-00008E070000}">
      <text>
        <r>
          <rPr>
            <sz val="11"/>
            <color rgb="FF000000"/>
            <rFont val="Calibri"/>
            <family val="2"/>
            <charset val="1"/>
          </rPr>
          <t xml:space="preserve">ENERGIA - REFERÊNCIA SET/20 - LANÇADO PLANILHA PAGAMENTO GEFIC EM OUT/20
</t>
        </r>
      </text>
    </comment>
    <comment ref="Z839" authorId="0" shapeId="0" xr:uid="{00000000-0006-0000-0000-0000BA020000}">
      <text>
        <r>
          <rPr>
            <b/>
            <sz val="9"/>
            <color rgb="FF000000"/>
            <rFont val="Segoe UI"/>
            <family val="2"/>
            <charset val="1"/>
          </rPr>
          <t xml:space="preserve">FOLHA - REFERÊNCIA OUT/20 - LANÇADO PLANILHA PAGAMENTO GEFIC EM NOV/20.
</t>
        </r>
      </text>
    </comment>
    <comment ref="AA839" authorId="0" shapeId="0" xr:uid="{00000000-0006-0000-0000-000016040000}">
      <text>
        <r>
          <rPr>
            <b/>
            <sz val="9"/>
            <color rgb="FF000000"/>
            <rFont val="Segoe UI"/>
            <family val="2"/>
            <charset val="1"/>
          </rPr>
          <t xml:space="preserve">FOLHA - REFERÊNCIA OUT/20 - LANÇADO PLANILHA PAGAMENTO GEFIC EM NOV/20.
</t>
        </r>
      </text>
    </comment>
    <comment ref="AD839" authorId="0" shapeId="0" xr:uid="{00000000-0006-0000-0000-00008F070000}">
      <text>
        <r>
          <rPr>
            <sz val="11"/>
            <color rgb="FF000000"/>
            <rFont val="Calibri"/>
            <family val="2"/>
            <charset val="1"/>
          </rPr>
          <t xml:space="preserve">ENERGIA - REFERÊNCIA OUT/20 - LANÇADO PLANILHA PAGAMENTO GEFIC EM NOV/20
</t>
        </r>
      </text>
    </comment>
    <comment ref="Z840" authorId="0" shapeId="0" xr:uid="{00000000-0006-0000-0000-0000BB020000}">
      <text>
        <r>
          <rPr>
            <b/>
            <sz val="9"/>
            <color rgb="FF000000"/>
            <rFont val="Segoe UI"/>
            <family val="2"/>
            <charset val="1"/>
          </rPr>
          <t xml:space="preserve">FOLHA - REFERÊNCIA NOV/20 - LANÇADO PLANILHA PAGAMENTO GEFIC EM DEZ/20.
</t>
        </r>
      </text>
    </comment>
    <comment ref="AA840" authorId="0" shapeId="0" xr:uid="{00000000-0006-0000-0000-000017040000}">
      <text>
        <r>
          <rPr>
            <b/>
            <sz val="9"/>
            <color rgb="FF000000"/>
            <rFont val="Segoe UI"/>
            <family val="2"/>
            <charset val="1"/>
          </rPr>
          <t xml:space="preserve">FOLHA - REFERÊNCIA NOV/20 - LANÇADO PLANILHA PAGAMENTO GEFIC EM DEZ/20.
</t>
        </r>
      </text>
    </comment>
    <comment ref="AD840" authorId="0" shapeId="0" xr:uid="{00000000-0006-0000-0000-000090070000}">
      <text>
        <r>
          <rPr>
            <sz val="11"/>
            <color rgb="FF000000"/>
            <rFont val="Calibri"/>
            <family val="2"/>
            <charset val="1"/>
          </rPr>
          <t xml:space="preserve">ENERGIA - LANÇADO PLANILHA PAGAMENTO GEFIC EM DEZ/20
.
NOV/20..........................R$24.602,09
DEZ/20..........................R$ 57.678,13
</t>
        </r>
        <r>
          <rPr>
            <sz val="9"/>
            <color rgb="FF000000"/>
            <rFont val="Segoe UI"/>
            <family val="2"/>
            <charset val="1"/>
          </rPr>
          <t xml:space="preserve">
</t>
        </r>
      </text>
    </comment>
    <comment ref="AW840" authorId="0" shapeId="0" xr:uid="{00000000-0006-0000-0000-00004A0A0000}">
      <text>
        <r>
          <rPr>
            <sz val="11"/>
            <color rgb="FF000000"/>
            <rFont val="Calibri"/>
            <family val="2"/>
            <charset val="1"/>
          </rPr>
          <t xml:space="preserve">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
</t>
        </r>
      </text>
    </comment>
    <comment ref="Z841" authorId="0" shapeId="0" xr:uid="{00000000-0006-0000-0000-0000BC020000}">
      <text>
        <r>
          <rPr>
            <sz val="11"/>
            <color rgb="FF000000"/>
            <rFont val="Calibri"/>
            <family val="2"/>
            <charset val="1"/>
          </rPr>
          <t xml:space="preserve">FOLHA - REFERÊNCIA DEZ/20- LANÇADO PLANILHA PAGAMENTO GEFIC EM JAN/21.
</t>
        </r>
      </text>
    </comment>
    <comment ref="AA841" authorId="0" shapeId="0" xr:uid="{00000000-0006-0000-0000-000018040000}">
      <text>
        <r>
          <rPr>
            <sz val="11"/>
            <color rgb="FF000000"/>
            <rFont val="Calibri"/>
            <family val="2"/>
            <charset val="1"/>
          </rPr>
          <t xml:space="preserve">FOLHA - REFERÊNCIA DEZ/20- LANÇADO PLANILHA PAGAMENTO GEFIC EM JAN/21.
</t>
        </r>
      </text>
    </comment>
    <comment ref="AF841" authorId="0" shapeId="0" xr:uid="{00000000-0006-0000-0000-00001D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41" authorId="0" shapeId="0" xr:uid="{00000000-0006-0000-0000-0000040A0000}">
      <text>
        <r>
          <rPr>
            <sz val="11"/>
            <color rgb="FF000000"/>
            <rFont val="Calibri"/>
            <family val="2"/>
            <charset val="1"/>
          </rPr>
          <t xml:space="preserve">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
</t>
        </r>
      </text>
    </comment>
    <comment ref="AX843" authorId="0" shapeId="0" xr:uid="{00000000-0006-0000-0000-0000B70A0000}">
      <text>
        <r>
          <rPr>
            <sz val="11"/>
            <color rgb="FF000000"/>
            <rFont val="Calibri"/>
            <family val="2"/>
            <charset val="1"/>
          </rPr>
          <t xml:space="preserve">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t>
        </r>
      </text>
    </comment>
    <comment ref="AX844" authorId="0" shapeId="0" xr:uid="{00000000-0006-0000-0000-0000B80A0000}">
      <text>
        <r>
          <rPr>
            <sz val="11"/>
            <color rgb="FF000000"/>
            <rFont val="Calibri"/>
            <family val="2"/>
            <charset val="1"/>
          </rPr>
          <t xml:space="preserve">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t>
        </r>
      </text>
    </comment>
    <comment ref="E845" authorId="0" shapeId="0" xr:uid="{00000000-0006-0000-0000-000027000000}">
      <text>
        <r>
          <rPr>
            <sz val="9"/>
            <color rgb="FF000000"/>
            <rFont val="Segoe UI"/>
            <family val="2"/>
            <charset val="1"/>
          </rPr>
          <t xml:space="preserve">VIGÊNCIA 180 DIAS A PARTIR DA OUTORGA, 23/03/21
</t>
        </r>
      </text>
    </comment>
    <comment ref="AX845" authorId="0" shapeId="0" xr:uid="{00000000-0006-0000-0000-0000B90A0000}">
      <text>
        <r>
          <rPr>
            <sz val="11"/>
            <color rgb="FF000000"/>
            <rFont val="Calibri"/>
            <family val="2"/>
            <charset val="1"/>
          </rPr>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
O). DOCUMENTAÇÃO:CONFORME: REQUISIÇÃO DE DESPESA N° 88/2021 SUPER - 03082,DESPACHO Nº 1085/
2021 -SUPER-03082, DESPACHO Nº 370/2021 - GERINT- 1834, DESPACHO Nº 2865/202
1 - SGI- 03079, ANEXO II, DESPACHO Nº 00650/2021, PROC.202100010005142
.
R$ 49.216,00 -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VALORHURSO/UTI-COVID/11/03/2021 a 13/03/2021.
</t>
        </r>
        <r>
          <rPr>
            <sz val="9"/>
            <color rgb="FF000000"/>
            <rFont val="Tahoma"/>
            <family val="2"/>
            <charset val="1"/>
          </rPr>
          <t xml:space="preserve">.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.VALORHURSO/UTI-COVID/14/03/2021 a 22/03/2021.
.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...VALORHURSO/UTI-COVID/23/03/2021 a 31/03/2021.
</t>
        </r>
      </text>
    </comment>
    <comment ref="Z846" authorId="0" shapeId="0" xr:uid="{00000000-0006-0000-0000-0000BD020000}">
      <text>
        <r>
          <rPr>
            <sz val="11"/>
            <color rgb="FF000000"/>
            <rFont val="Calibri"/>
            <family val="2"/>
            <charset val="1"/>
          </rPr>
          <t xml:space="preserve">FOLHA - REFERÊNCIA MAR/21- LANÇADO PLANILHA PAGAMENTO GEFIC EM ABR/21.
</t>
        </r>
      </text>
    </comment>
    <comment ref="AA846" authorId="0" shapeId="0" xr:uid="{00000000-0006-0000-0000-000019040000}">
      <text>
        <r>
          <rPr>
            <sz val="11"/>
            <color rgb="FF000000"/>
            <rFont val="Calibri"/>
            <family val="2"/>
            <charset val="1"/>
          </rPr>
          <t xml:space="preserve">FOLHA - REFERÊNCIA MAR/21- LANÇADO PLANILHA PAGAMENTO GEFIC EM ABR/21.
</t>
        </r>
      </text>
    </comment>
    <comment ref="AD846" authorId="0" shapeId="0" xr:uid="{00000000-0006-0000-0000-000091070000}">
      <text>
        <r>
          <rPr>
            <sz val="11"/>
            <color rgb="FF000000"/>
            <rFont val="Calibri"/>
            <family val="2"/>
            <charset val="1"/>
          </rPr>
          <t xml:space="preserve">
CELG MAR/21 LANÇADO NA PLANILHA DE ABR/21
</t>
        </r>
      </text>
    </comment>
    <comment ref="AX846" authorId="0" shapeId="0" xr:uid="{00000000-0006-0000-0000-0000BA0A0000}">
      <text>
        <r>
          <rPr>
            <b/>
            <sz val="9"/>
            <color rgb="FF000000"/>
            <rFont val="Tahoma"/>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.VALORHURSO/UTI-COVID/01/04/2021 a 30/04/2021...........R$797.004,00
</t>
        </r>
      </text>
    </comment>
    <comment ref="Z847" authorId="0" shapeId="0" xr:uid="{00000000-0006-0000-0000-0000BE02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A847" authorId="0" shapeId="0" xr:uid="{00000000-0006-0000-0000-00001A04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D847" authorId="0" shapeId="0" xr:uid="{00000000-0006-0000-0000-000092070000}">
      <text>
        <r>
          <rPr>
            <sz val="11"/>
            <color rgb="FF000000"/>
            <rFont val="Calibri"/>
            <family val="2"/>
            <charset val="1"/>
          </rPr>
          <t xml:space="preserve">CELG LANÇADA NA PLANILHA DE MAR/21:
.
DIAS VIGENTES DE JAN/21.......................R$ 10.223,05
FEVEREIRO/21..................................................R$ 48.629,16
.
CELG ABR/21 LANÇADO NA PLANILHA DE MAI/21.............................R$ 53.525,66
</t>
        </r>
      </text>
    </comment>
    <comment ref="AW847" authorId="0" shapeId="0" xr:uid="{00000000-0006-0000-0000-00004B0A0000}">
      <text>
        <r>
          <rPr>
            <sz val="11"/>
            <color rgb="FF000000"/>
            <rFont val="Calibri"/>
            <family val="2"/>
            <charset val="1"/>
          </rPr>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r>
      </text>
    </comment>
    <comment ref="AX847" authorId="0" shapeId="0" xr:uid="{00000000-0006-0000-0000-0000BB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.VALORHURSO/UTI-COVID/01/05/2021 a 31/05/2021..........R$797.004,00
</t>
        </r>
      </text>
    </comment>
    <comment ref="Z848" authorId="0" shapeId="0" xr:uid="{00000000-0006-0000-0000-0000BF020000}">
      <text>
        <r>
          <rPr>
            <sz val="11"/>
            <color rgb="FF000000"/>
            <rFont val="Calibri"/>
            <family val="2"/>
            <charset val="1"/>
          </rPr>
          <t xml:space="preserve">FOLHA - REFERÊNCIA MAI/21- LANÇADO PLANILHA PAGAMENTO GEFIC EM JUN/21.
</t>
        </r>
      </text>
    </comment>
    <comment ref="AA848" authorId="0" shapeId="0" xr:uid="{00000000-0006-0000-0000-00001B040000}">
      <text>
        <r>
          <rPr>
            <sz val="11"/>
            <color rgb="FF000000"/>
            <rFont val="Calibri"/>
            <family val="2"/>
            <charset val="1"/>
          </rPr>
          <t xml:space="preserve">FOLHA - REFERÊNCIA MAI/21- LANÇADO PLANILHA PAGAMENTO GEFIC EM JUN/21.
</t>
        </r>
      </text>
    </comment>
    <comment ref="AD848" authorId="0" shapeId="0" xr:uid="{00000000-0006-0000-0000-000093070000}">
      <text>
        <r>
          <rPr>
            <sz val="11"/>
            <color rgb="FF000000"/>
            <rFont val="Calibri"/>
            <family val="2"/>
            <charset val="1"/>
          </rPr>
          <t xml:space="preserve">CELG MA/21 LANÇADO NA PLANILHA DE JUN/21
</t>
        </r>
      </text>
    </comment>
    <comment ref="AX848" authorId="0" shapeId="0" xr:uid="{00000000-0006-0000-0000-0000BC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.VALORHURSO/UTI-COVID/01/06/2021 a 30/06/2021..........R$797.004,00
</t>
        </r>
      </text>
    </comment>
    <comment ref="Z849" authorId="0" shapeId="0" xr:uid="{00000000-0006-0000-0000-0000C0020000}">
      <text>
        <r>
          <rPr>
            <sz val="11"/>
            <color rgb="FF000000"/>
            <rFont val="Calibri"/>
            <family val="2"/>
            <charset val="1"/>
          </rPr>
          <t xml:space="preserve">FOLHA - REFERÊNCIA JUN/21- LANÇADO PLANILHA PAGAMENTO GEFIC EM JUL/21.
</t>
        </r>
      </text>
    </comment>
    <comment ref="AA849" authorId="0" shapeId="0" xr:uid="{00000000-0006-0000-0000-00001C040000}">
      <text>
        <r>
          <rPr>
            <sz val="11"/>
            <color rgb="FF000000"/>
            <rFont val="Calibri"/>
            <family val="2"/>
            <charset val="1"/>
          </rPr>
          <t xml:space="preserve">FOLHA - REFERÊNCIA JUN/21- LANÇADO PLANILHA PAGAMENTO GEFIC EM JUL/21.
</t>
        </r>
      </text>
    </comment>
    <comment ref="AD849" authorId="0" shapeId="0" xr:uid="{00000000-0006-0000-0000-000094070000}">
      <text>
        <r>
          <rPr>
            <sz val="11"/>
            <color rgb="FF000000"/>
            <rFont val="Calibri"/>
            <family val="2"/>
            <charset val="1"/>
          </rPr>
          <t xml:space="preserve">CELG JUN/21 LANÇADO NA PLANILHA DE JUL/21
</t>
        </r>
      </text>
    </comment>
    <comment ref="AX849" authorId="0" shapeId="0" xr:uid="{00000000-0006-0000-0000-0000BD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r>
      </text>
    </comment>
    <comment ref="Z850" authorId="0" shapeId="0" xr:uid="{00000000-0006-0000-0000-0000C1020000}">
      <text>
        <r>
          <rPr>
            <sz val="11"/>
            <color rgb="FF000000"/>
            <rFont val="Calibri"/>
            <family val="2"/>
            <charset val="1"/>
          </rPr>
          <t xml:space="preserve">FOLHA - REFERÊNCIA JUL/21- LANÇADO PLANILHA PAGAMENTO GEFIC EM AGO/21.
</t>
        </r>
      </text>
    </comment>
    <comment ref="AA850" authorId="0" shapeId="0" xr:uid="{00000000-0006-0000-0000-00001D040000}">
      <text>
        <r>
          <rPr>
            <sz val="11"/>
            <color rgb="FF000000"/>
            <rFont val="Calibri"/>
            <family val="2"/>
            <charset val="1"/>
          </rPr>
          <t xml:space="preserve">FOLHA - REFERÊNCIA JUL/21- LANÇADO PLANILHA PAGAMENTO GEFIC EM AGO/21.
</t>
        </r>
      </text>
    </comment>
    <comment ref="AD850" authorId="0" shapeId="0" xr:uid="{00000000-0006-0000-0000-000095070000}">
      <text>
        <r>
          <rPr>
            <sz val="11"/>
            <color rgb="FF000000"/>
            <rFont val="Calibri"/>
            <family val="2"/>
            <charset val="1"/>
          </rPr>
          <t xml:space="preserve">CELG JUL/21 LANÇADO NA PLANILHA DE AGO/21
</t>
        </r>
      </text>
    </comment>
    <comment ref="AX850" authorId="0" shapeId="0" xr:uid="{00000000-0006-0000-0000-0000BE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r>
      </text>
    </comment>
    <comment ref="E851" authorId="0" shapeId="0" xr:uid="{00000000-0006-0000-0000-000028000000}">
      <text>
        <r>
          <rPr>
            <b/>
            <sz val="9"/>
            <color rgb="FF000000"/>
            <rFont val="Segoe UI"/>
            <family val="2"/>
            <charset val="1"/>
          </rPr>
          <t>VIGÊNCIA 180 DIAS A PARTIR DA OUTORGA, 23/03/21</t>
        </r>
      </text>
    </comment>
    <comment ref="E853" authorId="0" shapeId="0" xr:uid="{00000000-0006-0000-0000-000029000000}">
      <text>
        <r>
          <rPr>
            <b/>
            <sz val="9"/>
            <color rgb="FF000000"/>
            <rFont val="Tahoma"/>
            <family val="2"/>
            <charset val="1"/>
          </rPr>
          <t xml:space="preserve">VIGÊNCIA A PARTIR DA PUBLICAÇÃO 06/11/17
</t>
        </r>
      </text>
    </comment>
    <comment ref="Y853" authorId="0" shapeId="0" xr:uid="{00000000-0006-0000-0000-000030020000}">
      <text>
        <r>
          <rPr>
            <b/>
            <sz val="9"/>
            <color rgb="FF000000"/>
            <rFont val="Tahoma"/>
            <family val="2"/>
            <charset val="1"/>
          </rPr>
          <t xml:space="preserve">Repassado valor da parcela na sua totalidade (vigência a partir da publicação 06/11/17).
</t>
        </r>
      </text>
    </comment>
    <comment ref="Y854" authorId="0" shapeId="0" xr:uid="{00000000-0006-0000-0000-000031020000}">
      <text>
        <r>
          <rPr>
            <b/>
            <sz val="9"/>
            <color rgb="FF000000"/>
            <rFont val="Tahoma"/>
            <family val="2"/>
            <charset val="1"/>
          </rPr>
          <t>Foi efetuada a compensação do valor correspontende a diferença de 05 dias, visto o pagamento integral da  parcela de NOV/17 (vigência contratual ocorreu a partir de 06/11/17).</t>
        </r>
      </text>
    </comment>
    <comment ref="AE864" authorId="0" shapeId="0" xr:uid="{00000000-0006-0000-0000-0000B6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text>
    </comment>
    <comment ref="AE865" authorId="0" shapeId="0" xr:uid="{00000000-0006-0000-0000-0000B7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r>
          <rPr>
            <sz val="9"/>
            <color rgb="FF000000"/>
            <rFont val="Tahoma"/>
            <family val="2"/>
            <charset val="1"/>
          </rPr>
          <t>.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E866" authorId="0" shapeId="0" xr:uid="{00000000-0006-0000-0000-0000B8080000}">
      <text>
        <r>
          <rPr>
            <sz val="11"/>
            <color rgb="FF000000"/>
            <rFont val="Calibri"/>
            <family val="2"/>
            <charset val="1"/>
          </rPr>
          <t xml:space="preserve">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
</t>
        </r>
      </text>
    </comment>
    <comment ref="AD867" authorId="0" shapeId="0" xr:uid="{00000000-0006-0000-0000-000096070000}">
      <text>
        <r>
          <rPr>
            <b/>
            <sz val="9"/>
            <color rgb="FF000000"/>
            <rFont val="Tahoma"/>
            <family val="2"/>
            <charset val="1"/>
          </rPr>
          <t xml:space="preserve">ENEL - DEZ/18
</t>
        </r>
      </text>
    </comment>
    <comment ref="AE878" authorId="0" shapeId="0" xr:uid="{00000000-0006-0000-0000-0000B9080000}">
      <text>
        <r>
          <rPr>
            <sz val="9"/>
            <color rgb="FF000000"/>
            <rFont val="Tahoma"/>
            <family val="2"/>
            <charset val="1"/>
          </rPr>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W878" authorId="0" shapeId="0" xr:uid="{00000000-0006-0000-0000-00004C0A0000}">
      <text>
        <r>
          <rPr>
            <sz val="11"/>
            <color rgb="FF000000"/>
            <rFont val="Calibri"/>
            <family val="2"/>
            <charset val="1"/>
          </rPr>
          <t xml:space="preserve">INVESTIMENTO, REFERENTE AO PROCESSO 201900010027948, PARA AQUISIÇÃO DE (03) TRÊS UNIDADES DO EQUIPAMENTO MÉDICO HOSPITALAR - FOCO CIRÚRGICO DE TETO.
</t>
        </r>
      </text>
    </comment>
    <comment ref="AA879" authorId="0" shapeId="0" xr:uid="{00000000-0006-0000-0000-00001E040000}">
      <text>
        <r>
          <rPr>
            <sz val="11"/>
            <color rgb="FF000000"/>
            <rFont val="Calibri"/>
            <family val="2"/>
            <charset val="1"/>
          </rPr>
          <t xml:space="preserve">GLOSA FOLHA - REFERÊNCIA NOV/19 - LANÇADO PLANILHA PAGAMENTO GEFIC EM DEZ/19
.
</t>
        </r>
        <r>
          <rPr>
            <sz val="9"/>
            <color rgb="FF000000"/>
            <rFont val="Tahoma"/>
            <family val="2"/>
            <charset val="1"/>
          </rPr>
          <t xml:space="preserve">
</t>
        </r>
      </text>
    </comment>
    <comment ref="AA880" authorId="0" shapeId="0" xr:uid="{00000000-0006-0000-0000-00001F040000}">
      <text>
        <r>
          <rPr>
            <sz val="11"/>
            <color rgb="FF000000"/>
            <rFont val="Calibri"/>
            <family val="2"/>
            <charset val="1"/>
          </rPr>
          <t xml:space="preserve">.
GLOSA ESTIMADE DE FOLHA DEZ/19 R$ 6.615,89
</t>
        </r>
      </text>
    </comment>
    <comment ref="AU880" authorId="0" shapeId="0" xr:uid="{00000000-0006-0000-0000-0000F0090000}">
      <text>
        <r>
          <rPr>
            <sz val="11"/>
            <color rgb="FF000000"/>
            <rFont val="Calibri"/>
            <family val="2"/>
            <charset val="1"/>
          </rPr>
          <t xml:space="preserve">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t>
        </r>
        <r>
          <rPr>
            <sz val="9"/>
            <color rgb="FF000000"/>
            <rFont val="Tahoma"/>
            <family val="2"/>
            <charset val="1"/>
          </rPr>
          <t>.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r>
      </text>
    </comment>
    <comment ref="AA881" authorId="0" shapeId="0" xr:uid="{00000000-0006-0000-0000-000020040000}">
      <text>
        <r>
          <rPr>
            <sz val="11"/>
            <color rgb="FF000000"/>
            <rFont val="Calibri"/>
            <family val="2"/>
            <charset val="1"/>
          </rPr>
          <t xml:space="preserve">.
GLOSA ESTIMADE DE FOLHA DEZ/19 R$ 6.615,89
</t>
        </r>
      </text>
    </comment>
    <comment ref="AB881" authorId="0" shapeId="0" xr:uid="{00000000-0006-0000-0000-0000A4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W881" authorId="0" shapeId="0" xr:uid="{00000000-0006-0000-0000-00004D0A0000}">
      <text>
        <r>
          <rPr>
            <sz val="11"/>
            <color rgb="FF000000"/>
            <rFont val="Calibri"/>
            <family val="2"/>
            <charset val="1"/>
          </rPr>
          <t xml:space="preserve">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
</t>
        </r>
      </text>
    </comment>
    <comment ref="AA882" authorId="0" shapeId="0" xr:uid="{00000000-0006-0000-0000-000021040000}">
      <text>
        <r>
          <rPr>
            <sz val="11"/>
            <color rgb="FF000000"/>
            <rFont val="Calibri"/>
            <family val="2"/>
            <charset val="1"/>
          </rPr>
          <t xml:space="preserve">.
GLOSA ESTIMADE DE FOLHA DEZ/19 R$ 6.615,89
</t>
        </r>
      </text>
    </comment>
    <comment ref="AB882" authorId="0" shapeId="0" xr:uid="{00000000-0006-0000-0000-0000A5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883" authorId="0" shapeId="0" xr:uid="{00000000-0006-0000-0000-0000C2020000}">
      <text>
        <r>
          <rPr>
            <sz val="11"/>
            <color rgb="FF000000"/>
            <rFont val="Calibri"/>
            <family val="2"/>
            <charset val="1"/>
          </rPr>
          <t xml:space="preserve">GLOSA DE FOLHA ABR/20 LANÇADA NA PLANILHA DE PREVISÃO DE PAGAMENTO MAI/20 DA GAOS
</t>
        </r>
      </text>
    </comment>
    <comment ref="AB883" authorId="0" shapeId="0" xr:uid="{00000000-0006-0000-0000-0000A6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A884" authorId="0" shapeId="0" xr:uid="{00000000-0006-0000-0000-000022040000}">
      <text>
        <r>
          <rPr>
            <sz val="11"/>
            <color rgb="FF000000"/>
            <rFont val="Calibri"/>
            <family val="2"/>
            <charset val="1"/>
          </rPr>
          <t xml:space="preserve">ESTIMADO
</t>
        </r>
      </text>
    </comment>
    <comment ref="AD884" authorId="0" shapeId="0" xr:uid="{00000000-0006-0000-0000-000097070000}">
      <text>
        <r>
          <rPr>
            <sz val="11"/>
            <color rgb="FF000000"/>
            <rFont val="Calibri"/>
            <family val="2"/>
            <charset val="1"/>
          </rPr>
          <t xml:space="preserve">REFERÊNCIA ABR/20 - LANÇADO PLANILHA PAGAMENTO GEFIC EM MAI/20
</t>
        </r>
      </text>
    </comment>
    <comment ref="AU884" authorId="0" shapeId="0" xr:uid="{00000000-0006-0000-0000-0000F1090000}">
      <text>
        <r>
          <rPr>
            <sz val="11"/>
            <color rgb="FF000000"/>
            <rFont val="Calibri"/>
            <family val="2"/>
            <charset val="1"/>
          </rPr>
          <t xml:space="preserve">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
</t>
        </r>
      </text>
    </comment>
    <comment ref="AA885" authorId="0" shapeId="0" xr:uid="{00000000-0006-0000-0000-000023040000}">
      <text>
        <r>
          <rPr>
            <sz val="11"/>
            <color rgb="FF000000"/>
            <rFont val="Calibri"/>
            <family val="2"/>
            <charset val="1"/>
          </rPr>
          <t xml:space="preserve">ESTIMADO
</t>
        </r>
      </text>
    </comment>
    <comment ref="AB885" authorId="0" shapeId="0" xr:uid="{00000000-0006-0000-0000-0000A7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W885" authorId="0" shapeId="0" xr:uid="{00000000-0006-0000-0000-00004E0A0000}">
      <text>
        <r>
          <rPr>
            <sz val="11"/>
            <color rgb="FF000000"/>
            <rFont val="Calibri"/>
            <family val="2"/>
            <charset val="1"/>
          </rPr>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r>
      </text>
    </comment>
    <comment ref="Z886" authorId="0" shapeId="0" xr:uid="{00000000-0006-0000-0000-0000C3020000}">
      <text>
        <r>
          <rPr>
            <b/>
            <sz val="9"/>
            <color rgb="FF000000"/>
            <rFont val="Segoe UI"/>
            <family val="2"/>
            <charset val="1"/>
          </rPr>
          <t xml:space="preserve">FOLHA - REFERÊNCIA JUL/20 - LANÇADO PLANILHA PAGAMENTO GEFIC EM AGO/20.
</t>
        </r>
      </text>
    </comment>
    <comment ref="AA886" authorId="0" shapeId="0" xr:uid="{00000000-0006-0000-0000-000024040000}">
      <text>
        <r>
          <rPr>
            <b/>
            <sz val="9"/>
            <color rgb="FF000000"/>
            <rFont val="Segoe UI"/>
            <family val="2"/>
            <charset val="1"/>
          </rPr>
          <t xml:space="preserve">FOLHA - REFERÊNCIA JUL/20 - LANÇADO PLANILHA PAGAMENTO GEFIC EM AGO/20.
</t>
        </r>
      </text>
    </comment>
    <comment ref="AB886" authorId="0" shapeId="0" xr:uid="{00000000-0006-0000-0000-0000A8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886" authorId="0" shapeId="0" xr:uid="{00000000-0006-0000-0000-000098070000}">
      <text>
        <r>
          <rPr>
            <sz val="11"/>
            <color rgb="FF000000"/>
            <rFont val="Calibri"/>
            <family val="2"/>
            <charset val="1"/>
          </rPr>
          <t xml:space="preserve">R$ 8.533,16 - ENERGIA - REFERÊNCIA JUN/20 - LANÇADO PLANILHA PAGAMENTO GEFIC EM JUL/20
</t>
        </r>
        <r>
          <rPr>
            <sz val="9"/>
            <color rgb="FF000000"/>
            <rFont val="Segoe UI"/>
            <family val="2"/>
            <charset val="1"/>
          </rPr>
          <t>.
R$ 9.182,62 - ENERGIA - REFERÊNCIA JUL/20 - LANÇADO PLANILHA PAGAMENTO GEFIC EM AGO/20</t>
        </r>
      </text>
    </comment>
    <comment ref="F887" authorId="0" shapeId="0" xr:uid="{00000000-0006-0000-0000-000078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7" authorId="0" shapeId="0" xr:uid="{00000000-0006-0000-0000-0000C4020000}">
      <text>
        <r>
          <rPr>
            <b/>
            <sz val="9"/>
            <color rgb="FF000000"/>
            <rFont val="Segoe UI"/>
            <family val="2"/>
            <charset val="1"/>
          </rPr>
          <t xml:space="preserve">FOLHA - REFERÊNCIA AGO/20 - LANÇADO PLANILHA PAGAMENTO GEFIC EM SET/20.
</t>
        </r>
      </text>
    </comment>
    <comment ref="AA887" authorId="0" shapeId="0" xr:uid="{00000000-0006-0000-0000-000025040000}">
      <text>
        <r>
          <rPr>
            <b/>
            <sz val="9"/>
            <color rgb="FF000000"/>
            <rFont val="Segoe UI"/>
            <family val="2"/>
            <charset val="1"/>
          </rPr>
          <t xml:space="preserve">FOLHA - REFERÊNCIA AGO/20 - LANÇADO PLANILHA PAGAMENTO GEFIC EM SET/20.
</t>
        </r>
      </text>
    </comment>
    <comment ref="AD887" authorId="0" shapeId="0" xr:uid="{00000000-0006-0000-0000-000099070000}">
      <text>
        <r>
          <rPr>
            <sz val="11"/>
            <color rgb="FF000000"/>
            <rFont val="Calibri"/>
            <family val="2"/>
            <charset val="1"/>
          </rPr>
          <t xml:space="preserve">ENERGIA - REFERÊNCIA AGO/20 - LANÇADO PLANILHA PAGAMENTO GEFIC EM SET/20
</t>
        </r>
      </text>
    </comment>
    <comment ref="AU887" authorId="0" shapeId="0" xr:uid="{00000000-0006-0000-0000-0000F2090000}">
      <text>
        <r>
          <rPr>
            <sz val="11"/>
            <color rgb="FF000000"/>
            <rFont val="Calibri"/>
            <family val="2"/>
            <charset val="1"/>
          </rPr>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r>
      </text>
    </comment>
    <comment ref="F888" authorId="0" shapeId="0" xr:uid="{00000000-0006-0000-0000-000079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8" authorId="0" shapeId="0" xr:uid="{00000000-0006-0000-0000-0000C5020000}">
      <text>
        <r>
          <rPr>
            <b/>
            <sz val="9"/>
            <color rgb="FF000000"/>
            <rFont val="Segoe UI"/>
            <family val="2"/>
            <charset val="1"/>
          </rPr>
          <t xml:space="preserve">FOLHA - REFERÊNCIA SET/20 - LANÇADO PLANILHA PAGAMENTO GEFIC EM OUT/20 
</t>
        </r>
      </text>
    </comment>
    <comment ref="AA888" authorId="0" shapeId="0" xr:uid="{00000000-0006-0000-0000-000026040000}">
      <text>
        <r>
          <rPr>
            <b/>
            <sz val="9"/>
            <color rgb="FF000000"/>
            <rFont val="Segoe UI"/>
            <family val="2"/>
            <charset val="1"/>
          </rPr>
          <t xml:space="preserve">FOLHA - REFERÊNCIA SET/20 - LANÇADO PLANILHA PAGAMENTO GEFIC EM OUT/20 
</t>
        </r>
      </text>
    </comment>
    <comment ref="AD888" authorId="0" shapeId="0" xr:uid="{00000000-0006-0000-0000-00009A070000}">
      <text>
        <r>
          <rPr>
            <sz val="11"/>
            <color rgb="FF000000"/>
            <rFont val="Calibri"/>
            <family val="2"/>
            <charset val="1"/>
          </rPr>
          <t xml:space="preserve">ENERGIA - REFERÊNCIA SET/20 - LANÇADO PLANILHA PAGAMENTO GEFIC EM OUT/20
</t>
        </r>
      </text>
    </comment>
    <comment ref="AE888" authorId="0" shapeId="0" xr:uid="{00000000-0006-0000-0000-0000BA080000}">
      <text>
        <r>
          <rPr>
            <sz val="11"/>
            <color rgb="FF000000"/>
            <rFont val="Calibri"/>
            <family val="2"/>
            <charset val="1"/>
          </rPr>
          <t xml:space="preserve">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
</t>
        </r>
      </text>
    </comment>
    <comment ref="E889" authorId="0" shapeId="0" xr:uid="{00000000-0006-0000-0000-00002A000000}">
      <text>
        <r>
          <rPr>
            <b/>
            <sz val="9"/>
            <color rgb="FF000000"/>
            <rFont val="Tahoma"/>
            <family val="2"/>
            <charset val="1"/>
          </rPr>
          <t xml:space="preserve">ATÉ 05/11/20
</t>
        </r>
      </text>
    </comment>
    <comment ref="G889" authorId="0" shapeId="0" xr:uid="{00000000-0006-0000-0000-0000AD000000}">
      <text>
        <r>
          <rPr>
            <sz val="11"/>
            <color rgb="FF000000"/>
            <rFont val="Calibri"/>
            <family val="2"/>
            <charset val="1"/>
          </rPr>
          <t xml:space="preserve">VIGÊNCIA: 06/11/20 A  05/11/21
</t>
        </r>
      </text>
    </comment>
    <comment ref="Z889" authorId="0" shapeId="0" xr:uid="{00000000-0006-0000-0000-0000C6020000}">
      <text>
        <r>
          <rPr>
            <b/>
            <sz val="9"/>
            <color rgb="FF000000"/>
            <rFont val="Tahoma"/>
            <family val="2"/>
            <charset val="1"/>
          </rPr>
          <t>FOLHA DE PESSOAL OUT/20, LANÇADO NA PLANILHA DE REPASSE MENSAL/GAOS NOV/20</t>
        </r>
      </text>
    </comment>
    <comment ref="AA889" authorId="0" shapeId="0" xr:uid="{00000000-0006-0000-0000-000027040000}">
      <text>
        <r>
          <rPr>
            <b/>
            <sz val="9"/>
            <color rgb="FF000000"/>
            <rFont val="Tahoma"/>
            <family val="2"/>
            <charset val="1"/>
          </rPr>
          <t>FOLHA DE PESSOAL OUT/20, LANÇADO NA PLANILHA DE REPASSE MENSAL/GAOS NOV/20</t>
        </r>
      </text>
    </comment>
    <comment ref="AD889" authorId="0" shapeId="0" xr:uid="{00000000-0006-0000-0000-00009B070000}">
      <text>
        <r>
          <rPr>
            <sz val="11"/>
            <color rgb="FF000000"/>
            <rFont val="Calibri"/>
            <family val="2"/>
            <charset val="1"/>
          </rPr>
          <t xml:space="preserve">ENERGIA - REFERÊNCIA OUT/20 - LANÇADO PLANILHA PAGAMENTO GEFIC EM NOV/20
</t>
        </r>
      </text>
    </comment>
    <comment ref="BM889" authorId="0" shapeId="0" xr:uid="{00000000-0006-0000-0000-0000F40A0000}">
      <text>
        <r>
          <rPr>
            <sz val="11"/>
            <color rgb="FF000000"/>
            <rFont val="Calibri"/>
            <family val="2"/>
            <charset val="1"/>
          </rPr>
          <t xml:space="preserve">SEM OUTORGA - ATUALIZADO EM 23/12/20
</t>
        </r>
      </text>
    </comment>
    <comment ref="Z890" authorId="0" shapeId="0" xr:uid="{00000000-0006-0000-0000-0000C7020000}">
      <text>
        <r>
          <rPr>
            <b/>
            <sz val="9"/>
            <color rgb="FF000000"/>
            <rFont val="Tahoma"/>
            <family val="2"/>
            <charset val="1"/>
          </rPr>
          <t>FOLHA DE PESSOAL NOV/20, LANÇADO NA PLANILHA DE REPASSE MENSAL/GAOS DEZ/20</t>
        </r>
      </text>
    </comment>
    <comment ref="AA890" authorId="0" shapeId="0" xr:uid="{00000000-0006-0000-0000-000028040000}">
      <text>
        <r>
          <rPr>
            <b/>
            <sz val="9"/>
            <color rgb="FF000000"/>
            <rFont val="Tahoma"/>
            <family val="2"/>
            <charset val="1"/>
          </rPr>
          <t>FOLHA DE PESSOAL NOV/20, LANÇADO NA PLANILHA DE REPASSE MENSAL/GAOS DEZ/20</t>
        </r>
      </text>
    </comment>
    <comment ref="AD890" authorId="0" shapeId="0" xr:uid="{00000000-0006-0000-0000-00009C070000}">
      <text>
        <r>
          <rPr>
            <sz val="11"/>
            <color rgb="FF000000"/>
            <rFont val="Calibri"/>
            <family val="2"/>
            <charset val="1"/>
          </rPr>
          <t xml:space="preserve">ENERGIA - LANÇADO PLANILHA PAGAMENTO GEFIC EM DEZ/20
</t>
        </r>
        <r>
          <rPr>
            <sz val="9"/>
            <color rgb="FF000000"/>
            <rFont val="Segoe UI"/>
            <family val="2"/>
            <charset val="1"/>
          </rPr>
          <t xml:space="preserve">.
ENERGIA - REFERÊNCIA NOV20 ..............................R$ 11.493,10
ENERGIA - REFERÊNCIA DEZ20 .............................R$ 10.898,44
</t>
        </r>
      </text>
    </comment>
    <comment ref="Z891" authorId="0" shapeId="0" xr:uid="{00000000-0006-0000-0000-0000C8020000}">
      <text>
        <r>
          <rPr>
            <sz val="11"/>
            <color rgb="FF000000"/>
            <rFont val="Calibri"/>
            <family val="2"/>
            <charset val="1"/>
          </rPr>
          <t xml:space="preserve">FOLHA - REFERÊNCIA DEZ/20- LANÇADO PLANILHA PAGAMENTO GEFIC EM JAN/21.
</t>
        </r>
      </text>
    </comment>
    <comment ref="AA891" authorId="0" shapeId="0" xr:uid="{00000000-0006-0000-0000-000029040000}">
      <text>
        <r>
          <rPr>
            <sz val="11"/>
            <color rgb="FF000000"/>
            <rFont val="Calibri"/>
            <family val="2"/>
            <charset val="1"/>
          </rPr>
          <t xml:space="preserve">FOLHA - REFERÊNCIA DEZ/20- LANÇADO PLANILHA PAGAMENTO GEFIC EM JAN/21.
</t>
        </r>
      </text>
    </comment>
    <comment ref="AF891" authorId="0" shapeId="0" xr:uid="{00000000-0006-0000-0000-00001E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91" authorId="0" shapeId="0" xr:uid="{00000000-0006-0000-0000-0000050A0000}">
      <text>
        <r>
          <rPr>
            <sz val="11"/>
            <color rgb="FF000000"/>
            <rFont val="Calibri"/>
            <family val="2"/>
            <charset val="1"/>
          </rPr>
          <t xml:space="preserve">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t>
        </r>
        <r>
          <rPr>
            <sz val="9"/>
            <color rgb="FF000000"/>
            <rFont val="Tahoma"/>
            <family val="2"/>
            <charset val="1"/>
          </rPr>
          <t>.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r>
      </text>
    </comment>
    <comment ref="AX894" authorId="0" shapeId="0" xr:uid="{00000000-0006-0000-0000-0000BF0A0000}">
      <text>
        <r>
          <rPr>
            <b/>
            <sz val="9"/>
            <color rgb="FF000000"/>
            <rFont val="Segoe UI"/>
            <family val="2"/>
            <charset val="1"/>
          </rPr>
          <t xml:space="preserve">R$ 1.101.564,00 - REG.DESP. CUSTEIO 26/01/2021 A 10/02/2021, PROC.202100010005133
.
R$ 1.321.876,80 - REG.DESPESAS - 11/02/2021 A 28/02/2021
</t>
        </r>
      </text>
    </comment>
    <comment ref="E895" authorId="0" shapeId="0" xr:uid="{00000000-0006-0000-0000-00002B000000}">
      <text>
        <r>
          <rPr>
            <sz val="11"/>
            <color rgb="FF000000"/>
            <rFont val="Calibri"/>
            <family val="2"/>
            <charset val="1"/>
          </rPr>
          <t xml:space="preserve">Vigência de 180 dias a partir da outorga, que ocorreu em 24/03/21
</t>
        </r>
      </text>
    </comment>
    <comment ref="AX895" authorId="0" shapeId="0" xr:uid="{00000000-0006-0000-0000-0000C00A0000}">
      <text>
        <r>
          <rPr>
            <sz val="11"/>
            <color rgb="FF000000"/>
            <rFont val="Calibri"/>
            <family val="2"/>
            <charset val="1"/>
          </rPr>
          <t xml:space="preserve">R$ 1.689.064,90 - REGULARIZAÇÃO DE DESPESAS PAC PELO PERÍODO DE 01/03/2021 A 24/03/2021,REL AO PERÍO A PUB DO CONTRATO DE GESTÃO EMEG FIR ENTRE O ESTADO DE GOIÁS, ATRAVÉS DA SECRETARIA DE ESTADO DA SAÚDE.E A ORG SOCIAL INSTI CEM,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t>
        </r>
      </text>
    </comment>
    <comment ref="Z896" authorId="0" shapeId="0" xr:uid="{00000000-0006-0000-0000-0000C902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A896" authorId="0" shapeId="0" xr:uid="{00000000-0006-0000-0000-00002A04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D896" authorId="0" shapeId="0" xr:uid="{00000000-0006-0000-0000-00009D070000}">
      <text>
        <r>
          <rPr>
            <b/>
            <sz val="9"/>
            <color rgb="FF000000"/>
            <rFont val="Segoe UI"/>
            <family val="2"/>
            <charset val="1"/>
          </rPr>
          <t>CELG LANÇADA NA PLANILHA DE MAR/21:
.
DIAS VIGENTES DE JAN/21.......................R$ 2.365,40
FEVEREIRO/21..................................................R$ 12.120,31
.
CELG MAR/21 LANÇADO NA PLANILHA DE ABR/21............R$ 12.365,34</t>
        </r>
      </text>
    </comment>
    <comment ref="Z897" authorId="0" shapeId="0" xr:uid="{00000000-0006-0000-0000-0000CA020000}">
      <text>
        <r>
          <rPr>
            <sz val="11"/>
            <color rgb="FF000000"/>
            <rFont val="Calibri"/>
            <family val="2"/>
            <charset val="1"/>
          </rPr>
          <t xml:space="preserve">FOLHA - REFERÊNCIA ABR/21- LANÇADO PLANILHA PAGAMENTO GEFIC EM MAI/21.
</t>
        </r>
      </text>
    </comment>
    <comment ref="AA897" authorId="0" shapeId="0" xr:uid="{00000000-0006-0000-0000-00002B040000}">
      <text>
        <r>
          <rPr>
            <sz val="11"/>
            <color rgb="FF000000"/>
            <rFont val="Calibri"/>
            <family val="2"/>
            <charset val="1"/>
          </rPr>
          <t xml:space="preserve">FOLHA - REFERÊNCIA ABR/21- LANÇADO PLANILHA PAGAMENTO GEFIC EM MAI/21.
</t>
        </r>
      </text>
    </comment>
    <comment ref="AD897" authorId="0" shapeId="0" xr:uid="{00000000-0006-0000-0000-00009E070000}">
      <text>
        <r>
          <rPr>
            <sz val="11"/>
            <color rgb="FF000000"/>
            <rFont val="Calibri"/>
            <family val="2"/>
            <charset val="1"/>
          </rPr>
          <t xml:space="preserve">CELG ABR/21 LANÇADO NA PLANILHA DE MAI/21
</t>
        </r>
      </text>
    </comment>
    <comment ref="Z898" authorId="0" shapeId="0" xr:uid="{00000000-0006-0000-0000-0000CB020000}">
      <text>
        <r>
          <rPr>
            <sz val="11"/>
            <color rgb="FF000000"/>
            <rFont val="Calibri"/>
            <family val="2"/>
            <charset val="1"/>
          </rPr>
          <t xml:space="preserve">FOLHA - REFERÊNCIA MAI/21- LANÇADO PLANILHA PAGAMENTO GEFIC EM JUN/21.
</t>
        </r>
      </text>
    </comment>
    <comment ref="AA898" authorId="0" shapeId="0" xr:uid="{00000000-0006-0000-0000-00002C040000}">
      <text>
        <r>
          <rPr>
            <sz val="11"/>
            <color rgb="FF000000"/>
            <rFont val="Calibri"/>
            <family val="2"/>
            <charset val="1"/>
          </rPr>
          <t xml:space="preserve">FOLHA - REFERÊNCIA MAI/21- LANÇADO PLANILHA PAGAMENTO GEFIC EM JUN/21.
</t>
        </r>
      </text>
    </comment>
    <comment ref="AD898" authorId="0" shapeId="0" xr:uid="{00000000-0006-0000-0000-00009F070000}">
      <text>
        <r>
          <rPr>
            <sz val="11"/>
            <color rgb="FF000000"/>
            <rFont val="Calibri"/>
            <family val="2"/>
            <charset val="1"/>
          </rPr>
          <t xml:space="preserve">CELG MA/21 LANÇADO NA PLANILHA DE JUN/21
</t>
        </r>
      </text>
    </comment>
    <comment ref="Z899" authorId="0" shapeId="0" xr:uid="{00000000-0006-0000-0000-0000CC020000}">
      <text>
        <r>
          <rPr>
            <sz val="11"/>
            <color rgb="FF000000"/>
            <rFont val="Calibri"/>
            <family val="2"/>
            <charset val="1"/>
          </rPr>
          <t xml:space="preserve">FOLHA - REFERÊNCIA JUN/21- LANÇADO PLANILHA PAGAMENTO GEFIC EM JUL/21.
</t>
        </r>
      </text>
    </comment>
    <comment ref="AA899" authorId="0" shapeId="0" xr:uid="{00000000-0006-0000-0000-00002D040000}">
      <text>
        <r>
          <rPr>
            <sz val="11"/>
            <color rgb="FF000000"/>
            <rFont val="Calibri"/>
            <family val="2"/>
            <charset val="1"/>
          </rPr>
          <t xml:space="preserve">FOLHA - REFERÊNCIA JUN/21- LANÇADO PLANILHA PAGAMENTO GEFIC EM JUL/21.
</t>
        </r>
      </text>
    </comment>
    <comment ref="AD899" authorId="0" shapeId="0" xr:uid="{00000000-0006-0000-0000-0000A0070000}">
      <text>
        <r>
          <rPr>
            <sz val="11"/>
            <color rgb="FF000000"/>
            <rFont val="Calibri"/>
            <family val="2"/>
            <charset val="1"/>
          </rPr>
          <t xml:space="preserve">CELG JUN/21 LANÇADO NA PLANILHA DE JUL/21
</t>
        </r>
      </text>
    </comment>
    <comment ref="Z900" authorId="0" shapeId="0" xr:uid="{00000000-0006-0000-0000-0000CD020000}">
      <text>
        <r>
          <rPr>
            <sz val="11"/>
            <color rgb="FF000000"/>
            <rFont val="Calibri"/>
            <family val="2"/>
            <charset val="1"/>
          </rPr>
          <t xml:space="preserve">FOLHA - REFERÊNCIA JUL/21- LANÇADO PLANILHA PAGAMENTO GEFIC EM AGO/21.
</t>
        </r>
      </text>
    </comment>
    <comment ref="AA900" authorId="0" shapeId="0" xr:uid="{00000000-0006-0000-0000-00002E040000}">
      <text>
        <r>
          <rPr>
            <sz val="11"/>
            <color rgb="FF000000"/>
            <rFont val="Calibri"/>
            <family val="2"/>
            <charset val="1"/>
          </rPr>
          <t xml:space="preserve">FOLHA - REFERÊNCIA JUL/21- LANÇADO PLANILHA PAGAMENTO GEFIC EM AGO/21.
</t>
        </r>
      </text>
    </comment>
    <comment ref="AD900" authorId="0" shapeId="0" xr:uid="{00000000-0006-0000-0000-0000A1070000}">
      <text>
        <r>
          <rPr>
            <sz val="11"/>
            <color rgb="FF000000"/>
            <rFont val="Calibri"/>
            <family val="2"/>
            <charset val="1"/>
          </rPr>
          <t xml:space="preserve">CELG JUL/21 LANÇADO NA PLANILHA DE AGO/21
</t>
        </r>
      </text>
    </comment>
    <comment ref="AW900" authorId="0" shapeId="0" xr:uid="{00000000-0006-0000-0000-00004F0A0000}">
      <text>
        <r>
          <rPr>
            <sz val="11"/>
            <color rgb="FF000000"/>
            <rFont val="Calibri"/>
            <family val="2"/>
            <charset val="1"/>
          </rPr>
          <t xml:space="preserve">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
</t>
        </r>
        <r>
          <rPr>
            <sz val="9"/>
            <color rgb="FF000000"/>
            <rFont val="Tahoma"/>
            <family val="2"/>
            <charset val="1"/>
          </rPr>
          <t xml:space="preserve">
</t>
        </r>
      </text>
    </comment>
    <comment ref="E901" authorId="0" shapeId="0" xr:uid="{00000000-0006-0000-0000-00002C000000}">
      <text>
        <r>
          <rPr>
            <sz val="11"/>
            <color rgb="FF000000"/>
            <rFont val="Calibri"/>
            <family val="2"/>
            <charset val="1"/>
          </rPr>
          <t xml:space="preserve">Vigência a partir da outorga, que ocorreu em 24/03/21
</t>
        </r>
      </text>
    </comment>
    <comment ref="D903" authorId="0" shapeId="0" xr:uid="{00000000-0006-0000-0000-00000B000000}">
      <text>
        <r>
          <rPr>
            <sz val="9"/>
            <color rgb="FF000000"/>
            <rFont val="Tahoma"/>
            <family val="2"/>
            <charset val="1"/>
          </rPr>
          <t xml:space="preserve">Inicio 19/10/18
</t>
        </r>
      </text>
    </comment>
    <comment ref="E903" authorId="0" shapeId="0" xr:uid="{00000000-0006-0000-0000-00002D000000}">
      <text>
        <r>
          <rPr>
            <b/>
            <sz val="9"/>
            <color rgb="FF000000"/>
            <rFont val="Tahoma"/>
            <family val="2"/>
            <charset val="1"/>
          </rPr>
          <t xml:space="preserve">Período: 19 a 31/10/19
1º Parcela ( parte).
</t>
        </r>
      </text>
    </comment>
    <comment ref="AD903" authorId="0" shapeId="0" xr:uid="{00000000-0006-0000-0000-0000A2070000}">
      <text>
        <r>
          <rPr>
            <b/>
            <sz val="9"/>
            <color rgb="FF000000"/>
            <rFont val="Tahoma"/>
            <family val="2"/>
            <charset val="1"/>
          </rPr>
          <t xml:space="preserve">CELG - SET/18
</t>
        </r>
      </text>
    </comment>
    <comment ref="E904" authorId="0" shapeId="0" xr:uid="{00000000-0006-0000-0000-00002E000000}">
      <text>
        <r>
          <rPr>
            <b/>
            <sz val="9"/>
            <color rgb="FF000000"/>
            <rFont val="Tahoma"/>
            <family val="2"/>
            <charset val="1"/>
          </rPr>
          <t xml:space="preserve">Valor  parcela (6 primeiras parcelas gradativas):
1ª - restante...3.754.131,04 (18 dias)
2ª - parte.......2.716.738,96 (12 dias)
</t>
        </r>
      </text>
    </comment>
    <comment ref="E905" authorId="0" shapeId="0" xr:uid="{00000000-0006-0000-0000-00002F000000}">
      <text>
        <r>
          <rPr>
            <b/>
            <sz val="9"/>
            <color rgb="FF000000"/>
            <rFont val="Tahoma"/>
            <family val="2"/>
            <charset val="1"/>
          </rPr>
          <t xml:space="preserve">Valor  parcela (6 primeiras parcelas gradativas):
2ª - restante... 4.075.108,44 (18 dias)
3ª - parte....... 2.930.723,89(12 dias)
</t>
        </r>
      </text>
    </comment>
    <comment ref="AA905" authorId="0" shapeId="0" xr:uid="{00000000-0006-0000-0000-00002F040000}">
      <text>
        <r>
          <rPr>
            <sz val="11"/>
            <color rgb="FF000000"/>
            <rFont val="Calibri"/>
            <family val="2"/>
            <charset val="1"/>
          </rPr>
          <t xml:space="preserve">FOLHA OUT/18 - R$ 644.862,57
</t>
        </r>
        <r>
          <rPr>
            <sz val="9"/>
            <color rgb="FF000000"/>
            <rFont val="Tahoma"/>
            <family val="2"/>
            <charset val="1"/>
          </rPr>
          <t xml:space="preserve">FOLHA NOV/18 - R$ 1.637.629,49
</t>
        </r>
      </text>
    </comment>
    <comment ref="AC905" authorId="0" shapeId="0" xr:uid="{00000000-0006-0000-0000-000044050000}">
      <text>
        <r>
          <rPr>
            <sz val="11"/>
            <color rgb="FF000000"/>
            <rFont val="Calibri"/>
            <family val="2"/>
            <charset val="1"/>
          </rPr>
          <t xml:space="preserve">OI DEZ/18 - R$ 2.491,14
</t>
        </r>
        <r>
          <rPr>
            <sz val="9"/>
            <color rgb="FF000000"/>
            <rFont val="Tahoma"/>
            <family val="2"/>
            <charset val="1"/>
          </rPr>
          <t>SANEAGO  DEZ/18 - R$ 2.221,74
GALAE - AGUA 20 L - DEZ/18  - R$ 535,20
LANÇADOS NA PLANILHA DE PAGAMENTODO MÊS DE DEZ/18/GEFIC</t>
        </r>
      </text>
    </comment>
    <comment ref="AD905" authorId="0" shapeId="0" xr:uid="{00000000-0006-0000-0000-0000A3070000}">
      <text>
        <r>
          <rPr>
            <b/>
            <sz val="9"/>
            <color rgb="FF000000"/>
            <rFont val="Tahoma"/>
            <family val="2"/>
            <charset val="1"/>
          </rPr>
          <t xml:space="preserve">CELG-DEZ/18
</t>
        </r>
      </text>
    </comment>
    <comment ref="AE905" authorId="0" shapeId="0" xr:uid="{00000000-0006-0000-0000-0000BB080000}">
      <text>
        <r>
          <rPr>
            <sz val="11"/>
            <color rgb="FF000000"/>
            <rFont val="Calibri"/>
            <family val="2"/>
            <charset val="1"/>
          </rPr>
          <t xml:space="preserve">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
</t>
        </r>
        <r>
          <rPr>
            <sz val="9"/>
            <color rgb="FF000000"/>
            <rFont val="Tahoma"/>
            <family val="2"/>
            <charset val="1"/>
          </rPr>
          <t xml:space="preserve">
</t>
        </r>
      </text>
    </comment>
    <comment ref="E906" authorId="0" shapeId="0" xr:uid="{00000000-0006-0000-0000-000030000000}">
      <text>
        <r>
          <rPr>
            <b/>
            <sz val="9"/>
            <color rgb="FF000000"/>
            <rFont val="Tahoma"/>
            <family val="2"/>
            <charset val="1"/>
          </rPr>
          <t xml:space="preserve">Valor  parcela (6 primeiras parcelas gradativas):
3ª - restante... 4.396.085,84 (18 dias)
4ª - parte....... 3.144.708,82 (12 dias)
</t>
        </r>
      </text>
    </comment>
    <comment ref="AC906" authorId="0" shapeId="0" xr:uid="{00000000-0006-0000-0000-000045050000}">
      <text>
        <r>
          <rPr>
            <sz val="9"/>
            <color rgb="FF000000"/>
            <rFont val="Tahoma"/>
            <family val="2"/>
            <charset val="1"/>
          </rPr>
          <t xml:space="preserve">* R$ 2.399,12  OI BR TELECOM JAN/19;
* R$ 428,16 Água Mineral DEZ/18;
* R$ 129,34 - Água Mineral Diferença (OUT e NOV/18) apurada referente a glosa efetuada a menor - mês DEZ/18;
* R$ 24,16 - Saneamento Básico - Diferença apurada referente a flosa efetuada a menor - mês DEZ/18.
</t>
        </r>
      </text>
    </comment>
    <comment ref="AD906" authorId="0" shapeId="0" xr:uid="{00000000-0006-0000-0000-0000A4070000}">
      <text>
        <r>
          <rPr>
            <b/>
            <sz val="9"/>
            <color rgb="FF000000"/>
            <rFont val="Tahoma"/>
            <family val="2"/>
            <charset val="1"/>
          </rPr>
          <t xml:space="preserve">ENEL:
* R$ 746,79 OUT/18;
* R$ 29.129,88 NOV/18
* R$ 649,27 Diferença (DEZ/18) apurada referente a  glosa efetuada a menor - mês DEZ/18
</t>
        </r>
      </text>
    </comment>
    <comment ref="AN906" authorId="0" shapeId="0" xr:uid="{00000000-0006-0000-0000-000048090000}">
      <text>
        <r>
          <rPr>
            <sz val="9"/>
            <color rgb="FF000000"/>
            <rFont val="Tahoma"/>
            <family val="2"/>
            <charset val="1"/>
          </rPr>
          <t xml:space="preserve">Diferença apurada referente a glosa de Telefonia efetuada a maior - mês de DEZ/18.
</t>
        </r>
      </text>
    </comment>
    <comment ref="E907" authorId="0" shapeId="0" xr:uid="{00000000-0006-0000-0000-000031000000}">
      <text>
        <r>
          <rPr>
            <b/>
            <sz val="9"/>
            <color rgb="FF000000"/>
            <rFont val="Tahoma"/>
            <family val="2"/>
            <charset val="1"/>
          </rPr>
          <t xml:space="preserve">Valor  parcela (6 primeiras parcelas gradativas):
4ª - restante... 4.717.063,24 (18 dias)
5ª - parte....... 3.358.693,76 (12 dias)
</t>
        </r>
      </text>
    </comment>
    <comment ref="Z907" authorId="0" shapeId="0" xr:uid="{00000000-0006-0000-0000-0000CE020000}">
      <text>
        <r>
          <rPr>
            <sz val="9"/>
            <color rgb="FF000000"/>
            <rFont val="Tahoma"/>
            <family val="2"/>
            <charset val="1"/>
          </rPr>
          <t xml:space="preserve">LANÇADO PLANILHA GEFIC EM FEV/19 - FOLHA DE PAGAMENTO:
.
REFERÊNCIA JAN/19
HEMOG-GOIIÁS.............1.172.225,78
HEMOG-CERES.................37.985,60
HEMOG-JATAÍ...................61.156,16
HEMOG-RIO VERDE.........167.468,01
HEMOG-CATALÃO...........122.921,34
</t>
        </r>
      </text>
    </comment>
    <comment ref="E908" authorId="0" shapeId="0" xr:uid="{00000000-0006-0000-0000-000032000000}">
      <text>
        <r>
          <rPr>
            <b/>
            <sz val="9"/>
            <color rgb="FF000000"/>
            <rFont val="Tahoma"/>
            <family val="2"/>
            <charset val="1"/>
          </rPr>
          <t xml:space="preserve">Valor  parcela (6
 primeiras parcelas gradativas):
5ª - restante... 5.038.040,63 (18 dias)
6ª - parte....... 3.572.678,69 (12 dias)
</t>
        </r>
      </text>
    </comment>
    <comment ref="AA908" authorId="0" shapeId="0" xr:uid="{00000000-0006-0000-0000-000030040000}">
      <text>
        <r>
          <rPr>
            <sz val="11"/>
            <color rgb="FF000000"/>
            <rFont val="Calibri"/>
            <family val="2"/>
            <charset val="1"/>
          </rPr>
          <t xml:space="preserve">GLOSA FOLHA DE PESSOAL:
R$ 1.465.527,35 GLOSA FOLHA FEV/19VALOR ESTIMADO PREVISTO CONTRATO GESTÃO. 
.
</t>
        </r>
        <r>
          <rPr>
            <sz val="9"/>
            <color rgb="FF000000"/>
            <rFont val="Tahoma"/>
            <family val="2"/>
            <charset val="1"/>
          </rPr>
          <t xml:space="preserve">
</t>
        </r>
      </text>
    </comment>
    <comment ref="AB908" authorId="0" shapeId="0" xr:uid="{00000000-0006-0000-0000-0000A9040000}">
      <text>
        <r>
          <rPr>
            <b/>
            <sz val="9"/>
            <color rgb="FF000000"/>
            <rFont val="Tahoma"/>
            <family val="2"/>
            <charset val="1"/>
          </rPr>
          <t xml:space="preserve">R$ 96.229,54 DIFERENÇA GLOSA DE FOLHA JAN/19 LANÇADA NA PLANILHA DE PREVISÃO DE PAGAMENTO FEV/19 DA GEFIC (O PAGAMENTO PASSOU A SER REALIZADO DENTRO DO MÊS DE REFERÊNCIA POR ISSO FOI LANÇADA GLOSA ESTIMADA PREVISTA NO CONTRATO DE GESTÃO)
</t>
        </r>
      </text>
    </comment>
    <comment ref="AC908" authorId="0" shapeId="0" xr:uid="{00000000-0006-0000-0000-000046050000}">
      <text>
        <r>
          <rPr>
            <b/>
            <sz val="9"/>
            <color rgb="FF000000"/>
            <rFont val="Tahoma"/>
            <family val="2"/>
            <charset val="1"/>
          </rPr>
          <t>LANÇADO PLANILHA GEFIC EM FEV/19:
.
TELEFONIA FIXA -REFERÊNCIA FEV/19..2.200,23 
.
AGUA MINERAL- REFERÊNCIA JAN/19....450,46</t>
        </r>
      </text>
    </comment>
    <comment ref="AD908" authorId="0" shapeId="0" xr:uid="{00000000-0006-0000-0000-0000A5070000}">
      <text>
        <r>
          <rPr>
            <b/>
            <sz val="9"/>
            <color rgb="FF000000"/>
            <rFont val="Tahoma"/>
            <family val="2"/>
            <charset val="1"/>
          </rPr>
          <t xml:space="preserve">LANÇADO PLANILHA GEFIC EM FEV/19:
CELG - JAN/19:
HEMOG - GOIÂNIA.......24.107,81
HEMOG- RIO VERDE.....6.453,96
.
SANEAGO:
HEMOG-GOIÂNIA PARTE...............476,83
HEMOG-RIO VERDE...........528,95
</t>
        </r>
      </text>
    </comment>
    <comment ref="Z909" authorId="0" shapeId="0" xr:uid="{00000000-0006-0000-0000-0000CF020000}">
      <text>
        <r>
          <rPr>
            <sz val="11"/>
            <color rgb="FF000000"/>
            <rFont val="Calibri"/>
            <family val="2"/>
            <charset val="1"/>
          </rPr>
          <t xml:space="preserve">FOLHA DE MAR/19 LANÇADA NA PLANILHA DE ABR/19:
.
1- FOLHA DE PAGAMENTO HEMO GOIÁS...............R$ 1.036.942,33
</t>
        </r>
        <r>
          <rPr>
            <sz val="9"/>
            <color rgb="FF000000"/>
            <rFont val="Tahoma"/>
            <family val="2"/>
            <charset val="1"/>
          </rPr>
          <t>2- FOLHA DE PAGAMENTO HEMO CERES...............R$  43.078,71
3- FOLHA DE PAGAMENTO HEMO JATAI...............R$  126.639,25
4- FOLHA DE PAGAMENTO HEMO RIO VERDE...............R$  175.089,28
5- FOLHA DE PAGAMENTO HEMO CATALÃO...............R$ 125.544,03</t>
        </r>
      </text>
    </comment>
    <comment ref="AA909" authorId="0" shapeId="0" xr:uid="{00000000-0006-0000-0000-000031040000}">
      <text>
        <r>
          <rPr>
            <sz val="11"/>
            <color rgb="FF000000"/>
            <rFont val="Calibri"/>
            <family val="2"/>
            <charset val="1"/>
          </rPr>
          <t xml:space="preserve">GLOSA FOLHA DE PESSOAL:
R$ 1.465.527,35 GLOSA FOLHA MAR/19VALOR ESTIMADO PREVISTO CONTRATO GESTÃO. 
.
</t>
        </r>
        <r>
          <rPr>
            <sz val="9"/>
            <color rgb="FF000000"/>
            <rFont val="Tahoma"/>
            <family val="2"/>
            <charset val="1"/>
          </rPr>
          <t xml:space="preserve">
</t>
        </r>
      </text>
    </comment>
    <comment ref="AB909" authorId="0" shapeId="0" xr:uid="{00000000-0006-0000-0000-0000AA040000}">
      <text>
        <r>
          <rPr>
            <b/>
            <sz val="9"/>
            <color rgb="FF000000"/>
            <rFont val="Tahoma"/>
            <family val="2"/>
            <charset val="1"/>
          </rPr>
          <t xml:space="preserve">R$ 119.367,70 DIFERENÇA GLOSA DE FOLHA FEV/19 LANÇADA NA PLANILHA DE PREVISÃO DE PAGAMENTO MAR/19 DA GEFIC (O PAGAMENTO PASSOU A SER REALIZADO DENTRO DO MÊS DE REFERÊNCIA POR ISSO FOI LANÇADA GLOSA ESTIMADA PREVISTA NO CONTRATO DE GESTÃO)
</t>
        </r>
      </text>
    </comment>
    <comment ref="AC909" authorId="0" shapeId="0" xr:uid="{00000000-0006-0000-0000-000047050000}">
      <text>
        <r>
          <rPr>
            <b/>
            <sz val="9"/>
            <color rgb="FF000000"/>
            <rFont val="Tahoma"/>
            <family val="2"/>
            <charset val="1"/>
          </rPr>
          <t>LANÇADO PLANILHA GEFIC EM MAR/19:
.
TELEFONIA FIXA -REFERÊNCIA MAR/19..2.421,65 
.
AGUA MINERAL- REFERÊNCIA FEV/19....633,32
.
TECNOLOGIA - GTI:
HEMO RIO VERDE - 3.577,74
HEMO CATALÃO - 4.088,80
HEMO JATAI - 3.577,74
HEMO CERES - 4.543,14
HEMO GYN - 2.072,55</t>
        </r>
      </text>
    </comment>
    <comment ref="AD909" authorId="0" shapeId="0" xr:uid="{00000000-0006-0000-0000-0000A6070000}">
      <text>
        <r>
          <rPr>
            <sz val="11"/>
            <color rgb="FF000000"/>
            <rFont val="Calibri"/>
            <family val="2"/>
            <charset val="1"/>
          </rPr>
          <t xml:space="preserve">LANÇADO PLANILHA GEFIC EM MAR19:
</t>
        </r>
        <r>
          <rPr>
            <sz val="9"/>
            <color rgb="FF000000"/>
            <rFont val="Tahoma"/>
            <family val="2"/>
            <charset val="1"/>
          </rPr>
          <t xml:space="preserve">.
FORNECIMENTO ENERGIA - ENEL - FEV/19:
HEMO - GYN - 22.695,09
HEMO - RIO VERDE - 5.665,88
.
SANEAGO - FEV/19:
HEMO - GYN - 656,43
HEMO - RIO VERDE - 853,99
.
</t>
        </r>
      </text>
    </comment>
    <comment ref="AA910" authorId="0" shapeId="0" xr:uid="{00000000-0006-0000-0000-000032040000}">
      <text>
        <r>
          <rPr>
            <b/>
            <sz val="9"/>
            <color rgb="FF000000"/>
            <rFont val="Tahoma"/>
            <family val="2"/>
            <charset val="1"/>
          </rPr>
          <t xml:space="preserve">VALOR ESTIMADO PREVISTO CONTRATO GESTÃO. 
</t>
        </r>
      </text>
    </comment>
    <comment ref="AB910" authorId="0" shapeId="0" xr:uid="{00000000-0006-0000-0000-0000AB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10" authorId="0" shapeId="0" xr:uid="{00000000-0006-0000-0000-000048050000}">
      <text>
        <r>
          <rPr>
            <b/>
            <sz val="9"/>
            <color rgb="FF000000"/>
            <rFont val="Tahoma"/>
            <family val="2"/>
            <charset val="1"/>
          </rPr>
          <t>LANÇADO PLANILHA GEFIC EM ABR/19:
.
TELEFONIA FIXA -REFERÊNCIA ABR/19..2.259,19 
.
AGUA MINERAL- REFERÊNCIA MAR/19....468,30</t>
        </r>
      </text>
    </comment>
    <comment ref="AD910" authorId="0" shapeId="0" xr:uid="{00000000-0006-0000-0000-0000A7070000}">
      <text>
        <r>
          <rPr>
            <sz val="11"/>
            <color rgb="FF000000"/>
            <rFont val="Calibri"/>
            <family val="2"/>
            <charset val="1"/>
          </rPr>
          <t xml:space="preserve">LANÇADO PLANILHA GEFIC EM ABR/9:
</t>
        </r>
        <r>
          <rPr>
            <sz val="9"/>
            <color rgb="FF000000"/>
            <rFont val="Tahoma"/>
            <family val="2"/>
            <charset val="1"/>
          </rPr>
          <t xml:space="preserve">.
FORNECIMENTO ENERGIA - ENEL -MAR/19:
HEMO - GYN - 20.741,90
HEMO - RIO VERDE - 5.550,58
.
SANEAGO - MAR19:
HEMO - GYN - 692,35
HEMO - RIO VERDE - 692,35
.
</t>
        </r>
      </text>
    </comment>
    <comment ref="AA911" authorId="0" shapeId="0" xr:uid="{00000000-0006-0000-0000-000033040000}">
      <text>
        <r>
          <rPr>
            <b/>
            <sz val="9"/>
            <color rgb="FF000000"/>
            <rFont val="Tahoma"/>
            <family val="2"/>
            <charset val="1"/>
          </rPr>
          <t xml:space="preserve">VALOR ESTIMADO PREVISTO CONTRATO GESTÃO. 
</t>
        </r>
      </text>
    </comment>
    <comment ref="AC911" authorId="0" shapeId="0" xr:uid="{00000000-0006-0000-0000-000049050000}">
      <text>
        <r>
          <rPr>
            <b/>
            <sz val="9"/>
            <color rgb="FF000000"/>
            <rFont val="Tahoma"/>
            <family val="2"/>
            <charset val="1"/>
          </rPr>
          <t>LANÇADO PLANILHA GEFIC EM ABR/19:
.
TELEFONIA FIXA -REFERÊNCIA MAI/19..2.522,77 
.
AGUA MINERAL- REFERÊNCIA ABR/19....477,22
.
TECNOLOGIA - GTI:ABR e MAI/19
HEMO RIO VERDE - 1.316,96
HEMO CATALÃO - 1.505,08
HEMO JATAI - 1.316,96
HEMO CERES - 1.672,32
HEMO GYN - 762,90</t>
        </r>
      </text>
    </comment>
    <comment ref="AD911" authorId="0" shapeId="0" xr:uid="{00000000-0006-0000-0000-0000A8070000}">
      <text>
        <r>
          <rPr>
            <sz val="11"/>
            <color rgb="FF000000"/>
            <rFont val="Calibri"/>
            <family val="2"/>
            <charset val="1"/>
          </rPr>
          <t xml:space="preserve">LANÇADO PLANILHA GEFIC EM ABR/9:
</t>
        </r>
        <r>
          <rPr>
            <sz val="9"/>
            <color rgb="FF000000"/>
            <rFont val="Tahoma"/>
            <family val="2"/>
            <charset val="1"/>
          </rPr>
          <t xml:space="preserve">.
FORNECIMENTO ENERGIA - ENEL -ABR/19:
HEMO - GYN - 21.189,23
HEMO - RIO VERDE - 5.154,37
.
SANEAGO - ABR19:
HEMO - GYN - 871,95
HEMO - RIO VERDE - 997,67
.
</t>
        </r>
      </text>
    </comment>
    <comment ref="AA912" authorId="0" shapeId="0" xr:uid="{00000000-0006-0000-0000-000034040000}">
      <text>
        <r>
          <rPr>
            <b/>
            <sz val="9"/>
            <color rgb="FF000000"/>
            <rFont val="Tahoma"/>
            <family val="2"/>
            <charset val="1"/>
          </rPr>
          <t xml:space="preserve">VALOR ESTIMADO PREVISTO CONTRATO GESTÃO. 
</t>
        </r>
      </text>
    </comment>
    <comment ref="AC912" authorId="0" shapeId="0" xr:uid="{00000000-0006-0000-0000-00004A050000}">
      <text>
        <r>
          <rPr>
            <b/>
            <sz val="9"/>
            <color rgb="FF000000"/>
            <rFont val="Tahoma"/>
            <family val="2"/>
            <charset val="1"/>
          </rPr>
          <t>LANÇADO PLANILHA GEFIC EM JUN/19:
.
TELEFONIA FIXA -REFERÊNCIA MAI/19..2.187,75</t>
        </r>
      </text>
    </comment>
    <comment ref="AD912" authorId="0" shapeId="0" xr:uid="{00000000-0006-0000-0000-0000A9070000}">
      <text>
        <r>
          <rPr>
            <b/>
            <sz val="9"/>
            <color rgb="FF000000"/>
            <rFont val="Tahoma"/>
            <family val="2"/>
            <charset val="1"/>
          </rPr>
          <t>LANÇADO PLANILHA GEFIC EM JUN/9:
.
FORNECIMENTO ENERGIA - ENEL -JUN19:
HEMO - GYN - 21.189,23
HEMO - RIO VERDE - 5.154,37
.
SANEAGO - JUN/19:
HEMO - GYN - 871,95
HEMO - RIO VERDE - 997,67</t>
        </r>
      </text>
    </comment>
    <comment ref="AA913" authorId="0" shapeId="0" xr:uid="{00000000-0006-0000-0000-000035040000}">
      <text>
        <r>
          <rPr>
            <b/>
            <sz val="9"/>
            <color rgb="FF000000"/>
            <rFont val="Tahoma"/>
            <family val="2"/>
            <charset val="1"/>
          </rPr>
          <t xml:space="preserve">VALOR ESTIMADO PREVISTO CONTRATO GESTÃO. 
</t>
        </r>
      </text>
    </comment>
    <comment ref="AC913" authorId="0" shapeId="0" xr:uid="{00000000-0006-0000-0000-00004B050000}">
      <text>
        <r>
          <rPr>
            <sz val="11"/>
            <color rgb="FF000000"/>
            <rFont val="Calibri"/>
            <family val="2"/>
            <charset val="1"/>
          </rPr>
          <t xml:space="preserve">LANÇADO PLANILHA GEFIC EM JULHO/19:
.
TELEFONIA FIXA -REFERÊNCIA JUL/19..2.073,84
.
AGUA MINERAL 115 GARROFÕES - REFERÊNCIA JUN/19....512,90
</t>
        </r>
      </text>
    </comment>
    <comment ref="AD913" authorId="0" shapeId="0" xr:uid="{00000000-0006-0000-0000-0000AA070000}">
      <text>
        <r>
          <rPr>
            <sz val="11"/>
            <color rgb="FF000000"/>
            <rFont val="Calibri"/>
            <family val="2"/>
            <charset val="1"/>
          </rPr>
          <t xml:space="preserve">LANÇADO PLANILHA GEFIC EM JUL/9:
.
FORNECIMENTO ENERGIA - ENEL -JUN19:
HEMO - GYN - 20.667,06
HEMO - RIO VERDE - 4.614,30
.
SANEAGO - JUN/19:
HEMO - GYN - 3.224,71
HEMO - RIO VERDE - 979,71
</t>
        </r>
      </text>
    </comment>
    <comment ref="AA914" authorId="0" shapeId="0" xr:uid="{00000000-0006-0000-0000-000036040000}">
      <text>
        <r>
          <rPr>
            <b/>
            <sz val="9"/>
            <color rgb="FF000000"/>
            <rFont val="Tahoma"/>
            <family val="2"/>
            <charset val="1"/>
          </rPr>
          <t xml:space="preserve">VALOR ESTIMADO PREVISTO CONTRATO GESTÃO. 
</t>
        </r>
      </text>
    </comment>
    <comment ref="AC914" authorId="0" shapeId="0" xr:uid="{00000000-0006-0000-0000-00004C050000}">
      <text>
        <r>
          <rPr>
            <sz val="11"/>
            <color rgb="FF000000"/>
            <rFont val="Calibri"/>
            <family val="2"/>
            <charset val="1"/>
          </rPr>
          <t xml:space="preserve">LANÇADO PLANILHA GEFIC EM AGO/19:
.
TELEFONIA FIXA -REFERÊNCIA AGO/19..2.019,55
AGUA MINERAL 115 GARROFÕES - REFERÊNCIA JUL/19....459,38
.
LANÇADO PLANILHA GEFIC EM SET/19:
.
TELEFONIA FIXA -REFERÊNCIA SET/19..2.167,72
AGUA MINERAL 115 GARROFÕES - REFERÊNCIA AGO/19....347,88
</t>
        </r>
      </text>
    </comment>
    <comment ref="AD914" authorId="0" shapeId="0" xr:uid="{00000000-0006-0000-0000-0000AB070000}">
      <text>
        <r>
          <rPr>
            <sz val="11"/>
            <color rgb="FF000000"/>
            <rFont val="Calibri"/>
            <family val="2"/>
            <charset val="1"/>
          </rPr>
          <t xml:space="preserve">LANÇADO PLANILHA GEFIC EM AGO/9:
.
FORNECIMENTO ENERGIA - ENEL -JUL19:
HEMO - GYN - 21.385,91
HEMO - RIO VERDE - 4.528,02
.
SANEAGO - JUL/19:
HEMO - GYN - 3.368,39
HEMO - RIO VERDE - 749,73
</t>
        </r>
        <r>
          <rPr>
            <sz val="9"/>
            <color rgb="FF000000"/>
            <rFont val="Tahoma"/>
            <family val="2"/>
            <charset val="1"/>
          </rPr>
          <t>.
LANÇADO PLANILHA GEFIC EM SET/9:
.
FORNECIMENTO ENERGIA - ENEL -AGO19:
HEMO - GYN - 25.302,38
HEMO - RIO VERDE - 5.214,91
.
SANEAGO - AGO/19:
HEMO - GYN -4.000,45
HEMO - RIO VERDE - 989,97</t>
        </r>
      </text>
    </comment>
    <comment ref="AE914" authorId="0" shapeId="0" xr:uid="{00000000-0006-0000-0000-0000BC080000}">
      <text>
        <r>
          <rPr>
            <b/>
            <sz val="9"/>
            <color rgb="FF000000"/>
            <rFont val="Tahoma"/>
            <family val="2"/>
            <charset val="1"/>
          </rPr>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r>
      </text>
    </comment>
    <comment ref="AA915" authorId="0" shapeId="0" xr:uid="{00000000-0006-0000-0000-000037040000}">
      <text>
        <r>
          <rPr>
            <b/>
            <sz val="9"/>
            <color rgb="FF000000"/>
            <rFont val="Tahoma"/>
            <family val="2"/>
            <charset val="1"/>
          </rPr>
          <t xml:space="preserve">VALOR ESTIMADO PREVISTO CONTRATO GESTÃO. 
</t>
        </r>
      </text>
    </comment>
    <comment ref="AE915" authorId="0" shapeId="0" xr:uid="{00000000-0006-0000-0000-0000BD080000}">
      <text>
        <r>
          <rPr>
            <sz val="11"/>
            <color rgb="FF000000"/>
            <rFont val="Calibri"/>
            <family val="2"/>
            <charset val="1"/>
          </rPr>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t>
        </r>
        <r>
          <rPr>
            <sz val="9"/>
            <color rgb="FF000000"/>
            <rFont val="Tahoma"/>
            <family val="2"/>
            <charset val="1"/>
          </rPr>
          <t>.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r>
      </text>
    </comment>
    <comment ref="AO915" authorId="0" shapeId="0" xr:uid="{00000000-0006-0000-0000-000079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915" authorId="0" shapeId="0" xr:uid="{00000000-0006-0000-0000-0000F3090000}">
      <text>
        <r>
          <rPr>
            <sz val="11"/>
            <color rgb="FF000000"/>
            <rFont val="Calibri"/>
            <family val="2"/>
            <charset val="1"/>
          </rPr>
          <t xml:space="preserve">RESSARCIMENTO DE VALORES DESPENDIDOS COM DÉBITOS TRIBUTÁRIOS PARA EXPEDIÇÃO DE ALVARÁ SANITÁRIO DO HEMOCENTRO COORDENADOR, REFERENTES AOS ANOS DE 2015 À 14 DE AGOSTO DE 2018, PROC.201900010030346
</t>
        </r>
      </text>
    </comment>
    <comment ref="AA916" authorId="0" shapeId="0" xr:uid="{00000000-0006-0000-0000-000038040000}">
      <text>
        <r>
          <rPr>
            <b/>
            <sz val="9"/>
            <color rgb="FF000000"/>
            <rFont val="Tahoma"/>
            <family val="2"/>
            <charset val="1"/>
          </rPr>
          <t xml:space="preserve">VALOR ESTIMADO PREVISTO CONTRATO GESTÃO. 
</t>
        </r>
      </text>
    </comment>
    <comment ref="AC916" authorId="0" shapeId="0" xr:uid="{00000000-0006-0000-0000-00004D050000}">
      <text>
        <r>
          <rPr>
            <sz val="11"/>
            <color rgb="FF000000"/>
            <rFont val="Calibri"/>
            <family val="2"/>
            <charset val="1"/>
          </rPr>
          <t xml:space="preserve">LANÇADO PLANILHA GEFIC EM OUT/19:
.
TELEFONIA FIXA -REFERÊNCIA OUT/19..2.456,57
.
ABASTECIMENTO VEICULAR (GYN,CATALÃO,JATAÍ) - REFERÊNCIA SET/19....3.692,62
</t>
        </r>
        <r>
          <rPr>
            <sz val="9"/>
            <color rgb="FF000000"/>
            <rFont val="Tahoma"/>
            <family val="2"/>
            <charset val="1"/>
          </rPr>
          <t>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r>
      </text>
    </comment>
    <comment ref="AD916" authorId="0" shapeId="0" xr:uid="{00000000-0006-0000-0000-0000AC070000}">
      <text>
        <r>
          <rPr>
            <sz val="11"/>
            <color rgb="FF000000"/>
            <rFont val="Calibri"/>
            <family val="2"/>
            <charset val="1"/>
          </rPr>
          <t xml:space="preserve">LANÇADO PLANILHA GEFIC EM OUT/9:
.
FORNECIMENTO ENERGIA - ENEL -SET19:
HEMO - GYN - 27.876,61
HEMO - RIO VERDE - 6.359,13
.
SANEAGO - SET/19:
HEMO - GYN - 3.791,45
HEMO - RIO VERDE - 971,49
</t>
        </r>
      </text>
    </comment>
    <comment ref="AC917" authorId="0" shapeId="0" xr:uid="{00000000-0006-0000-0000-00004E050000}">
      <text>
        <r>
          <rPr>
            <sz val="11"/>
            <color rgb="FF000000"/>
            <rFont val="Calibri"/>
            <family val="2"/>
            <charset val="1"/>
          </rPr>
          <t xml:space="preserve">LANÇADO PLANILHA GEFIC EM NOV/19:
.
</t>
        </r>
        <r>
          <rPr>
            <sz val="9"/>
            <color rgb="FF000000"/>
            <rFont val="Tahoma"/>
            <family val="2"/>
            <charset val="1"/>
          </rPr>
          <t xml:space="preserve">TELEFONIA FIXA -REFERÊNCIA NOV/19..R$ 2.212,44
.
ABASTECIMENTO VEICULAR (GYN,CATALÃO,JATAÍ) - REFERÊNCIA OUT/19....R$ 1.482,62
REPOGRAFIA (LOCAÇÃO DE UMA MULTIFUNCIONAL)- REFERÊNCIA SET/19....R$ 44,21
IMPRESSÕES E LOCAÇÃO DE EQUIPAMENTOS - GETEC - PROC.201900010039451 - OUT/18 A SET/19.............R$ 28.701,56
</t>
        </r>
        <r>
          <rPr>
            <b/>
            <sz val="9"/>
            <color rgb="FF000000"/>
            <rFont val="Tahoma"/>
            <family val="2"/>
            <charset val="1"/>
          </rPr>
          <t xml:space="preserve">.
LANÇADO PLANILHA GEFIC EM DEZ/19:
</t>
        </r>
        <r>
          <rPr>
            <sz val="9"/>
            <color rgb="FF000000"/>
            <rFont val="Tahoma"/>
            <family val="2"/>
            <charset val="1"/>
          </rPr>
          <t xml:space="preserve">.
TELEFONIA FIXA -REFERÊNCIA DEZ/19..R$ 2.113,84
.
ABASTECIMENTO VEICULAR (GYN,CATALÃO,JATAÍ) - REFERÊNCIA NOV/19....R$ 283,53
.
LINKS DE DADOS (RIO VERDE, CATALÃO, JATAÍ, CERES E GOIÂNIA) GERÊNCIA DE TECNOLOGIA PROC.201900010007773 .....................R$ 29.583,99
</t>
        </r>
      </text>
    </comment>
    <comment ref="AD917" authorId="0" shapeId="0" xr:uid="{00000000-0006-0000-0000-0000AD070000}">
      <text>
        <r>
          <rPr>
            <b/>
            <sz val="9"/>
            <color rgb="FF000000"/>
            <rFont val="Tahoma"/>
            <family val="2"/>
            <charset val="1"/>
          </rPr>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r>
      </text>
    </comment>
    <comment ref="AA918" authorId="0" shapeId="0" xr:uid="{00000000-0006-0000-0000-000039040000}">
      <text>
        <r>
          <rPr>
            <b/>
            <sz val="9"/>
            <color rgb="FF000000"/>
            <rFont val="Tahoma"/>
            <family val="2"/>
            <charset val="1"/>
          </rPr>
          <t xml:space="preserve">VALOR ESTIMADO PREVISTO CONTRATO GESTÃO. 
</t>
        </r>
      </text>
    </comment>
    <comment ref="AC918" authorId="0" shapeId="0" xr:uid="{00000000-0006-0000-0000-00004F050000}">
      <text>
        <r>
          <rPr>
            <b/>
            <sz val="9"/>
            <color rgb="FF000000"/>
            <rFont val="Tahoma"/>
            <family val="2"/>
            <charset val="1"/>
          </rPr>
          <t xml:space="preserve">LANÇADO PLANILHA GAOS EM JAN/20:
.
TELEFONIA FIXA -REFERÊNCIA JAN/120.R$ 2.040,36;
.
ABASTECIMENTO VEICULAR (GYN,CATALÃO,JATAÍ) - REFERÊNCIA DEZ/19....R$ 991,30;
.
CONTRATO Nº067/2016 - COPYSYSTEMS-T0 - PROC.202000010000033 .....................R$ 2.116,95
</t>
        </r>
      </text>
    </comment>
    <comment ref="AD918" authorId="0" shapeId="0" xr:uid="{00000000-0006-0000-0000-0000AE070000}">
      <text>
        <r>
          <rPr>
            <b/>
            <sz val="9"/>
            <color rgb="FF000000"/>
            <rFont val="Tahoma"/>
            <family val="2"/>
            <charset val="1"/>
          </rPr>
          <t>LANÇADO PLANILHA GEFIC EM JAN/20:
.
FORNECIMENTO ENERGIA - ENEL -DEZ/19:
HEMO - GYN - 21.385,25
HEMO - RIO VERDE - 4.102,54
.
SANEAGO - DEZ/19:
HEMO - GYN - 4.912,45
HEMO - RIO VERDE - 779,97</t>
        </r>
      </text>
    </comment>
    <comment ref="AE918" authorId="0" shapeId="0" xr:uid="{00000000-0006-0000-0000-0000BE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O918" authorId="0" shapeId="0" xr:uid="{00000000-0006-0000-0000-00007A09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A919" authorId="0" shapeId="0" xr:uid="{00000000-0006-0000-0000-00003A040000}">
      <text>
        <r>
          <rPr>
            <b/>
            <sz val="9"/>
            <color rgb="FF000000"/>
            <rFont val="Tahoma"/>
            <family val="2"/>
            <charset val="1"/>
          </rPr>
          <t xml:space="preserve">VALOR ESTIMADO PREVISTO CONTRATO GESTÃO. 
</t>
        </r>
      </text>
    </comment>
    <comment ref="AC919" authorId="0" shapeId="0" xr:uid="{00000000-0006-0000-0000-000050050000}">
      <text>
        <r>
          <rPr>
            <sz val="11"/>
            <color rgb="FF000000"/>
            <rFont val="Calibri"/>
            <family val="2"/>
            <charset val="1"/>
          </rPr>
          <t xml:space="preserve">LANÇADO PLANILHA GAOS EM FEV/20:
.
TELEFONIA FIXA -REFERÊNCIA FEV/120.R$ 0,00;
.
ABASTECIMENTO VEICULAR (GYN) - REFERÊNCIA JAN/20....R$ 394,36;
.
CONTRATO Nº067/2016 - COPYSYSTEMS-T0 - PROC.202000010005473 DEZ/2019 A JAN/2020.....................R$ 3.979,94
</t>
        </r>
      </text>
    </comment>
    <comment ref="AD919" authorId="0" shapeId="0" xr:uid="{00000000-0006-0000-0000-0000AF070000}">
      <text>
        <r>
          <rPr>
            <sz val="11"/>
            <color rgb="FF000000"/>
            <rFont val="Calibri"/>
            <family val="2"/>
            <charset val="1"/>
          </rPr>
          <t xml:space="preserve">LANÇADO PLANILHA GEFIC EM FEV/20:
.
FORNECIMENTO ENERGIA - ENEL -JAN/20:
HEMO - GYN - 19.891,97
HEMO - RIO VERDE - 3.850,39
.
SANEAGO - JAN/20:
HEMO - GYN - 3.373,45
HEMO - RIO VERDE - 601,89
</t>
        </r>
      </text>
    </comment>
    <comment ref="AE919" authorId="0" shapeId="0" xr:uid="{00000000-0006-0000-0000-0000BF080000}">
      <text>
        <r>
          <rPr>
            <b/>
            <sz val="9"/>
            <color rgb="FF000000"/>
            <rFont val="Segoe UI"/>
            <family val="2"/>
            <charset val="1"/>
          </rPr>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r>
      </text>
    </comment>
    <comment ref="AO919" authorId="0" shapeId="0" xr:uid="{00000000-0006-0000-0000-00007B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920" authorId="0" shapeId="0" xr:uid="{00000000-0006-0000-0000-0000D0020000}">
      <text>
        <r>
          <rPr>
            <b/>
            <sz val="9"/>
            <color rgb="FF000000"/>
            <rFont val="Tahoma"/>
            <family val="2"/>
            <charset val="1"/>
          </rPr>
          <t xml:space="preserve">VALOR ESTIMADO PREVISTO CONTRATO GESTÃO. 
</t>
        </r>
      </text>
    </comment>
    <comment ref="AA920" authorId="0" shapeId="0" xr:uid="{00000000-0006-0000-0000-00003B040000}">
      <text>
        <r>
          <rPr>
            <b/>
            <sz val="9"/>
            <color rgb="FF000000"/>
            <rFont val="Tahoma"/>
            <family val="2"/>
            <charset val="1"/>
          </rPr>
          <t xml:space="preserve">VALOR ESTIMADO PREVISTO CONTRATO GESTÃO. 
</t>
        </r>
      </text>
    </comment>
    <comment ref="AC920" authorId="0" shapeId="0" xr:uid="{00000000-0006-0000-0000-000051050000}">
      <text>
        <r>
          <rPr>
            <sz val="11"/>
            <color rgb="FF000000"/>
            <rFont val="Calibri"/>
            <family val="2"/>
            <charset val="1"/>
          </rPr>
          <t xml:space="preserve">LANÇADO PLANILHA MAR-20:
ABASTECIMENTO VEICULAR FEV/20 : 809,96
.
COPYSISTEMS DEZ/19 A JAN/20 : 587,40
</t>
        </r>
      </text>
    </comment>
    <comment ref="AD920" authorId="0" shapeId="0" xr:uid="{00000000-0006-0000-0000-0000B0070000}">
      <text>
        <r>
          <rPr>
            <sz val="11"/>
            <color rgb="FF000000"/>
            <rFont val="Calibri"/>
            <family val="2"/>
            <charset val="1"/>
          </rPr>
          <t xml:space="preserve">LANÇADO PLANILHA MAR-20:
CELG - FEV/20:
21.792,21 
3846,99
.
SANEAGO FEV/20:
3.126,45
879,09
</t>
        </r>
      </text>
    </comment>
    <comment ref="AE920" authorId="0" shapeId="0" xr:uid="{00000000-0006-0000-0000-0000C0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1" authorId="0" shapeId="0" xr:uid="{00000000-0006-0000-0000-000052050000}">
      <text>
        <r>
          <rPr>
            <sz val="11"/>
            <color rgb="FF000000"/>
            <rFont val="Calibri"/>
            <family val="2"/>
            <charset val="1"/>
          </rPr>
          <t xml:space="preserve">LANÇADO PLANILHA ABR-20:
ABASTECIMENTO VEICULAR MAR/20 
</t>
        </r>
      </text>
    </comment>
    <comment ref="AD921" authorId="0" shapeId="0" xr:uid="{00000000-0006-0000-0000-0000B1070000}">
      <text>
        <r>
          <rPr>
            <sz val="11"/>
            <color rgb="FF000000"/>
            <rFont val="Calibri"/>
            <family val="2"/>
            <charset val="1"/>
          </rPr>
          <t xml:space="preserve">LANÇADO PLANILHA ABR-20:
CELG - MAR/20:
18.496,26
3.831,17
.
SANEAGO MAR/20:
1.739,45
910,55
</t>
        </r>
        <r>
          <rPr>
            <sz val="9"/>
            <color rgb="FF000000"/>
            <rFont val="Segoe UI"/>
            <family val="2"/>
            <charset val="1"/>
          </rPr>
          <t xml:space="preserve">
</t>
        </r>
      </text>
    </comment>
    <comment ref="AE921" authorId="0" shapeId="0" xr:uid="{00000000-0006-0000-0000-0000C1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2" authorId="0" shapeId="0" xr:uid="{00000000-0006-0000-0000-000053050000}">
      <text>
        <r>
          <rPr>
            <sz val="11"/>
            <color rgb="FF000000"/>
            <rFont val="Calibri"/>
            <family val="2"/>
            <charset val="1"/>
          </rPr>
          <t xml:space="preserve">Abastecimento veicular ref. ABR 2020, lançado na planilha de MAI 2020
</t>
        </r>
      </text>
    </comment>
    <comment ref="AD922" authorId="0" shapeId="0" xr:uid="{00000000-0006-0000-0000-0000B2070000}">
      <text>
        <r>
          <rPr>
            <sz val="11"/>
            <color rgb="FF000000"/>
            <rFont val="Calibri"/>
            <family val="2"/>
            <charset val="1"/>
          </rPr>
          <t xml:space="preserve">LANÇADO PLANILHA MAI-20:
CELG - ABR/20:
19.030,42
4.650,99
.
SANEAGO ABR/20:
3.202,45
916,05
</t>
        </r>
      </text>
    </comment>
    <comment ref="AE922" authorId="0" shapeId="0" xr:uid="{00000000-0006-0000-0000-0000C2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3" authorId="0" shapeId="0" xr:uid="{00000000-0006-0000-0000-000054050000}">
      <text>
        <r>
          <rPr>
            <sz val="11"/>
            <color rgb="FF000000"/>
            <rFont val="Calibri"/>
            <family val="2"/>
            <charset val="1"/>
          </rPr>
          <t xml:space="preserve">Link de dados instalados na unidade período de jan a mai 2020, memorando 96-20 GETEC, lançado na planilha de pagamento -  JUN - 2020 - GAOS
</t>
        </r>
      </text>
    </comment>
    <comment ref="AD923" authorId="0" shapeId="0" xr:uid="{00000000-0006-0000-0000-0000B3070000}">
      <text>
        <r>
          <rPr>
            <sz val="11"/>
            <color rgb="FF000000"/>
            <rFont val="Calibri"/>
            <family val="2"/>
            <charset val="1"/>
          </rPr>
          <t xml:space="preserve">LANÇADO PLANILHA JUN-20:
CELG - MAI/20:
18.438,55
3.747,00
.
SANEAGO MAI/20:
1.302,45
712,77
</t>
        </r>
        <r>
          <rPr>
            <sz val="9"/>
            <color rgb="FF000000"/>
            <rFont val="Segoe UI"/>
            <family val="2"/>
            <charset val="1"/>
          </rPr>
          <t xml:space="preserve">
</t>
        </r>
      </text>
    </comment>
    <comment ref="AE923" authorId="0" shapeId="0" xr:uid="{00000000-0006-0000-0000-0000C3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Z924" authorId="0" shapeId="0" xr:uid="{00000000-0006-0000-0000-0000D1020000}">
      <text>
        <r>
          <rPr>
            <b/>
            <sz val="9"/>
            <color rgb="FF000000"/>
            <rFont val="Segoe UI"/>
            <family val="2"/>
            <charset val="1"/>
          </rPr>
          <t xml:space="preserve">FOLHA - REFERÊNCIA JUN/20 - LANÇADO PLANILHA PAGAMENTO GEFIC EM JUL/20.
</t>
        </r>
      </text>
    </comment>
    <comment ref="AA924" authorId="0" shapeId="0" xr:uid="{00000000-0006-0000-0000-00003C040000}">
      <text>
        <r>
          <rPr>
            <b/>
            <sz val="9"/>
            <color rgb="FF000000"/>
            <rFont val="Segoe UI"/>
            <family val="2"/>
            <charset val="1"/>
          </rPr>
          <t xml:space="preserve">FOLHA - REFERÊNCIA JUN/20 - LANÇADO PLANILHA PAGAMENTO GEFIC EM JUL/20.
</t>
        </r>
      </text>
    </comment>
    <comment ref="AC924" authorId="0" shapeId="0" xr:uid="{00000000-0006-0000-0000-000055050000}">
      <text>
        <r>
          <rPr>
            <sz val="11"/>
            <color rgb="FF000000"/>
            <rFont val="Calibri"/>
            <family val="2"/>
            <charset val="1"/>
          </rPr>
          <t xml:space="preserve">OI - REFERÊNCIA JUL/20 - LANÇADO PLANILHA PAGAMENTO GEFIC EM JUL/20
</t>
        </r>
      </text>
    </comment>
    <comment ref="AD924" authorId="0" shapeId="0" xr:uid="{00000000-0006-0000-0000-0000B4070000}">
      <text>
        <r>
          <rPr>
            <sz val="11"/>
            <color rgb="FF000000"/>
            <rFont val="Calibri"/>
            <family val="2"/>
            <charset val="1"/>
          </rPr>
          <t xml:space="preserve">LANÇADO PLANILHA JUL-20:
CELG - JUN/20:
18.169,90
3.485,99
.
SANEAGO JUN/20:
1.320,45
786,69
</t>
        </r>
        <r>
          <rPr>
            <sz val="9"/>
            <color rgb="FF000000"/>
            <rFont val="Segoe UI"/>
            <family val="2"/>
            <charset val="1"/>
          </rPr>
          <t xml:space="preserve">
</t>
        </r>
      </text>
    </comment>
    <comment ref="AE924" authorId="0" shapeId="0" xr:uid="{00000000-0006-0000-0000-0000C4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A925" authorId="0" shapeId="0" xr:uid="{00000000-0006-0000-0000-00003D040000}">
      <text>
        <r>
          <rPr>
            <sz val="9"/>
            <color rgb="FF000000"/>
            <rFont val="Segoe UI"/>
            <family val="2"/>
            <charset val="1"/>
          </rPr>
          <t xml:space="preserve">FOLHA - REFERÊNCIA JUl/20 - LANÇADO PLANILHA PAGAMENTO GEFIC EM AGO/20.
</t>
        </r>
      </text>
    </comment>
    <comment ref="AC925" authorId="0" shapeId="0" xr:uid="{00000000-0006-0000-0000-000056050000}">
      <text>
        <r>
          <rPr>
            <sz val="11"/>
            <color rgb="FF000000"/>
            <rFont val="Calibri"/>
            <family val="2"/>
            <charset val="1"/>
          </rPr>
          <t xml:space="preserve">OI - REFERÊNCIA AGO/20 - LANÇADO PLANILHA PAGAMENTO GEFIC EM AGO/20
</t>
        </r>
      </text>
    </comment>
    <comment ref="AD925" authorId="0" shapeId="0" xr:uid="{00000000-0006-0000-0000-0000B5070000}">
      <text>
        <r>
          <rPr>
            <b/>
            <sz val="9"/>
            <color rgb="FF000000"/>
            <rFont val="Segoe UI"/>
            <family val="2"/>
            <charset val="1"/>
          </rPr>
          <t xml:space="preserve">LANÇADO PLANILHA AGO-20:
CELG - JUL/20:
UC-12751110.....................R$ 18.958,75
UC-630214943.................................R$ 3.195,70
.
SANEAGO JUL/20:...........................R$ 897,57
</t>
        </r>
      </text>
    </comment>
    <comment ref="AE925" authorId="0" shapeId="0" xr:uid="{00000000-0006-0000-0000-0000C5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r>
        <r>
          <rPr>
            <sz val="9"/>
            <color rgb="FF000000"/>
            <rFont val="Segoe UI"/>
            <family val="2"/>
            <charset val="1"/>
          </rPr>
          <t xml:space="preserve">
</t>
        </r>
      </text>
    </comment>
    <comment ref="AA926" authorId="0" shapeId="0" xr:uid="{00000000-0006-0000-0000-00003E040000}">
      <text>
        <r>
          <rPr>
            <sz val="11"/>
            <color rgb="FF000000"/>
            <rFont val="Calibri"/>
            <family val="2"/>
            <charset val="1"/>
          </rPr>
          <t xml:space="preserve">FOLHA - REFERÊNCIA AGO/20 - LANÇADO PLANILHA PAGAMENTO GEFIC EM SET/20.
</t>
        </r>
      </text>
    </comment>
    <comment ref="AC926" authorId="0" shapeId="0" xr:uid="{00000000-0006-0000-0000-000057050000}">
      <text>
        <r>
          <rPr>
            <sz val="11"/>
            <color rgb="FF000000"/>
            <rFont val="Calibri"/>
            <family val="2"/>
            <charset val="1"/>
          </rPr>
          <t xml:space="preserve">OI - REFERÊNCIA SET/20 - LANÇADO PLANILHA PAGAMENTO GEFIC EM SET/20
</t>
        </r>
      </text>
    </comment>
    <comment ref="AD926" authorId="0" shapeId="0" xr:uid="{00000000-0006-0000-0000-0000B6070000}">
      <text>
        <r>
          <rPr>
            <sz val="9"/>
            <color rgb="FF000000"/>
            <rFont val="Segoe UI"/>
            <family val="2"/>
            <charset val="1"/>
          </rPr>
          <t xml:space="preserve">LANÇADO PLANILHA SET-20:
CELG - AGO/20:
UC-12751110.....................R$ 18.794,61
UC-630214943.................................R$ 3.624,25
.
SANEAGO AGO/20:...........................R$ 934,53
</t>
        </r>
      </text>
    </comment>
    <comment ref="AE926" authorId="0" shapeId="0" xr:uid="{00000000-0006-0000-0000-0000C6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7" authorId="0" shapeId="0" xr:uid="{00000000-0006-0000-0000-0000D202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A927" authorId="0" shapeId="0" xr:uid="{00000000-0006-0000-0000-00003F04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C927" authorId="0" shapeId="0" xr:uid="{00000000-0006-0000-0000-000058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27" authorId="0" shapeId="0" xr:uid="{00000000-0006-0000-0000-0000B7070000}">
      <text>
        <r>
          <rPr>
            <sz val="11"/>
            <color rgb="FF000000"/>
            <rFont val="Calibri"/>
            <family val="2"/>
            <charset val="1"/>
          </rPr>
          <t xml:space="preserve"> REFERÊNCIA SET/20 - LANÇADO PLANILHA PAGAMENTO GEFIC EM OUT/20:
.
R$ 20.238,65- ENERGIA UC (12751110)
R$ 3.246,29- ENERGIA UC (630214943)
</t>
        </r>
      </text>
    </comment>
    <comment ref="AE927" authorId="0" shapeId="0" xr:uid="{00000000-0006-0000-0000-0000C7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8" authorId="0" shapeId="0" xr:uid="{00000000-0006-0000-0000-0000D302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A928" authorId="0" shapeId="0" xr:uid="{00000000-0006-0000-0000-00004004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C928" authorId="0" shapeId="0" xr:uid="{00000000-0006-0000-0000-000059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928" authorId="0" shapeId="0" xr:uid="{00000000-0006-0000-0000-0000B8070000}">
      <text>
        <r>
          <rPr>
            <sz val="11"/>
            <color rgb="FF000000"/>
            <rFont val="Calibri"/>
            <family val="2"/>
            <charset val="1"/>
          </rPr>
          <t xml:space="preserve"> REFERÊNCIA OUT/20 - LANÇADO PLANILHA PAGAMENTO GEFIC EM NOV/20:
.
R$ 21.077,60- ENERGIA UC (12751110)
R$ 1.929,84- ENERGIA UC (630214943)
</t>
        </r>
      </text>
    </comment>
    <comment ref="AE928" authorId="0" shapeId="0" xr:uid="{00000000-0006-0000-0000-0000C8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9" authorId="0" shapeId="0" xr:uid="{00000000-0006-0000-0000-0000D402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A929" authorId="0" shapeId="0" xr:uid="{00000000-0006-0000-0000-00004104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C929" authorId="0" shapeId="0" xr:uid="{00000000-0006-0000-0000-00005A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29" authorId="0" shapeId="0" xr:uid="{00000000-0006-0000-0000-0000B9070000}">
      <text>
        <r>
          <rPr>
            <sz val="11"/>
            <color rgb="FF000000"/>
            <rFont val="Calibri"/>
            <family val="2"/>
            <charset val="1"/>
          </rPr>
          <t xml:space="preserve">ENERGIA - LANÇADO PLANILHA PAGAMENTO GEFIC EM DEZ/20
.
CELG :
UC-12751110-NOV/20.....................R$ 18.997,23
UC-12751110-DEZ/20.....................R$ 22.474,90
UC-630214943-NOV/20.................R$ 1.434,81
UC-630214943-DEZ-20.................R$ 3.861,78
</t>
        </r>
        <r>
          <rPr>
            <sz val="9"/>
            <color rgb="FF000000"/>
            <rFont val="Segoe UI"/>
            <family val="2"/>
            <charset val="1"/>
          </rPr>
          <t xml:space="preserve">
</t>
        </r>
      </text>
    </comment>
    <comment ref="AE929" authorId="0" shapeId="0" xr:uid="{00000000-0006-0000-0000-0000C9080000}">
      <text>
        <r>
          <rPr>
            <sz val="11"/>
            <color rgb="FF000000"/>
            <rFont val="Calibri"/>
            <family val="2"/>
            <charset val="1"/>
          </rPr>
          <t xml:space="preserve">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r>
          <rPr>
            <sz val="9"/>
            <color rgb="FF000000"/>
            <rFont val="Segoe UI"/>
            <family val="2"/>
            <charset val="1"/>
          </rPr>
          <t>.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r>
      </text>
    </comment>
    <comment ref="Z930" authorId="0" shapeId="0" xr:uid="{00000000-0006-0000-0000-0000D502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A930" authorId="0" shapeId="0" xr:uid="{00000000-0006-0000-0000-00004204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C930" authorId="0" shapeId="0" xr:uid="{00000000-0006-0000-0000-00005B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E930" authorId="0" shapeId="0" xr:uid="{00000000-0006-0000-0000-0000CA080000}">
      <text>
        <r>
          <rPr>
            <sz val="9"/>
            <color rgb="FF000000"/>
            <rFont val="Tahoma"/>
            <family val="2"/>
            <charset val="1"/>
          </rPr>
          <t xml:space="preserve">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
</t>
        </r>
      </text>
    </comment>
    <comment ref="AO930" authorId="0" shapeId="0" xr:uid="{00000000-0006-0000-0000-00007C090000}">
      <text>
        <r>
          <rPr>
            <sz val="11"/>
            <color rgb="FF000000"/>
            <rFont val="Calibri"/>
            <family val="2"/>
            <charset val="1"/>
          </rPr>
          <t xml:space="preserve">RESTITUIÇÃO REFERENTE A GLOSA INDEVIDA (SERVIDORES ELIANE GUTHIERRES ALVES VIEIRA E JAIME PEREIRA SANTIAGO) - CONF.DESPACHO 70/2021 SGI PROC.202000010019990 E DESPACHO 206/2021 SGI PROC.202000010019997
</t>
        </r>
      </text>
    </comment>
    <comment ref="Z931" authorId="0" shapeId="0" xr:uid="{00000000-0006-0000-0000-0000D6020000}">
      <text>
        <r>
          <rPr>
            <sz val="11"/>
            <color rgb="FF000000"/>
            <rFont val="Calibri"/>
            <family val="2"/>
            <charset val="1"/>
          </rPr>
          <t xml:space="preserve">FOLHA - REFERÊNCIA DEZ/20 - LANÇADO PLANILHA PAGAMENTO GEFIC EM JAN/21.
R$ 519.467,94 FOLHA - HEMOCENTRO GOIÁS;
R$ 21.785,47 HEMO CERES;
R$ 9.897,32 HEMO JATAÍ;
R$ 138.924,22 HEMO RIO VERDE
R$ 80.268,03 HEMO CATALÃO
</t>
        </r>
      </text>
    </comment>
    <comment ref="AA931" authorId="0" shapeId="0" xr:uid="{00000000-0006-0000-0000-000043040000}">
      <text>
        <r>
          <rPr>
            <sz val="11"/>
            <color rgb="FF000000"/>
            <rFont val="Calibri"/>
            <family val="2"/>
            <charset val="1"/>
          </rPr>
          <t xml:space="preserve">FOLHA - REFERÊNCIA JAN/21- LANÇADO PLANILHA PAGAMENTO GEFIC EM FEV/21.
R$ 519.467,94 FOLHA - HEMOCENTRO GOIÁS;
R$ 21.785,47 HEMO CERES;
R$ 9.897,32 HEMO JATAÍ;
R$ 138.924,22 HEMO RIO VERDE
R$ 80.268,03 HEMO CATALÃO
</t>
        </r>
      </text>
    </comment>
    <comment ref="AC931" authorId="0" shapeId="0" xr:uid="{00000000-0006-0000-0000-00005C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931" authorId="0" shapeId="0" xr:uid="{00000000-0006-0000-0000-0000BA070000}">
      <text>
        <r>
          <rPr>
            <sz val="11"/>
            <color rgb="FF000000"/>
            <rFont val="Calibri"/>
            <family val="2"/>
            <charset val="1"/>
          </rPr>
          <t xml:space="preserve">CELG JAN/21 LANÇADO NA PLANILHA DE FEV/21
</t>
        </r>
      </text>
    </comment>
    <comment ref="AE931" authorId="0" shapeId="0" xr:uid="{00000000-0006-0000-0000-0000CB080000}">
      <text>
        <r>
          <rPr>
            <sz val="9"/>
            <color rgb="FF000000"/>
            <rFont val="Tahoma"/>
            <family val="2"/>
            <charset val="1"/>
          </rPr>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r>
      </text>
    </comment>
    <comment ref="Z932" authorId="0" shapeId="0" xr:uid="{00000000-0006-0000-0000-0000D702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A932" authorId="0" shapeId="0" xr:uid="{00000000-0006-0000-0000-00004404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C932" authorId="0" shapeId="0" xr:uid="{00000000-0006-0000-0000-00005D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932" authorId="0" shapeId="0" xr:uid="{00000000-0006-0000-0000-0000BB070000}">
      <text>
        <r>
          <rPr>
            <sz val="11"/>
            <color rgb="FF000000"/>
            <rFont val="Calibri"/>
            <family val="2"/>
            <charset val="1"/>
          </rPr>
          <t xml:space="preserve">CELG FEV/21 LANÇADO NA PLANILHA DE MAR/21
</t>
        </r>
        <r>
          <rPr>
            <sz val="9"/>
            <color rgb="FF000000"/>
            <rFont val="Segoe UI"/>
            <family val="2"/>
            <charset val="1"/>
          </rPr>
          <t>UC -12751110............R$ 19.143,69
UC -630214943............R$ 5.058,22</t>
        </r>
      </text>
    </comment>
    <comment ref="Z933" authorId="0" shapeId="0" xr:uid="{00000000-0006-0000-0000-0000D8020000}">
      <text>
        <r>
          <rPr>
            <sz val="11"/>
            <color rgb="FF000000"/>
            <rFont val="Calibri"/>
            <family val="2"/>
            <charset val="1"/>
          </rPr>
          <t xml:space="preserve">FOLHA - REFERÊNCIA FEV/21- LANÇADO PLANILHA PAGAMENTO GEFIC EM MAR/21.
R$ 443.176,57 FOLHA - HEMOCENTRO GOIÁS;
R$ 20.899,73 HEMO CERES;
R$ 18.821,77 HEMO JATAÍ;
R$ 142.906,78 HEMO RIO VERDE
R$ 78.771,90  HEMO CATALÃO
</t>
        </r>
      </text>
    </comment>
    <comment ref="AA933" authorId="0" shapeId="0" xr:uid="{00000000-0006-0000-0000-000045040000}">
      <text>
        <r>
          <rPr>
            <sz val="11"/>
            <color rgb="FF000000"/>
            <rFont val="Calibri"/>
            <family val="2"/>
            <charset val="1"/>
          </rPr>
          <t xml:space="preserve">FOLHA - REFERÊNCIA MAR/21- LANÇADO PLANILHA PAGAMENTO GEFIC EM ABR/21.
R$ 443.176,57 FOLHA - HEMOCENTRO GOIÁS;
R$ 20.899,73 HEMO CERES;
R$ 18.821,77 HEMO JATAÍ;
R$ 142.906,78 HEMO RIO VERDE
R$ 78.771,90  HEMO CATALÃO
</t>
        </r>
      </text>
    </comment>
    <comment ref="AC933" authorId="0" shapeId="0" xr:uid="{00000000-0006-0000-0000-00005E050000}">
      <text>
        <r>
          <rPr>
            <sz val="11"/>
            <color rgb="FF000000"/>
            <rFont val="Calibri"/>
            <family val="2"/>
            <charset val="1"/>
          </rPr>
          <t xml:space="preserve">OI - REFERÊNCIA ABR/21 - LANÇADO PLANILHA PAGAMENTO GEFIC EM ABR/21
</t>
        </r>
      </text>
    </comment>
    <comment ref="AD933" authorId="0" shapeId="0" xr:uid="{00000000-0006-0000-0000-0000BC070000}">
      <text>
        <r>
          <rPr>
            <sz val="11"/>
            <color rgb="FF000000"/>
            <rFont val="Calibri"/>
            <family val="2"/>
            <charset val="1"/>
          </rPr>
          <t xml:space="preserve">CELG MAR/21 LANÇADO NA PLANILHA DE ABR/21
</t>
        </r>
        <r>
          <rPr>
            <sz val="9"/>
            <color rgb="FF000000"/>
            <rFont val="Segoe UI"/>
            <family val="2"/>
            <charset val="1"/>
          </rPr>
          <t>UC -12751110............R$ 18.899,30
UC -630214943............R$ 4702,29</t>
        </r>
      </text>
    </comment>
    <comment ref="Z934" authorId="0" shapeId="0" xr:uid="{00000000-0006-0000-0000-0000D902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A934" authorId="0" shapeId="0" xr:uid="{00000000-0006-0000-0000-00004604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C934" authorId="0" shapeId="0" xr:uid="{00000000-0006-0000-0000-00005F050000}">
      <text>
        <r>
          <rPr>
            <sz val="11"/>
            <color rgb="FF000000"/>
            <rFont val="Calibri"/>
            <family val="2"/>
            <charset val="1"/>
          </rPr>
          <t xml:space="preserve">OI - REFERÊNCIA MAI/21 - LANÇADO PLANILHA PAGAMENTO GEFIC EM MAI/21
</t>
        </r>
      </text>
    </comment>
    <comment ref="AD934" authorId="0" shapeId="0" xr:uid="{00000000-0006-0000-0000-0000BD070000}">
      <text>
        <r>
          <rPr>
            <sz val="11"/>
            <color rgb="FF000000"/>
            <rFont val="Calibri"/>
            <family val="2"/>
            <charset val="1"/>
          </rPr>
          <t xml:space="preserve">CELG ABR/21 LANÇADO NA PLANILHA DE MAI/21
</t>
        </r>
        <r>
          <rPr>
            <sz val="9"/>
            <color rgb="FF000000"/>
            <rFont val="Segoe UI"/>
            <family val="2"/>
            <charset val="1"/>
          </rPr>
          <t>UC -12751110............R$ 21.340,01
UC -630214943............R$ 4.565,29</t>
        </r>
      </text>
    </comment>
    <comment ref="Z935" authorId="0" shapeId="0" xr:uid="{00000000-0006-0000-0000-0000DA02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A935" authorId="0" shapeId="0" xr:uid="{00000000-0006-0000-0000-00004704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D935" authorId="0" shapeId="0" xr:uid="{00000000-0006-0000-0000-0000BE070000}">
      <text>
        <r>
          <rPr>
            <sz val="11"/>
            <color rgb="FF000000"/>
            <rFont val="Calibri"/>
            <family val="2"/>
            <charset val="1"/>
          </rPr>
          <t xml:space="preserve">CELG MAI/21 LANÇADO NA PLANILHA DE JUN/21
</t>
        </r>
        <r>
          <rPr>
            <sz val="9"/>
            <color rgb="FF000000"/>
            <rFont val="Segoe UI"/>
            <family val="2"/>
            <charset val="1"/>
          </rPr>
          <t>UC -12751110............R$  21.597,67
UC -630214943............R$ 4.166,26</t>
        </r>
      </text>
    </comment>
    <comment ref="Z936" authorId="0" shapeId="0" xr:uid="{00000000-0006-0000-0000-0000DB02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A936" authorId="0" shapeId="0" xr:uid="{00000000-0006-0000-0000-00004804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D936" authorId="0" shapeId="0" xr:uid="{00000000-0006-0000-0000-0000BF070000}">
      <text>
        <r>
          <rPr>
            <sz val="11"/>
            <color rgb="FF000000"/>
            <rFont val="Calibri"/>
            <family val="2"/>
            <charset val="1"/>
          </rPr>
          <t xml:space="preserve">CELG JUN/21 LANÇADO NA PLANILHA DE JUL/21
</t>
        </r>
        <r>
          <rPr>
            <sz val="9"/>
            <color rgb="FF000000"/>
            <rFont val="Segoe UI"/>
            <family val="2"/>
            <charset val="1"/>
          </rPr>
          <t>UC -12751110............R$  24.259,35
UC -630214943............R$ 4.886,00</t>
        </r>
      </text>
    </comment>
    <comment ref="Z937" authorId="0" shapeId="0" xr:uid="{00000000-0006-0000-0000-0000DC02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A937" authorId="0" shapeId="0" xr:uid="{00000000-0006-0000-0000-00004904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D937" authorId="0" shapeId="0" xr:uid="{00000000-0006-0000-0000-0000C0070000}">
      <text>
        <r>
          <rPr>
            <sz val="11"/>
            <color rgb="FF000000"/>
            <rFont val="Calibri"/>
            <family val="2"/>
            <charset val="1"/>
          </rPr>
          <t xml:space="preserve">CELG JUL/21 LANÇADO NA PLANILHA DE AGO/21
</t>
        </r>
        <r>
          <rPr>
            <sz val="9"/>
            <color rgb="FF000000"/>
            <rFont val="Segoe UI"/>
            <family val="2"/>
            <charset val="1"/>
          </rPr>
          <t>UC -12751110............R$  24.943,57
UC -630214943............R$ 4.286,71</t>
        </r>
      </text>
    </comment>
    <comment ref="A941" authorId="0" shapeId="0" xr:uid="{00000000-0006-0000-0000-000001000000}">
      <text>
        <r>
          <rPr>
            <b/>
            <sz val="9"/>
            <color rgb="FF000000"/>
            <rFont val="Tahoma"/>
            <family val="2"/>
            <charset val="1"/>
          </rPr>
          <t xml:space="preserve">INSTITUTO DE GESTÃO POR RESULTADOS
</t>
        </r>
      </text>
    </comment>
    <comment ref="D941" authorId="0" shapeId="0" xr:uid="{00000000-0006-0000-0000-00000C000000}">
      <text>
        <r>
          <rPr>
            <sz val="11"/>
            <color rgb="FF000000"/>
            <rFont val="Calibri"/>
            <family val="2"/>
            <charset val="1"/>
          </rPr>
          <t xml:space="preserve">VIGÊNCIA A PARTIR 07/11/18 (48 MESES A PARTIR DA PUBLICAÇÃO)
</t>
        </r>
        <r>
          <rPr>
            <sz val="9"/>
            <color rgb="FF000000"/>
            <rFont val="Tahoma"/>
            <family val="2"/>
            <charset val="1"/>
          </rPr>
          <t xml:space="preserve">PROC.201700010012294
</t>
        </r>
      </text>
    </comment>
    <comment ref="AA942" authorId="0" shapeId="0" xr:uid="{00000000-0006-0000-0000-00004A040000}">
      <text>
        <r>
          <rPr>
            <b/>
            <sz val="9"/>
            <color rgb="FF000000"/>
            <rFont val="Tahoma"/>
            <family val="2"/>
            <charset val="1"/>
          </rPr>
          <t>FOLHA NOV/18</t>
        </r>
      </text>
    </comment>
    <comment ref="AF942" authorId="0" shapeId="0" xr:uid="{00000000-0006-0000-0000-00001F090000}">
      <text>
        <r>
          <rPr>
            <sz val="11"/>
            <color rgb="FF000000"/>
            <rFont val="Calibri"/>
            <family val="2"/>
            <charset val="1"/>
          </rPr>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r>
      </text>
    </comment>
    <comment ref="AD943" authorId="0" shapeId="0" xr:uid="{00000000-0006-0000-0000-0000C1070000}">
      <text>
        <r>
          <rPr>
            <b/>
            <sz val="9"/>
            <color rgb="FF000000"/>
            <rFont val="Tahoma"/>
            <family val="2"/>
            <charset val="1"/>
          </rPr>
          <t xml:space="preserve">ENEL - DEZ/18
</t>
        </r>
      </text>
    </comment>
    <comment ref="AA945" authorId="0" shapeId="0" xr:uid="{00000000-0006-0000-0000-00004B040000}">
      <text>
        <r>
          <rPr>
            <sz val="11"/>
            <color rgb="FF000000"/>
            <rFont val="Calibri"/>
            <family val="2"/>
            <charset val="1"/>
          </rPr>
          <t xml:space="preserve">GLOSA FOLHA DE PESSOAL:
R$ 519.129,32 GLOSA FOLHA FEV/19VALOR ESTIMADO PREVISTO CONTRATO GESTÃO. 
.
</t>
        </r>
        <r>
          <rPr>
            <sz val="9"/>
            <color rgb="FF000000"/>
            <rFont val="Tahoma"/>
            <family val="2"/>
            <charset val="1"/>
          </rPr>
          <t xml:space="preserve">
</t>
        </r>
      </text>
    </comment>
    <comment ref="AB945" authorId="0" shapeId="0" xr:uid="{00000000-0006-0000-0000-0000AC040000}">
      <text>
        <r>
          <rPr>
            <b/>
            <sz val="9"/>
            <color rgb="FF000000"/>
            <rFont val="Tahoma"/>
            <family val="2"/>
            <charset val="1"/>
          </rPr>
          <t xml:space="preserve">R$ 70.872,56 DIFERENÇA GLOSA DE FOLHA JAN/19 LANÇADA NA PLANILHA DE PREVISÃO DE PAGAMENTO FEV/19 DA GEFIC (O PAGAMENTO PASSOU A SER REALIZADO DENTRO DO MÊS DE REFERÊNCIA POR ISSO FOI LANÇADA GLOSA ESTIMADA PREVISTA NO CONTRATO DE GESTÃO)
</t>
        </r>
      </text>
    </comment>
    <comment ref="AC945" authorId="0" shapeId="0" xr:uid="{00000000-0006-0000-0000-000060050000}">
      <text>
        <r>
          <rPr>
            <b/>
            <sz val="9"/>
            <color rgb="FF000000"/>
            <rFont val="Tahoma"/>
            <family val="2"/>
            <charset val="1"/>
          </rPr>
          <t>LANÇADO PLANILHA GEFIC EM FEV/19:
.
TELEFONIA FIXA:
DEZ/18 (DIAS 11/30)............279.,98
JAN/19..............................866,35
FEV/19..............................792,74
.
TELEFONIA MÓVEL:
NOV/18 (24/30 DIA).....................56,00
DEZ/18......................................70,00
JAN/19......................................56,45</t>
        </r>
      </text>
    </comment>
    <comment ref="AD945" authorId="0" shapeId="0" xr:uid="{00000000-0006-0000-0000-0000C2070000}">
      <text>
        <r>
          <rPr>
            <b/>
            <sz val="9"/>
            <color rgb="FF000000"/>
            <rFont val="Tahoma"/>
            <family val="2"/>
            <charset val="1"/>
          </rPr>
          <t xml:space="preserve"> LANÇADO PLANILHA GEFIC EM FEV/19:
.
CELG:
NOV/18................2.058,21
DEZ/18................3.522,85
JAN/19................4.071,38
.
SANEAGO: 
NOV/18.................161,51
DEZ/18.................457,75
JAN/19.................354,39
</t>
        </r>
      </text>
    </comment>
    <comment ref="AA946" authorId="0" shapeId="0" xr:uid="{00000000-0006-0000-0000-00004C040000}">
      <text>
        <r>
          <rPr>
            <sz val="11"/>
            <color rgb="FF000000"/>
            <rFont val="Calibri"/>
            <family val="2"/>
            <charset val="1"/>
          </rPr>
          <t xml:space="preserve">GLOSA FOLHA DE PESSOAL:
R$ 519.129,32 GLOSA FOLHA MAR/19VALOR ESTIMADO PREVISTO CONTRATO GESTÃO. 
.
</t>
        </r>
        <r>
          <rPr>
            <sz val="9"/>
            <color rgb="FF000000"/>
            <rFont val="Tahoma"/>
            <family val="2"/>
            <charset val="1"/>
          </rPr>
          <t xml:space="preserve">
</t>
        </r>
      </text>
    </comment>
    <comment ref="AB946" authorId="0" shapeId="0" xr:uid="{00000000-0006-0000-0000-0000AD040000}">
      <text>
        <r>
          <rPr>
            <b/>
            <sz val="9"/>
            <color rgb="FF000000"/>
            <rFont val="Tahoma"/>
            <family val="2"/>
            <charset val="1"/>
          </rPr>
          <t xml:space="preserve">R$ 106.450,21 DIFERENÇA GLOSA DE FOLHA FEV19 LANÇADA NA PLANILHA DE PREVISÃO DE PAGAMENTO MAR/19 DA GEFIC (O PAGAMENTO PASSOU A SER REALIZADO DENTRO DO MÊS DE REFERÊNCIA POR ISSO FOI LANÇADA GLOSA ESTIMADA PREVISTA NO CONTRATO DE GESTÃO)
</t>
        </r>
      </text>
    </comment>
    <comment ref="AC946" authorId="0" shapeId="0" xr:uid="{00000000-0006-0000-0000-000061050000}">
      <text>
        <r>
          <rPr>
            <b/>
            <sz val="9"/>
            <color rgb="FF000000"/>
            <rFont val="Tahoma"/>
            <family val="2"/>
            <charset val="1"/>
          </rPr>
          <t xml:space="preserve">TELEFONIA FIXA -REFERÊNCIA MAR/19 - LANÇADO PLANILHA GEFIC EM MAR/19
</t>
        </r>
      </text>
    </comment>
    <comment ref="AD946" authorId="0" shapeId="0" xr:uid="{00000000-0006-0000-0000-0000C3070000}">
      <text>
        <r>
          <rPr>
            <b/>
            <sz val="9"/>
            <color rgb="FF000000"/>
            <rFont val="Tahoma"/>
            <family val="2"/>
            <charset val="1"/>
          </rPr>
          <t xml:space="preserve"> LANÇADO PLANILHA GEFIC EM FEV/19:
.
CELG:
FEV/19................4.739,98
.
SANEAGO: 
FEV/19................428,22
</t>
        </r>
      </text>
    </comment>
    <comment ref="E947" authorId="0" shapeId="0" xr:uid="{00000000-0006-0000-0000-000033000000}">
      <text>
        <r>
          <rPr>
            <sz val="9"/>
            <color rgb="FF000000"/>
            <rFont val="Tahoma"/>
            <family val="2"/>
            <charset val="1"/>
          </rPr>
          <t xml:space="preserve">01 A 06/05/18 R$ 274.382,90 E 07/05 A 30/05/18 R$ 1.217.607,17
</t>
        </r>
      </text>
    </comment>
    <comment ref="AA947" authorId="0" shapeId="0" xr:uid="{00000000-0006-0000-0000-00004D040000}">
      <text>
        <r>
          <rPr>
            <b/>
            <sz val="9"/>
            <color rgb="FF000000"/>
            <rFont val="Tahoma"/>
            <family val="2"/>
            <charset val="1"/>
          </rPr>
          <t xml:space="preserve">VALOR ESTIMADO PREVISTO CONTRATO GESTÃO. </t>
        </r>
      </text>
    </comment>
    <comment ref="AB947" authorId="0" shapeId="0" xr:uid="{00000000-0006-0000-0000-0000AE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47" authorId="0" shapeId="0" xr:uid="{00000000-0006-0000-0000-000062050000}">
      <text>
        <r>
          <rPr>
            <b/>
            <sz val="9"/>
            <color rgb="FF000000"/>
            <rFont val="Tahoma"/>
            <family val="2"/>
            <charset val="1"/>
          </rPr>
          <t xml:space="preserve">TELEFONIA FIXA -REFERÊNCIA ABR/19 - LANÇADO PLANILHA GEFIC EM ABR/19
</t>
        </r>
      </text>
    </comment>
    <comment ref="AD947" authorId="0" shapeId="0" xr:uid="{00000000-0006-0000-0000-0000C4070000}">
      <text>
        <r>
          <rPr>
            <b/>
            <sz val="9"/>
            <color rgb="FF000000"/>
            <rFont val="Tahoma"/>
            <family val="2"/>
            <charset val="1"/>
          </rPr>
          <t xml:space="preserve"> LANÇADO PLANILHA GEFIC EM MAR/19:
.
CELG:
MAR/19................4.197,63
.
SANEAGO: 
MAR/19................295,33
</t>
        </r>
      </text>
    </comment>
    <comment ref="AA948" authorId="0" shapeId="0" xr:uid="{00000000-0006-0000-0000-00004E040000}">
      <text>
        <r>
          <rPr>
            <b/>
            <sz val="9"/>
            <color rgb="FF000000"/>
            <rFont val="Tahoma"/>
            <family val="2"/>
            <charset val="1"/>
          </rPr>
          <t xml:space="preserve">VALOR ESTIMADO PREVISTO CONTRATO GESTÃO. </t>
        </r>
      </text>
    </comment>
    <comment ref="AB948" authorId="0" shapeId="0" xr:uid="{00000000-0006-0000-0000-0000AF040000}">
      <text>
        <r>
          <rPr>
            <b/>
            <sz val="9"/>
            <color rgb="FF000000"/>
            <rFont val="Tahoma"/>
            <family val="2"/>
            <charset val="1"/>
          </rPr>
          <t>DIFERENÇA GLOSA DE FOLHA ABR/19 LANÇADA NA PLANILHA DE PREVISÃO DE PAGAMENTO MAI/19 DA GEFIC (O PAGAMENTO PASSOU A SER REALIZADO DENTRO DO MÊS DE REFERÊNCIA POR ISSO FOI LANÇADA GLOSA ESTIMADA PREVISTA NO CONTRATO DE GESTÃO)</t>
        </r>
      </text>
    </comment>
    <comment ref="AC948" authorId="0" shapeId="0" xr:uid="{00000000-0006-0000-0000-000063050000}">
      <text>
        <r>
          <rPr>
            <b/>
            <sz val="9"/>
            <color rgb="FF000000"/>
            <rFont val="Tahoma"/>
            <family val="2"/>
            <charset val="1"/>
          </rPr>
          <t xml:space="preserve">TELEFONIA FIXA -REFERÊNCIA MAI/19 - LANÇADO PLANILHA GEFIC EM MAI/19
</t>
        </r>
      </text>
    </comment>
    <comment ref="AD948" authorId="0" shapeId="0" xr:uid="{00000000-0006-0000-0000-0000C5070000}">
      <text>
        <r>
          <rPr>
            <b/>
            <sz val="9"/>
            <color rgb="FF000000"/>
            <rFont val="Tahoma"/>
            <family val="2"/>
            <charset val="1"/>
          </rPr>
          <t xml:space="preserve"> LANÇADO PLANILHA GEFIC EM MAI/19:
.
CELG:
ABR/19................4.018,60
.
SANEAGO: 
ABR/19................265,80
</t>
        </r>
      </text>
    </comment>
    <comment ref="E949" authorId="0" shapeId="0" xr:uid="{00000000-0006-0000-0000-000034000000}">
      <text>
        <r>
          <rPr>
            <b/>
            <sz val="9"/>
            <color rgb="FF000000"/>
            <rFont val="Tahoma"/>
            <family val="2"/>
            <charset val="1"/>
          </rPr>
          <t xml:space="preserve">01 A 06/07/18 R$ 328.676,91 E 07/07 A 30/07/18 R$ 1.314.707,65
</t>
        </r>
      </text>
    </comment>
    <comment ref="AA949" authorId="0" shapeId="0" xr:uid="{00000000-0006-0000-0000-00004F040000}">
      <text>
        <r>
          <rPr>
            <b/>
            <sz val="9"/>
            <color rgb="FF000000"/>
            <rFont val="Tahoma"/>
            <family val="2"/>
            <charset val="1"/>
          </rPr>
          <t xml:space="preserve">VALOR ESTIMADO PREVISTO CONTRATO GESTÃO. </t>
        </r>
      </text>
    </comment>
    <comment ref="AB949" authorId="0" shapeId="0" xr:uid="{00000000-0006-0000-0000-0000B0040000}">
      <text>
        <r>
          <rPr>
            <sz val="11"/>
            <color rgb="FF000000"/>
            <rFont val="Calibri"/>
            <family val="2"/>
            <charset val="1"/>
          </rPr>
          <t xml:space="preserve">DIFERENÇA GLOSA DE FOLHA MAI19 LANÇADA NA PLANILHA DE PREVISÃO DE PAGAMENTO JUN/19 DA GEFIC (O PAGAMENTO PASSOU A SER REALIZADO DENTRO DO MÊS DE REFERÊNCIA POR ISSO FOI LANÇADA GLOSA ESTIMADA PREVISTA NO CONTRATO DE GESTÃO)
</t>
        </r>
      </text>
    </comment>
    <comment ref="AC949" authorId="0" shapeId="0" xr:uid="{00000000-0006-0000-0000-000064050000}">
      <text>
        <r>
          <rPr>
            <b/>
            <sz val="9"/>
            <color rgb="FF000000"/>
            <rFont val="Tahoma"/>
            <family val="2"/>
            <charset val="1"/>
          </rPr>
          <t xml:space="preserve">- TELEFONIA JUNHO/19
</t>
        </r>
      </text>
    </comment>
    <comment ref="AD949" authorId="0" shapeId="0" xr:uid="{00000000-0006-0000-0000-0000C6070000}">
      <text>
        <r>
          <rPr>
            <b/>
            <sz val="9"/>
            <color rgb="FF000000"/>
            <rFont val="Tahoma"/>
            <family val="2"/>
            <charset val="1"/>
          </rPr>
          <t>- ENERGIA  MAIO/19 3.809,89
- SANEAGO MAIO/19 251,04</t>
        </r>
      </text>
    </comment>
    <comment ref="AA950" authorId="0" shapeId="0" xr:uid="{00000000-0006-0000-0000-000050040000}">
      <text>
        <r>
          <rPr>
            <b/>
            <sz val="9"/>
            <color rgb="FF000000"/>
            <rFont val="Tahoma"/>
            <family val="2"/>
            <charset val="1"/>
          </rPr>
          <t xml:space="preserve">VALOR ESTIMADO PREVISTO CONTRATO GESTÃO. </t>
        </r>
      </text>
    </comment>
    <comment ref="AB950" authorId="0" shapeId="0" xr:uid="{00000000-0006-0000-0000-0000B1040000}">
      <text>
        <r>
          <rPr>
            <sz val="11"/>
            <color rgb="FF000000"/>
            <rFont val="Calibri"/>
            <family val="2"/>
            <charset val="1"/>
          </rPr>
          <t xml:space="preserve">DIFERENÇA GLOSA DE FOLHA JUN/19 LANÇADA NA PLANILHA DE PREVISÃO DE PAGAMENTO JUL/19 DA GEFIC (O PAGAMENTO PASSOU A SER REALIZADO DENTRO DO MÊS DE REFERÊNCIA POR ISSO FOI LANÇADA GLOSA ESTIMADA PREVISTA NO CONTRATO DE GESTÃO)
</t>
        </r>
      </text>
    </comment>
    <comment ref="AC950" authorId="0" shapeId="0" xr:uid="{00000000-0006-0000-0000-000065050000}">
      <text>
        <r>
          <rPr>
            <sz val="11"/>
            <color rgb="FF000000"/>
            <rFont val="Calibri"/>
            <family val="2"/>
            <charset val="1"/>
          </rPr>
          <t xml:space="preserve">TELEFONIA FIXA -REFERÊNCIA JUL/19 - LANÇADO PLANILHA GEFIC EM JUL/19
</t>
        </r>
      </text>
    </comment>
    <comment ref="AD950" authorId="0" shapeId="0" xr:uid="{00000000-0006-0000-0000-0000C7070000}">
      <text>
        <r>
          <rPr>
            <sz val="11"/>
            <color rgb="FF000000"/>
            <rFont val="Calibri"/>
            <family val="2"/>
            <charset val="1"/>
          </rPr>
          <t xml:space="preserve">REFERÊNCIA JUN/19 - LANÇADO PLANILHA PAGAMENTO GEFIC EM JUL/19
- ENERGIA  JUN/19........R$ 3.298,99
- SANEAGO JUN/19.......R$ 280,57
</t>
        </r>
      </text>
    </comment>
    <comment ref="E951" authorId="0" shapeId="0" xr:uid="{00000000-0006-0000-0000-000035000000}">
      <text>
        <r>
          <rPr>
            <sz val="9"/>
            <color rgb="FF000000"/>
            <rFont val="Tahoma"/>
            <family val="2"/>
            <charset val="1"/>
          </rPr>
          <t xml:space="preserve">01 A 06/09/18 R$ 328.676,91 E 07/09 A 30/09/18  R$ 1.47.
4822,34
</t>
        </r>
      </text>
    </comment>
    <comment ref="AA951" authorId="0" shapeId="0" xr:uid="{00000000-0006-0000-0000-000051040000}">
      <text>
        <r>
          <rPr>
            <b/>
            <sz val="9"/>
            <color rgb="FF000000"/>
            <rFont val="Tahoma"/>
            <family val="2"/>
            <charset val="1"/>
          </rPr>
          <t xml:space="preserve">VALOR ESTIMADO PREVISTO CONTRATO GESTÃO. </t>
        </r>
      </text>
    </comment>
    <comment ref="AB951" authorId="0" shapeId="0" xr:uid="{00000000-0006-0000-0000-0000B2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951" authorId="0" shapeId="0" xr:uid="{00000000-0006-0000-0000-000066050000}">
      <text>
        <r>
          <rPr>
            <sz val="11"/>
            <color rgb="FF000000"/>
            <rFont val="Calibri"/>
            <family val="2"/>
            <charset val="1"/>
          </rPr>
          <t xml:space="preserve">R$ 365,11 TELEFONIA FIXA -REFERÊNCIA AGO/19 - LANÇADO PLANILHA GEFIC EM AGO/19;
</t>
        </r>
        <r>
          <rPr>
            <sz val="9"/>
            <color rgb="FF000000"/>
            <rFont val="Tahoma"/>
            <family val="2"/>
            <charset val="1"/>
          </rPr>
          <t>.
R$ 368,03TELEFONIA FIXA -REFERÊNCIA SET/19 - LANÇADO PLANILHA GEFIC EM SET/19</t>
        </r>
      </text>
    </comment>
    <comment ref="AD951" authorId="0" shapeId="0" xr:uid="{00000000-0006-0000-0000-0000C8070000}">
      <text>
        <r>
          <rPr>
            <sz val="11"/>
            <color rgb="FF000000"/>
            <rFont val="Calibri"/>
            <family val="2"/>
            <charset val="1"/>
          </rPr>
          <t xml:space="preserve">REFERÊNCIA JUL/19 - LANÇADO PLANILHA PAGAMENTO GEFIC EM AGO/19
- ENERGIA  JUL/19........R$ 3.032,19
- SANEAGO JUL/19.......R$ 234,36
.
REFERÊNCIA AGO/19 - LANÇADO PLANILHA PAGAMENTO GEFIC EM SET/19
- ENERGIA  AGO/19........R$ 3.723,96
- SANEAGO AGO/19.......R$ 265,60
</t>
        </r>
      </text>
    </comment>
    <comment ref="AA952" authorId="0" shapeId="0" xr:uid="{00000000-0006-0000-0000-000052040000}">
      <text>
        <r>
          <rPr>
            <b/>
            <sz val="9"/>
            <color rgb="FF000000"/>
            <rFont val="Tahoma"/>
            <family val="2"/>
            <charset val="1"/>
          </rPr>
          <t xml:space="preserve">VALOR ESTIMADO PREVISTO CONTRATO GESTÃO. </t>
        </r>
      </text>
    </comment>
    <comment ref="AA953" authorId="0" shapeId="0" xr:uid="{00000000-0006-0000-0000-000053040000}">
      <text>
        <r>
          <rPr>
            <b/>
            <sz val="9"/>
            <color rgb="FF000000"/>
            <rFont val="Tahoma"/>
            <family val="2"/>
            <charset val="1"/>
          </rPr>
          <t xml:space="preserve">VALOR ESTIMADO PREVISTO CONTRATO GESTÃO. </t>
        </r>
      </text>
    </comment>
    <comment ref="AB953" authorId="0" shapeId="0" xr:uid="{00000000-0006-0000-0000-0000B3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xml:space="preserve">
</t>
        </r>
      </text>
    </comment>
    <comment ref="AC953" authorId="0" shapeId="0" xr:uid="{00000000-0006-0000-0000-000067050000}">
      <text>
        <r>
          <rPr>
            <sz val="11"/>
            <color rgb="FF000000"/>
            <rFont val="Calibri"/>
            <family val="2"/>
            <charset val="1"/>
          </rPr>
          <t xml:space="preserve">TELEFONIA FIXA -REFERÊNCIA OUT/19 - LANÇADO PLANILHA GEFIC EM OUT/19
</t>
        </r>
      </text>
    </comment>
    <comment ref="AD953" authorId="0" shapeId="0" xr:uid="{00000000-0006-0000-0000-0000C9070000}">
      <text>
        <r>
          <rPr>
            <sz val="11"/>
            <color rgb="FF000000"/>
            <rFont val="Calibri"/>
            <family val="2"/>
            <charset val="1"/>
          </rPr>
          <t xml:space="preserve">REFERÊNCIA SET/19 - LANÇADO PLANILHA PAGAMENTO GEFIC EM OUT/19
- ENERGIA  SET/19........R$ 4.966,41
- SANEAGO SET/19.......R$ 531,15
</t>
        </r>
      </text>
    </comment>
    <comment ref="AA954" authorId="0" shapeId="0" xr:uid="{00000000-0006-0000-0000-000054040000}">
      <text>
        <r>
          <rPr>
            <b/>
            <sz val="9"/>
            <color rgb="FF000000"/>
            <rFont val="Tahoma"/>
            <family val="2"/>
            <charset val="1"/>
          </rPr>
          <t xml:space="preserve">VALOR ESTIMADO PREVISTO CONTRATO GESTÃO. </t>
        </r>
      </text>
    </comment>
    <comment ref="AB954" authorId="0" shapeId="0" xr:uid="{00000000-0006-0000-0000-0000B4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r>
          <rPr>
            <sz val="9"/>
            <color rgb="FF000000"/>
            <rFont val="Tahoma"/>
            <family val="2"/>
            <charset val="1"/>
          </rPr>
          <t xml:space="preserve">
</t>
        </r>
      </text>
    </comment>
    <comment ref="AC954" authorId="0" shapeId="0" xr:uid="{00000000-0006-0000-0000-000068050000}">
      <text>
        <r>
          <rPr>
            <b/>
            <sz val="9"/>
            <color rgb="FF000000"/>
            <rFont val="Tahoma"/>
            <family val="2"/>
            <charset val="1"/>
          </rPr>
          <t>R$ 365,11 - TELEFONIA FIXA -REFERÊNCIA NOV/19 - LANÇADO PLANILHA GEFIC EM NOV/19;
.
R$ 2.213,27 - IMPRESSÃO E LOCAÇÃO DE EQUIPAMENTOS - GETEC - REFERÊNCIA NOV/18 A SET/19 - LANÇADO PLANILHA GAOS NOV/19
.
R$ 365,11 - TELEFONIA FIXA -REFERÊNCIA DEZ/19 - LANÇADO PLANILHA GEFIC EM DEZ/19</t>
        </r>
      </text>
    </comment>
    <comment ref="AD954" authorId="0" shapeId="0" xr:uid="{00000000-0006-0000-0000-0000CA070000}">
      <text>
        <r>
          <rPr>
            <b/>
            <sz val="9"/>
            <color rgb="FF000000"/>
            <rFont val="Tahoma"/>
            <family val="2"/>
            <charset val="1"/>
          </rPr>
          <t>REFERÊNCIA OUT/19 - LANÇADO PLANILHA PAGAMENTO GEFIC EM NOV/19
- ENERGIA  OUT/19........R$ 4.752,80
- SANEAGO OUT/19.......R$ 640,49
.
REFERÊNCIA NOV/19 - LANÇADO PLANILHA PAGAMENTO GEFIC EM DEZ/19
- ENERGIA  NOV/19........R$ 4.169,49
- SANEAGO NOV/19.......R$ 749,84</t>
        </r>
      </text>
    </comment>
    <comment ref="AA955" authorId="0" shapeId="0" xr:uid="{00000000-0006-0000-0000-000055040000}">
      <text>
        <r>
          <rPr>
            <b/>
            <sz val="9"/>
            <color rgb="FF000000"/>
            <rFont val="Tahoma"/>
            <family val="2"/>
            <charset val="1"/>
          </rPr>
          <t xml:space="preserve">VALOR ESTIMADO PREVISTO CONTRATO GESTÃO. </t>
        </r>
      </text>
    </comment>
    <comment ref="AB955" authorId="0" shapeId="0" xr:uid="{00000000-0006-0000-0000-0000B504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C955" authorId="0" shapeId="0" xr:uid="{00000000-0006-0000-0000-000069050000}">
      <text>
        <r>
          <rPr>
            <sz val="11"/>
            <color rgb="FF000000"/>
            <rFont val="Calibri"/>
            <family val="2"/>
            <charset val="1"/>
          </rPr>
          <t xml:space="preserve">REFERÊNCIA NOV/19 - LANÇADO PLANILHA PAGAMENTO GEFIC EM DEZ/19:
.
VIGILÃNCIA - VIP - PROC.201900010006615
07/11 A 12/18..................R$ 41.468,00
01/01 A 21/02/19..............R$ 39.164,23
.
LIMPEZA E CONSERVAÇÃO - GARRA FORTE - PROC.201900010006615
07/11 A 12/2018........................R$ 41.899,09
01/01 A 21/02/2019...................R$ 40.685,42
</t>
        </r>
        <r>
          <rPr>
            <sz val="9"/>
            <color rgb="FF000000"/>
            <rFont val="Tahoma"/>
            <family val="2"/>
            <charset val="1"/>
          </rPr>
          <t xml:space="preserve">.
TELEFONIA FIXA -REFERÊNCIA JAN/20 - LANÇADO PLANILHA GEFIC EM JAN/20...R$ 365,11
</t>
        </r>
      </text>
    </comment>
    <comment ref="AD955" authorId="0" shapeId="0" xr:uid="{00000000-0006-0000-0000-0000CB070000}">
      <text>
        <r>
          <rPr>
            <sz val="9"/>
            <color rgb="FF000000"/>
            <rFont val="Tahoma"/>
            <family val="2"/>
            <charset val="1"/>
          </rPr>
          <t xml:space="preserve">REFERÊNCIA DEZ/19 - LANÇADO PLANILHA PAGAMENTO GEFIC EM JAN/20
- ENERGIA  DEZ/19........R$ 3.552,71
- SANEAGO DEZ/19.......R$ 328,08
</t>
        </r>
      </text>
    </comment>
    <comment ref="AB956" authorId="0" shapeId="0" xr:uid="{00000000-0006-0000-0000-0000B604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D956" authorId="0" shapeId="0" xr:uid="{00000000-0006-0000-0000-0000CC070000}">
      <text>
        <r>
          <rPr>
            <sz val="11"/>
            <color rgb="FF000000"/>
            <rFont val="Calibri"/>
            <family val="2"/>
            <charset val="1"/>
          </rPr>
          <t xml:space="preserve">REFERÊNCIA JAN/20 - LANÇADO PLANILHA PAGAMENTO GEFIC EM FEV/20
- ENERGIA  JAN/20........R$ 3.710,08
- SANEAGO JAN/20.......R$ 484,29
</t>
        </r>
        <r>
          <rPr>
            <sz val="9"/>
            <color rgb="FF000000"/>
            <rFont val="Tahoma"/>
            <family val="2"/>
            <charset val="1"/>
          </rPr>
          <t xml:space="preserve">
</t>
        </r>
      </text>
    </comment>
    <comment ref="AA957" authorId="0" shapeId="0" xr:uid="{00000000-0006-0000-0000-000056040000}">
      <text>
        <r>
          <rPr>
            <b/>
            <sz val="9"/>
            <color rgb="FF000000"/>
            <rFont val="Tahoma"/>
            <family val="2"/>
            <charset val="1"/>
          </rPr>
          <t xml:space="preserve">VALOR ESTIMADO PREVISTO CONTRATO GESTÃO. </t>
        </r>
      </text>
    </comment>
    <comment ref="AB957" authorId="0" shapeId="0" xr:uid="{00000000-0006-0000-0000-0000B7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D957" authorId="0" shapeId="0" xr:uid="{00000000-0006-0000-0000-0000CD070000}">
      <text>
        <r>
          <rPr>
            <sz val="11"/>
            <color rgb="FF000000"/>
            <rFont val="Calibri"/>
            <family val="2"/>
            <charset val="1"/>
          </rPr>
          <t xml:space="preserve"> REFERÊNCIA FEV20 - LANÇADO PLANILHA PAGAMENTO GEFIC EM MAR/20
</t>
        </r>
        <r>
          <rPr>
            <sz val="9"/>
            <color rgb="FF000000"/>
            <rFont val="Tahoma"/>
            <family val="2"/>
            <charset val="1"/>
          </rPr>
          <t>.
- ENERGIA  FEV/20........R$ 3.748,76
- SANEAGO FEV/20.......R$ 1.232,22</t>
        </r>
      </text>
    </comment>
    <comment ref="AA958" authorId="0" shapeId="0" xr:uid="{00000000-0006-0000-0000-000057040000}">
      <text>
        <r>
          <rPr>
            <b/>
            <sz val="9"/>
            <color rgb="FF000000"/>
            <rFont val="Tahoma"/>
            <family val="2"/>
            <charset val="1"/>
          </rPr>
          <t xml:space="preserve">VALOR ESTIMADO PREVISTO CONTRATO GESTÃO. </t>
        </r>
      </text>
    </comment>
    <comment ref="AD958" authorId="0" shapeId="0" xr:uid="{00000000-0006-0000-0000-0000CE070000}">
      <text>
        <r>
          <rPr>
            <sz val="11"/>
            <color rgb="FF000000"/>
            <rFont val="Calibri"/>
            <family val="2"/>
            <charset val="1"/>
          </rPr>
          <t xml:space="preserve">R$ 3.515,62 - ENERGIA - REFERÊNCIA MAR-20 - LANÇADO PLANILHA PAGAMENTO GEFIC EM ABR/20
.
R$ 1.454,68 - SANEAGO
</t>
        </r>
      </text>
    </comment>
    <comment ref="AB959" authorId="0" shapeId="0" xr:uid="{00000000-0006-0000-0000-0000B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r>
          <rPr>
            <sz val="9"/>
            <color rgb="FF000000"/>
            <rFont val="Segoe UI"/>
            <family val="2"/>
            <charset val="1"/>
          </rPr>
          <t xml:space="preserve">
</t>
        </r>
      </text>
    </comment>
    <comment ref="AD959" authorId="0" shapeId="0" xr:uid="{00000000-0006-0000-0000-0000CF070000}">
      <text>
        <r>
          <rPr>
            <sz val="11"/>
            <color rgb="FF000000"/>
            <rFont val="Calibri"/>
            <family val="2"/>
            <charset val="1"/>
          </rPr>
          <t xml:space="preserve">R$ 3.374,04 - ENERGIA - REFERÊNCIA ABR-20 - LANÇADO PLANILHA PAGAMENTO GEFIC EM MAI/20
.
R$ 1.514,88- SANEAGO
</t>
        </r>
        <r>
          <rPr>
            <sz val="9"/>
            <color rgb="FF000000"/>
            <rFont val="Segoe UI"/>
            <family val="2"/>
            <charset val="1"/>
          </rPr>
          <t xml:space="preserve">
</t>
        </r>
      </text>
    </comment>
    <comment ref="AA960" authorId="0" shapeId="0" xr:uid="{00000000-0006-0000-0000-000058040000}">
      <text>
        <r>
          <rPr>
            <b/>
            <sz val="9"/>
            <color rgb="FF000000"/>
            <rFont val="Tahoma"/>
            <family val="2"/>
            <charset val="1"/>
          </rPr>
          <t xml:space="preserve">VALOR ESTIMADO PREVISTO CONTRATO GESTÃO. </t>
        </r>
      </text>
    </comment>
    <comment ref="AD960" authorId="0" shapeId="0" xr:uid="{00000000-0006-0000-0000-0000D0070000}">
      <text>
        <r>
          <rPr>
            <sz val="11"/>
            <color rgb="FF000000"/>
            <rFont val="Calibri"/>
            <family val="2"/>
            <charset val="1"/>
          </rPr>
          <t xml:space="preserve"> REFERÊNCIA MAI-20 - LANÇADO PLANILHA PAGAMENTO GEFIC EM JUN/20:
.
R$ 3.096,31 - ENERGIA 
R$ 796,19- SANEAGO
</t>
        </r>
        <r>
          <rPr>
            <sz val="9"/>
            <color rgb="FF000000"/>
            <rFont val="Segoe UI"/>
            <family val="2"/>
            <charset val="1"/>
          </rPr>
          <t xml:space="preserve">
</t>
        </r>
      </text>
    </comment>
    <comment ref="Z961" authorId="0" shapeId="0" xr:uid="{00000000-0006-0000-0000-0000DD020000}">
      <text>
        <r>
          <rPr>
            <b/>
            <sz val="9"/>
            <color rgb="FF000000"/>
            <rFont val="Segoe UI"/>
            <family val="2"/>
            <charset val="1"/>
          </rPr>
          <t xml:space="preserve">FOLHA - REFERÊNCIA JUN/20 - LANÇADO PLANILHA PAGAMENTO GEFIC EM JUL/20.
</t>
        </r>
      </text>
    </comment>
    <comment ref="AA961" authorId="0" shapeId="0" xr:uid="{00000000-0006-0000-0000-000059040000}">
      <text>
        <r>
          <rPr>
            <b/>
            <sz val="9"/>
            <color rgb="FF000000"/>
            <rFont val="Tahoma"/>
            <family val="2"/>
            <charset val="1"/>
          </rPr>
          <t xml:space="preserve">VALOR ESTIMADO PREVISTO CONTRATO GESTÃO. </t>
        </r>
      </text>
    </comment>
    <comment ref="AB961" authorId="0" shapeId="0" xr:uid="{00000000-0006-0000-0000-0000B9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C961" authorId="0" shapeId="0" xr:uid="{00000000-0006-0000-0000-00006A050000}">
      <text>
        <r>
          <rPr>
            <sz val="11"/>
            <color rgb="FF000000"/>
            <rFont val="Calibri"/>
            <family val="2"/>
            <charset val="1"/>
          </rPr>
          <t xml:space="preserve">OI - REFERÊNCIA JUL/20 - LANÇADO PLANILHA PAGAMENTO GEFIC EM JUL/20
</t>
        </r>
      </text>
    </comment>
    <comment ref="AD961" authorId="0" shapeId="0" xr:uid="{00000000-0006-0000-0000-0000D1070000}">
      <text>
        <r>
          <rPr>
            <sz val="11"/>
            <color rgb="FF000000"/>
            <rFont val="Calibri"/>
            <family val="2"/>
            <charset val="1"/>
          </rPr>
          <t xml:space="preserve"> REFERÊNCIA JUN/20 - LANÇADO PLANILHA PAGAMENTO GEFIC EM JUL/20:
.
R$ 2.565,98- ENERGIA 
R$ 12.344,26- SANEAGO
</t>
        </r>
        <r>
          <rPr>
            <sz val="9"/>
            <color rgb="FF000000"/>
            <rFont val="Segoe UI"/>
            <family val="2"/>
            <charset val="1"/>
          </rPr>
          <t xml:space="preserve">
</t>
        </r>
      </text>
    </comment>
    <comment ref="Z962" authorId="0" shapeId="0" xr:uid="{00000000-0006-0000-0000-0000DE020000}">
      <text>
        <r>
          <rPr>
            <b/>
            <sz val="9"/>
            <color rgb="FF000000"/>
            <rFont val="Segoe UI"/>
            <family val="2"/>
            <charset val="1"/>
          </rPr>
          <t xml:space="preserve">FOLHA - REFERÊNCIA JUL/20 - LANÇADO PLANILHA PAGAMENTO GEFIC EM AGO/20.
</t>
        </r>
      </text>
    </comment>
    <comment ref="AA962" authorId="0" shapeId="0" xr:uid="{00000000-0006-0000-0000-00005A040000}">
      <text>
        <r>
          <rPr>
            <b/>
            <sz val="9"/>
            <color rgb="FF000000"/>
            <rFont val="Tahoma"/>
            <family val="2"/>
            <charset val="1"/>
          </rPr>
          <t xml:space="preserve">VALOR ESTIMADO PREVISTO CONTRATO GESTÃO. </t>
        </r>
      </text>
    </comment>
    <comment ref="AB962" authorId="0" shapeId="0" xr:uid="{00000000-0006-0000-0000-0000BA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C962" authorId="0" shapeId="0" xr:uid="{00000000-0006-0000-0000-00006B050000}">
      <text>
        <r>
          <rPr>
            <sz val="11"/>
            <color rgb="FF000000"/>
            <rFont val="Calibri"/>
            <family val="2"/>
            <charset val="1"/>
          </rPr>
          <t xml:space="preserve">OI - REFERÊNCIA AGO/20 - LANÇADO PLANILHA PAGAMENTO GEFIC EM AGO/20
</t>
        </r>
      </text>
    </comment>
    <comment ref="AD962" authorId="0" shapeId="0" xr:uid="{00000000-0006-0000-0000-0000D2070000}">
      <text>
        <r>
          <rPr>
            <sz val="11"/>
            <color rgb="FF000000"/>
            <rFont val="Calibri"/>
            <family val="2"/>
            <charset val="1"/>
          </rPr>
          <t xml:space="preserve"> REFERÊNCIA JUL/20 - LANÇADO PLANILHA PAGAMENTO GEFIC EM AGO/20:
.
R$ 2.680,19- ENERGIA 
R$ 4.659,46- SANEAGO
</t>
        </r>
      </text>
    </comment>
    <comment ref="Z963" authorId="0" shapeId="0" xr:uid="{00000000-0006-0000-0000-0000DF020000}">
      <text>
        <r>
          <rPr>
            <b/>
            <sz val="9"/>
            <color rgb="FF000000"/>
            <rFont val="Segoe UI"/>
            <family val="2"/>
            <charset val="1"/>
          </rPr>
          <t xml:space="preserve">FOLHA - REFERÊNCIA AGO/20 - LANÇADO PLANILHA PAGAMENTO GEFIC EM SET/20.
</t>
        </r>
      </text>
    </comment>
    <comment ref="AA963" authorId="0" shapeId="0" xr:uid="{00000000-0006-0000-0000-00005B040000}">
      <text>
        <r>
          <rPr>
            <b/>
            <sz val="9"/>
            <color rgb="FF000000"/>
            <rFont val="Segoe UI"/>
            <family val="2"/>
            <charset val="1"/>
          </rPr>
          <t xml:space="preserve">FOLHA - REFERÊNCIA AGO/20 - LANÇADO PLANILHA PAGAMENTO GEFIC EM SET/20.
</t>
        </r>
      </text>
    </comment>
    <comment ref="AB963" authorId="0" shapeId="0" xr:uid="{00000000-0006-0000-0000-0000BB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C963" authorId="0" shapeId="0" xr:uid="{00000000-0006-0000-0000-00006C050000}">
      <text>
        <r>
          <rPr>
            <sz val="11"/>
            <color rgb="FF000000"/>
            <rFont val="Calibri"/>
            <family val="2"/>
            <charset val="1"/>
          </rPr>
          <t xml:space="preserve">OI - REFERÊNCIA SET/20 - LANÇADO PLANILHA PAGAMENTO GEFIC EM SET/20
</t>
        </r>
      </text>
    </comment>
    <comment ref="AD963" authorId="0" shapeId="0" xr:uid="{00000000-0006-0000-0000-0000D3070000}">
      <text>
        <r>
          <rPr>
            <sz val="11"/>
            <color rgb="FF000000"/>
            <rFont val="Calibri"/>
            <family val="2"/>
            <charset val="1"/>
          </rPr>
          <t xml:space="preserve"> REFERÊNCIA AGO/20 - LANÇADO PLANILHA PAGAMENTO GEFIC EM SET/20:
.
R$ 3.132,59- ENERGIA 
R$ 2.521,85- SANEAGO
</t>
        </r>
      </text>
    </comment>
    <comment ref="AF963" authorId="0" shapeId="0" xr:uid="{00000000-0006-0000-0000-000020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4" authorId="0" shapeId="0" xr:uid="{00000000-0006-0000-0000-0000E0020000}">
      <text>
        <r>
          <rPr>
            <b/>
            <sz val="9"/>
            <color rgb="FF000000"/>
            <rFont val="Segoe UI"/>
            <family val="2"/>
            <charset val="1"/>
          </rPr>
          <t xml:space="preserve">FOLHA - REFERÊNCIA SET/20 - LANÇADO PLANILHA PAGAMENTO GEFIC EM OUT/20 
</t>
        </r>
      </text>
    </comment>
    <comment ref="AA964" authorId="0" shapeId="0" xr:uid="{00000000-0006-0000-0000-00005C040000}">
      <text>
        <r>
          <rPr>
            <b/>
            <sz val="9"/>
            <color rgb="FF000000"/>
            <rFont val="Segoe UI"/>
            <family val="2"/>
            <charset val="1"/>
          </rPr>
          <t xml:space="preserve">FOLHA - REFERÊNCIA SET/20 - LANÇADO PLANILHA PAGAMENTO GEFIC EM OUT/20 
</t>
        </r>
      </text>
    </comment>
    <comment ref="AC964" authorId="0" shapeId="0" xr:uid="{00000000-0006-0000-0000-00006D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64" authorId="0" shapeId="0" xr:uid="{00000000-0006-0000-0000-0000D4070000}">
      <text>
        <r>
          <rPr>
            <sz val="11"/>
            <color rgb="FF000000"/>
            <rFont val="Calibri"/>
            <family val="2"/>
            <charset val="1"/>
          </rPr>
          <t xml:space="preserve">REFERÊNCIA SET/20 - LANÇADO PLANILHA PAGAMENTO GEFIC EM OUT/20
</t>
        </r>
        <r>
          <rPr>
            <sz val="9"/>
            <color rgb="FF000000"/>
            <rFont val="Segoe UI"/>
            <family val="2"/>
            <charset val="1"/>
          </rPr>
          <t>ENERGIA................................R$ 2.997,03;
SANEAGO.................................R$ 2.327,52.</t>
        </r>
      </text>
    </comment>
    <comment ref="AF964" authorId="0" shapeId="0" xr:uid="{00000000-0006-0000-0000-000021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5" authorId="0" shapeId="0" xr:uid="{00000000-0006-0000-0000-0000E1020000}">
      <text>
        <r>
          <rPr>
            <b/>
            <sz val="9"/>
            <color rgb="FF000000"/>
            <rFont val="Segoe UI"/>
            <family val="2"/>
            <charset val="1"/>
          </rPr>
          <t xml:space="preserve">FOLHA - REFERÊNCIA OUT/20 - LANÇADO PLANILHA PAGAMENTO GEFIC EM NOV/20 
</t>
        </r>
      </text>
    </comment>
    <comment ref="AA965" authorId="0" shapeId="0" xr:uid="{00000000-0006-0000-0000-00005D040000}">
      <text>
        <r>
          <rPr>
            <b/>
            <sz val="9"/>
            <color rgb="FF000000"/>
            <rFont val="Segoe UI"/>
            <family val="2"/>
            <charset val="1"/>
          </rPr>
          <t xml:space="preserve">FOLHA - REFERÊNCIA OUT/20 - LANÇADO PLANILHA PAGAMENTO GEFIC EM NOV/20 
</t>
        </r>
      </text>
    </comment>
    <comment ref="AC965" authorId="0" shapeId="0" xr:uid="{00000000-0006-0000-0000-00006E050000}">
      <text>
        <r>
          <rPr>
            <sz val="11"/>
            <color rgb="FF000000"/>
            <rFont val="Calibri"/>
            <family val="2"/>
            <charset val="1"/>
          </rPr>
          <t xml:space="preserve">OI - REFERÊNCIA NOV/20 - LANÇADO PLANILHA PAGAMENTO GEFIC EM NOV/20
</t>
        </r>
      </text>
    </comment>
    <comment ref="AD965" authorId="0" shapeId="0" xr:uid="{00000000-0006-0000-0000-0000D5070000}">
      <text>
        <r>
          <rPr>
            <sz val="11"/>
            <color rgb="FF000000"/>
            <rFont val="Calibri"/>
            <family val="2"/>
            <charset val="1"/>
          </rPr>
          <t xml:space="preserve">REFERÊNCIA OUT/20 - LANÇADO PLANILHA PAGAMENTO GEFIC EM NOV/20
</t>
        </r>
        <r>
          <rPr>
            <sz val="9"/>
            <color rgb="FF000000"/>
            <rFont val="Segoe UI"/>
            <family val="2"/>
            <charset val="1"/>
          </rPr>
          <t>ENERGIA................................R$ 3.783,63;
SANEAGO.................................R$ 1.903,53.</t>
        </r>
      </text>
    </comment>
    <comment ref="AF965" authorId="0" shapeId="0" xr:uid="{00000000-0006-0000-0000-000022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6" authorId="0" shapeId="0" xr:uid="{00000000-0006-0000-0000-0000E2020000}">
      <text>
        <r>
          <rPr>
            <b/>
            <sz val="9"/>
            <color rgb="FF000000"/>
            <rFont val="Segoe UI"/>
            <family val="2"/>
            <charset val="1"/>
          </rPr>
          <t xml:space="preserve">FOLHA - REFERÊNCIA NOV/20 - LANÇADO PLANILHA PAGAMENTO GEFIC EM DEZ/20.
</t>
        </r>
      </text>
    </comment>
    <comment ref="AA966" authorId="0" shapeId="0" xr:uid="{00000000-0006-0000-0000-00005E040000}">
      <text>
        <r>
          <rPr>
            <b/>
            <sz val="9"/>
            <color rgb="FF000000"/>
            <rFont val="Segoe UI"/>
            <family val="2"/>
            <charset val="1"/>
          </rPr>
          <t xml:space="preserve">FOLHA - REFERÊNCIA NOV/20 - LANÇADO PLANILHA PAGAMENTO GEFIC EM DEZ/20.
</t>
        </r>
      </text>
    </comment>
    <comment ref="AC966" authorId="0" shapeId="0" xr:uid="{00000000-0006-0000-0000-00006F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66" authorId="0" shapeId="0" xr:uid="{00000000-0006-0000-0000-0000D6070000}">
      <text>
        <r>
          <rPr>
            <sz val="11"/>
            <color rgb="FF000000"/>
            <rFont val="Calibri"/>
            <family val="2"/>
            <charset val="1"/>
          </rPr>
          <t xml:space="preserve">LANÇADO PLANILHA PAGAMENTO GEFIC EM DEZ/20
.
ENERGIA/CELG-NOV/20.......................... R$ 3.064,79
ENERGIA/CELG-DEZ/20..........................R$ 3.760,50
SANEAGO-NOV/20.....................R$ 1.567,88
</t>
        </r>
        <r>
          <rPr>
            <sz val="9"/>
            <color rgb="FF000000"/>
            <rFont val="Segoe UI"/>
            <family val="2"/>
            <charset val="1"/>
          </rPr>
          <t xml:space="preserve">
</t>
        </r>
      </text>
    </comment>
    <comment ref="AF966" authorId="0" shapeId="0" xr:uid="{00000000-0006-0000-0000-000023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7" authorId="0" shapeId="0" xr:uid="{00000000-0006-0000-0000-0000E3020000}">
      <text>
        <r>
          <rPr>
            <sz val="11"/>
            <color rgb="FF000000"/>
            <rFont val="Calibri"/>
            <family val="2"/>
            <charset val="1"/>
          </rPr>
          <t xml:space="preserve">FOLHA - REFERÊNCIA DEZ/20- LANÇADO PLANILHA PAGAMENTO GEFIC EM JAN/21.
</t>
        </r>
      </text>
    </comment>
    <comment ref="AA967" authorId="0" shapeId="0" xr:uid="{00000000-0006-0000-0000-00005F040000}">
      <text>
        <r>
          <rPr>
            <sz val="11"/>
            <color rgb="FF000000"/>
            <rFont val="Calibri"/>
            <family val="2"/>
            <charset val="1"/>
          </rPr>
          <t xml:space="preserve">FOLHA - REFERÊNCIA DEZ/20- LANÇADO PLANILHA PAGAMENTO GEFIC EM JAN/21.
</t>
        </r>
      </text>
    </comment>
    <comment ref="AC967" authorId="0" shapeId="0" xr:uid="{00000000-0006-0000-0000-000070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D967" authorId="0" shapeId="0" xr:uid="{00000000-0006-0000-0000-0000D7070000}">
      <text>
        <r>
          <rPr>
            <sz val="11"/>
            <color rgb="FF000000"/>
            <rFont val="Calibri"/>
            <family val="2"/>
            <charset val="1"/>
          </rPr>
          <t xml:space="preserve">LANÇADO PLANILHA PAGAMENTO GEFIC EM JAN/21
.
SANEAGO-DEZ/20.....................R$ 2.097,86
</t>
        </r>
        <r>
          <rPr>
            <sz val="9"/>
            <color rgb="FF000000"/>
            <rFont val="Segoe UI"/>
            <family val="2"/>
            <charset val="1"/>
          </rPr>
          <t xml:space="preserve">
</t>
        </r>
      </text>
    </comment>
    <comment ref="AF967" authorId="0" shapeId="0" xr:uid="{00000000-0006-0000-0000-000024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8" authorId="0" shapeId="0" xr:uid="{00000000-0006-0000-0000-0000E4020000}">
      <text>
        <r>
          <rPr>
            <sz val="11"/>
            <color rgb="FF000000"/>
            <rFont val="Calibri"/>
            <family val="2"/>
            <charset val="1"/>
          </rPr>
          <t xml:space="preserve">FOLHA - REFERÊNCIA JAN/21- LANÇADO PLANILHA PAGAMENTO GEFIC EM FEV/21.
</t>
        </r>
      </text>
    </comment>
    <comment ref="AA968" authorId="0" shapeId="0" xr:uid="{00000000-0006-0000-0000-000060040000}">
      <text>
        <r>
          <rPr>
            <sz val="11"/>
            <color rgb="FF000000"/>
            <rFont val="Calibri"/>
            <family val="2"/>
            <charset val="1"/>
          </rPr>
          <t xml:space="preserve">FOLHA - REFERÊNCIA JAN/21- LANÇADO PLANILHA PAGAMENTO GEFIC EM FEV/21.
</t>
        </r>
      </text>
    </comment>
    <comment ref="AD968" authorId="0" shapeId="0" xr:uid="{00000000-0006-0000-0000-0000D8070000}">
      <text>
        <r>
          <rPr>
            <sz val="11"/>
            <color rgb="FF000000"/>
            <rFont val="Calibri"/>
            <family val="2"/>
            <charset val="1"/>
          </rPr>
          <t xml:space="preserve">LANÇADO PLANILHA PAGAMENTO GEFIC EM FEV/21
.
CELG-JAN/21.....................R$ 2.921,00
SANEAGO-JAN/21.....................R$ 1.781,25
</t>
        </r>
        <r>
          <rPr>
            <sz val="9"/>
            <color rgb="FF000000"/>
            <rFont val="Segoe UI"/>
            <family val="2"/>
            <charset val="1"/>
          </rPr>
          <t xml:space="preserve">
</t>
        </r>
      </text>
    </comment>
    <comment ref="AF968" authorId="0" shapeId="0" xr:uid="{00000000-0006-0000-0000-000025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9" authorId="0" shapeId="0" xr:uid="{00000000-0006-0000-0000-0000E5020000}">
      <text>
        <r>
          <rPr>
            <sz val="11"/>
            <color rgb="FF000000"/>
            <rFont val="Calibri"/>
            <family val="2"/>
            <charset val="1"/>
          </rPr>
          <t xml:space="preserve">FOLHA - REFERÊNCIA FEV/21- LANÇADO PLANILHA PAGAMENTO GEFIC EM MAR/21.
</t>
        </r>
      </text>
    </comment>
    <comment ref="AA969" authorId="0" shapeId="0" xr:uid="{00000000-0006-0000-0000-000061040000}">
      <text>
        <r>
          <rPr>
            <sz val="11"/>
            <color rgb="FF000000"/>
            <rFont val="Calibri"/>
            <family val="2"/>
            <charset val="1"/>
          </rPr>
          <t xml:space="preserve">FOLHA - REFERÊNCIA FEV/21- LANÇADO PLANILHA PAGAMENTO GEFIC EM MAR/21.
</t>
        </r>
      </text>
    </comment>
    <comment ref="AD969" authorId="0" shapeId="0" xr:uid="{00000000-0006-0000-0000-0000D9070000}">
      <text>
        <r>
          <rPr>
            <sz val="11"/>
            <color rgb="FF000000"/>
            <rFont val="Calibri"/>
            <family val="2"/>
            <charset val="1"/>
          </rPr>
          <t xml:space="preserve">LANÇADO PLANILHA PAGAMENTO GEFIC EM MAR/21
.
CELG-FEV/21.....................R$ 4.179,52
SANEAGO-FEV/21.....................R$ 1.885,87
</t>
        </r>
        <r>
          <rPr>
            <sz val="9"/>
            <color rgb="FF000000"/>
            <rFont val="Segoe UI"/>
            <family val="2"/>
            <charset val="1"/>
          </rPr>
          <t xml:space="preserve">
</t>
        </r>
      </text>
    </comment>
    <comment ref="AF969" authorId="0" shapeId="0" xr:uid="{00000000-0006-0000-0000-000026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0" authorId="0" shapeId="0" xr:uid="{00000000-0006-0000-0000-0000E6020000}">
      <text>
        <r>
          <rPr>
            <sz val="11"/>
            <color rgb="FF000000"/>
            <rFont val="Calibri"/>
            <family val="2"/>
            <charset val="1"/>
          </rPr>
          <t xml:space="preserve">FOLHA - REFERÊNCIA MAR/21- LANÇADO PLANILHA PAGAMENTO GEFIC EM ABR/21.
</t>
        </r>
      </text>
    </comment>
    <comment ref="AA970" authorId="0" shapeId="0" xr:uid="{00000000-0006-0000-0000-000062040000}">
      <text>
        <r>
          <rPr>
            <sz val="11"/>
            <color rgb="FF000000"/>
            <rFont val="Calibri"/>
            <family val="2"/>
            <charset val="1"/>
          </rPr>
          <t xml:space="preserve">FOLHA - REFERÊNCIA MAR/21- LANÇADO PLANILHA PAGAMENTO GEFIC  ABR/21.
</t>
        </r>
      </text>
    </comment>
    <comment ref="AD970" authorId="0" shapeId="0" xr:uid="{00000000-0006-0000-0000-0000DA070000}">
      <text>
        <r>
          <rPr>
            <sz val="11"/>
            <color rgb="FF000000"/>
            <rFont val="Calibri"/>
            <family val="2"/>
            <charset val="1"/>
          </rPr>
          <t xml:space="preserve">LANÇADO PLANILHA PAGAMENTO GEFIC EM ABR/21
.
CELG-MAR/21.....................R$ 3.581,87
SANEAGO-MAR21.....................R$ 2.239,19
</t>
        </r>
        <r>
          <rPr>
            <sz val="9"/>
            <color rgb="FF000000"/>
            <rFont val="Segoe UI"/>
            <family val="2"/>
            <charset val="1"/>
          </rPr>
          <t xml:space="preserve">
</t>
        </r>
      </text>
    </comment>
    <comment ref="AF970" authorId="0" shapeId="0" xr:uid="{00000000-0006-0000-0000-000027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1" authorId="0" shapeId="0" xr:uid="{00000000-0006-0000-0000-0000E7020000}">
      <text>
        <r>
          <rPr>
            <sz val="11"/>
            <color rgb="FF000000"/>
            <rFont val="Calibri"/>
            <family val="2"/>
            <charset val="1"/>
          </rPr>
          <t xml:space="preserve">FOLHA - REFERÊNCIA ABR/21- LANÇADO PLANILHA PAGAMENTO GEFIC EM MAI/21.
</t>
        </r>
      </text>
    </comment>
    <comment ref="AA971" authorId="0" shapeId="0" xr:uid="{00000000-0006-0000-0000-000063040000}">
      <text>
        <r>
          <rPr>
            <sz val="11"/>
            <color rgb="FF000000"/>
            <rFont val="Calibri"/>
            <family val="2"/>
            <charset val="1"/>
          </rPr>
          <t xml:space="preserve">FOLHA - REFERÊNCIA ABR/21- LANÇADO PLANILHA PAGAMENTO GEFIC EM MAI/21.
</t>
        </r>
      </text>
    </comment>
    <comment ref="AD971" authorId="0" shapeId="0" xr:uid="{00000000-0006-0000-0000-0000DB070000}">
      <text>
        <r>
          <rPr>
            <sz val="11"/>
            <color rgb="FF000000"/>
            <rFont val="Calibri"/>
            <family val="2"/>
            <charset val="1"/>
          </rPr>
          <t xml:space="preserve">LANÇADO PLANILHA PAGAMENTO GEFIC EM MAI/21
.
CELG-ABR/21.....................R$ 3.491,70
SANEAGO-ABR/21.....................R$ 2.327,52
</t>
        </r>
        <r>
          <rPr>
            <sz val="9"/>
            <color rgb="FF000000"/>
            <rFont val="Segoe UI"/>
            <family val="2"/>
            <charset val="1"/>
          </rPr>
          <t xml:space="preserve">
</t>
        </r>
      </text>
    </comment>
    <comment ref="AF971" authorId="0" shapeId="0" xr:uid="{00000000-0006-0000-0000-000028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2" authorId="0" shapeId="0" xr:uid="{00000000-0006-0000-0000-0000E8020000}">
      <text>
        <r>
          <rPr>
            <sz val="11"/>
            <color rgb="FF000000"/>
            <rFont val="Calibri"/>
            <family val="2"/>
            <charset val="1"/>
          </rPr>
          <t xml:space="preserve">FOLHA - REFERÊNCIA MAI/21- LANÇADO PLANILHA PAGAMENTO GEFIC EM JUN/21.
</t>
        </r>
      </text>
    </comment>
    <comment ref="AA972" authorId="0" shapeId="0" xr:uid="{00000000-0006-0000-0000-000064040000}">
      <text>
        <r>
          <rPr>
            <sz val="11"/>
            <color rgb="FF000000"/>
            <rFont val="Calibri"/>
            <family val="2"/>
            <charset val="1"/>
          </rPr>
          <t xml:space="preserve">FOLHA - REFERÊNCIA MAI/21- LANÇADO PLANILHA PAGAMENTO GEFIC EM JUN/21.
</t>
        </r>
      </text>
    </comment>
    <comment ref="AD972" authorId="0" shapeId="0" xr:uid="{00000000-0006-0000-0000-0000DC070000}">
      <text>
        <r>
          <rPr>
            <sz val="11"/>
            <color rgb="FF000000"/>
            <rFont val="Calibri"/>
            <family val="2"/>
            <charset val="1"/>
          </rPr>
          <t xml:space="preserve">LANÇADO PLANILHA PAGAMENTO GEFIC EM JUN/21
.
CELG-MAI/21.....................R$ 3.463,76
SANEAGO-MAI/21.....................R$ 2.627,85
</t>
        </r>
        <r>
          <rPr>
            <sz val="9"/>
            <color rgb="FF000000"/>
            <rFont val="Segoe UI"/>
            <family val="2"/>
            <charset val="1"/>
          </rPr>
          <t xml:space="preserve">
</t>
        </r>
      </text>
    </comment>
    <comment ref="AF972" authorId="0" shapeId="0" xr:uid="{00000000-0006-0000-0000-000029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3" authorId="0" shapeId="0" xr:uid="{00000000-0006-0000-0000-0000E9020000}">
      <text>
        <r>
          <rPr>
            <sz val="11"/>
            <color rgb="FF000000"/>
            <rFont val="Calibri"/>
            <family val="2"/>
            <charset val="1"/>
          </rPr>
          <t xml:space="preserve">FOLHA - REFERÊNCIA JUN/21- LANÇADO PLANILHA PAGAMENTO GEFIC EM JUL/21.
</t>
        </r>
      </text>
    </comment>
    <comment ref="AA973" authorId="0" shapeId="0" xr:uid="{00000000-0006-0000-0000-000065040000}">
      <text>
        <r>
          <rPr>
            <sz val="11"/>
            <color rgb="FF000000"/>
            <rFont val="Calibri"/>
            <family val="2"/>
            <charset val="1"/>
          </rPr>
          <t xml:space="preserve">FOLHA - REFERÊNCIA JUN/21- LANÇADO PLANILHA PAGAMENTO GEFIC EM JUL/21.
</t>
        </r>
      </text>
    </comment>
    <comment ref="AD973" authorId="0" shapeId="0" xr:uid="{00000000-0006-0000-0000-0000DD070000}">
      <text>
        <r>
          <rPr>
            <sz val="11"/>
            <color rgb="FF000000"/>
            <rFont val="Calibri"/>
            <family val="2"/>
            <charset val="1"/>
          </rPr>
          <t xml:space="preserve">LANÇADO PLANILHA PAGAMENTO GEFIC EM JUL/21
.
CELG-JUN/21.....................R$ 3.916,53
SANEAGO-JUN21.....................R$ 2.168,53
</t>
        </r>
        <r>
          <rPr>
            <sz val="9"/>
            <color rgb="FF000000"/>
            <rFont val="Segoe UI"/>
            <family val="2"/>
            <charset val="1"/>
          </rPr>
          <t xml:space="preserve">
</t>
        </r>
      </text>
    </comment>
    <comment ref="AF973" authorId="0" shapeId="0" xr:uid="{00000000-0006-0000-0000-00002A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4" authorId="0" shapeId="0" xr:uid="{00000000-0006-0000-0000-0000EA020000}">
      <text>
        <r>
          <rPr>
            <sz val="11"/>
            <color rgb="FF000000"/>
            <rFont val="Calibri"/>
            <family val="2"/>
            <charset val="1"/>
          </rPr>
          <t xml:space="preserve">FOLHA - REFERÊNCIA JUL/21- LANÇADO PLANILHA PAGAMENTO GEFIC EM AGO/21.
</t>
        </r>
      </text>
    </comment>
    <comment ref="AA974" authorId="0" shapeId="0" xr:uid="{00000000-0006-0000-0000-000066040000}">
      <text>
        <r>
          <rPr>
            <sz val="11"/>
            <color rgb="FF000000"/>
            <rFont val="Calibri"/>
            <family val="2"/>
            <charset val="1"/>
          </rPr>
          <t xml:space="preserve">FOLHA - REFERÊNCIA JUL/21- LANÇADO PLANILHA PAGAMENTO GEFIC EM AGO/21.
</t>
        </r>
      </text>
    </comment>
    <comment ref="AD974" authorId="0" shapeId="0" xr:uid="{00000000-0006-0000-0000-0000DE070000}">
      <text>
        <r>
          <rPr>
            <sz val="11"/>
            <color rgb="FF000000"/>
            <rFont val="Calibri"/>
            <family val="2"/>
            <charset val="1"/>
          </rPr>
          <t xml:space="preserve">LANÇADO PLANILHA PAGAMENTO GEFIC EM AGO/21
.
CELG-JUL21.....................R$ 3.340,59
SANEAGO-JUL21.....................R$ 2.256,86
</t>
        </r>
        <r>
          <rPr>
            <sz val="9"/>
            <color rgb="FF000000"/>
            <rFont val="Segoe UI"/>
            <family val="2"/>
            <charset val="1"/>
          </rPr>
          <t xml:space="preserve">
</t>
        </r>
      </text>
    </comment>
    <comment ref="AF974" authorId="0" shapeId="0" xr:uid="{00000000-0006-0000-0000-00002B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5" authorId="0" shapeId="0" xr:uid="{00000000-0006-0000-0000-00002C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6" authorId="0" shapeId="0" xr:uid="{00000000-0006-0000-0000-00002D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D978" authorId="0" shapeId="0" xr:uid="{00000000-0006-0000-0000-00000D000000}">
      <text>
        <r>
          <rPr>
            <b/>
            <sz val="9"/>
            <color rgb="FF000000"/>
            <rFont val="Tahoma"/>
            <family val="2"/>
            <charset val="1"/>
          </rPr>
          <t>25/08/19</t>
        </r>
      </text>
    </comment>
    <comment ref="AV978" authorId="0" shapeId="0" xr:uid="{00000000-0006-0000-0000-0000060A0000}">
      <text>
        <r>
          <rPr>
            <sz val="11"/>
            <color rgb="FF000000"/>
            <rFont val="Calibri"/>
            <family val="2"/>
            <charset val="1"/>
          </rPr>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r>
        <r>
          <rPr>
            <sz val="9"/>
            <color rgb="FF000000"/>
            <rFont val="Tahoma"/>
            <family val="2"/>
            <charset val="1"/>
          </rPr>
          <t xml:space="preserve">
</t>
        </r>
      </text>
    </comment>
    <comment ref="AD981" authorId="0" shapeId="0" xr:uid="{00000000-0006-0000-0000-0000DF070000}">
      <text>
        <r>
          <rPr>
            <sz val="11"/>
            <color rgb="FF000000"/>
            <rFont val="Calibri"/>
            <family val="2"/>
            <charset val="1"/>
          </rPr>
          <t xml:space="preserve">REFERÊNCIA SET/19 - LANÇADO PLANILHA PAGAMENTO GEFIC EM OUT/19
</t>
        </r>
      </text>
    </comment>
    <comment ref="AB982" authorId="0" shapeId="0" xr:uid="{00000000-0006-0000-0000-0000BC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D982" authorId="0" shapeId="0" xr:uid="{00000000-0006-0000-0000-0000E0070000}">
      <text>
        <r>
          <rPr>
            <b/>
            <sz val="9"/>
            <color rgb="FF000000"/>
            <rFont val="Tahoma"/>
            <family val="2"/>
            <charset val="1"/>
          </rPr>
          <t>R$ 27.068,68 - ENERGIA - REFERÊNCIA OUT/19 - LANÇADO PLANILHA PAGAMENTO GEFIC EM NOV/19;
.
R$ 23.429,46 - PARTE ENERGIA - REFERÊNCIA NOV/19 - LANÇADO PLANILHA PAGAMENTO GEFIC EM DEZ/19</t>
        </r>
      </text>
    </comment>
    <comment ref="AE982" authorId="0" shapeId="0" xr:uid="{00000000-0006-0000-0000-0000CC080000}">
      <text>
        <r>
          <rPr>
            <sz val="11"/>
            <color rgb="FF000000"/>
            <rFont val="Calibri"/>
            <family val="2"/>
            <charset val="1"/>
          </rPr>
          <t xml:space="preserve">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text>
    </comment>
    <comment ref="AW982" authorId="0" shapeId="0" xr:uid="{00000000-0006-0000-0000-0000500A0000}">
      <text>
        <r>
          <rPr>
            <sz val="11"/>
            <color rgb="FF000000"/>
            <rFont val="Calibri"/>
            <family val="2"/>
            <charset val="1"/>
          </rPr>
          <t xml:space="preserve">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t>
        </r>
        <r>
          <rPr>
            <sz val="9"/>
            <color rgb="FF000000"/>
            <rFont val="Segoe UI"/>
            <family val="2"/>
            <charset val="1"/>
          </rPr>
          <t>.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r>
      </text>
    </comment>
    <comment ref="AA983" authorId="0" shapeId="0" xr:uid="{00000000-0006-0000-0000-000067040000}">
      <text>
        <r>
          <rPr>
            <sz val="11"/>
            <color rgb="FF000000"/>
            <rFont val="Calibri"/>
            <family val="2"/>
            <charset val="1"/>
          </rPr>
          <t xml:space="preserve">ESTIMATIVA DE FOLHA
</t>
        </r>
      </text>
    </comment>
    <comment ref="AD983" authorId="0" shapeId="0" xr:uid="{00000000-0006-0000-0000-0000E1070000}">
      <text>
        <r>
          <rPr>
            <sz val="11"/>
            <color rgb="FF000000"/>
            <rFont val="Calibri"/>
            <family val="2"/>
            <charset val="1"/>
          </rPr>
          <t xml:space="preserve">R$ 2.013,96 - RESTANTE ENERGIA - REFERÊNCIA NOV/19 - LANÇADO PLANILHA PAGAMENTO GEFIC EM DEZ/19
.
R$ 22.736,55 - ENERGIA - REFERÊNCIA DEZ/19 - LANÇADO PLANILHA PAGAMENTO GEFIC EM JAN/20
</t>
        </r>
        <r>
          <rPr>
            <sz val="9"/>
            <color rgb="FF000000"/>
            <rFont val="Tahoma"/>
            <family val="2"/>
            <charset val="1"/>
          </rPr>
          <t xml:space="preserve">
</t>
        </r>
      </text>
    </comment>
    <comment ref="AA984" authorId="0" shapeId="0" xr:uid="{00000000-0006-0000-0000-000068040000}">
      <text>
        <r>
          <rPr>
            <sz val="11"/>
            <color rgb="FF000000"/>
            <rFont val="Calibri"/>
            <family val="2"/>
            <charset val="1"/>
          </rPr>
          <t xml:space="preserve">ESTIMATIVA DE FOLHA
</t>
        </r>
      </text>
    </comment>
    <comment ref="AD984" authorId="0" shapeId="0" xr:uid="{00000000-0006-0000-0000-0000E2070000}">
      <text>
        <r>
          <rPr>
            <sz val="11"/>
            <color rgb="FF000000"/>
            <rFont val="Calibri"/>
            <family val="2"/>
            <charset val="1"/>
          </rPr>
          <t xml:space="preserve">ENERGIA - REFERÊNCIA JAN/20 - LANÇADO PLANILHA PAGAMENTO GEFIC EM FEV/20
</t>
        </r>
      </text>
    </comment>
    <comment ref="AA985" authorId="0" shapeId="0" xr:uid="{00000000-0006-0000-0000-000069040000}">
      <text>
        <r>
          <rPr>
            <sz val="11"/>
            <color rgb="FF000000"/>
            <rFont val="Calibri"/>
            <family val="2"/>
            <charset val="1"/>
          </rPr>
          <t xml:space="preserve">ESTIMATIVA DE FOLHA
</t>
        </r>
      </text>
    </comment>
    <comment ref="AD985" authorId="0" shapeId="0" xr:uid="{00000000-0006-0000-0000-0000E3070000}">
      <text>
        <r>
          <rPr>
            <sz val="11"/>
            <color rgb="FF000000"/>
            <rFont val="Calibri"/>
            <family val="2"/>
            <charset val="1"/>
          </rPr>
          <t xml:space="preserve">VALOR ESTIMADO FEV/20
</t>
        </r>
      </text>
    </comment>
    <comment ref="AO985" authorId="0" shapeId="0" xr:uid="{00000000-0006-0000-0000-00007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W985" authorId="0" shapeId="0" xr:uid="{00000000-0006-0000-0000-0000510A0000}">
      <text>
        <r>
          <rPr>
            <sz val="11"/>
            <color rgb="FF000000"/>
            <rFont val="Calibri"/>
            <family val="2"/>
            <charset val="1"/>
          </rPr>
          <t xml:space="preserve">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
</t>
        </r>
        <r>
          <rPr>
            <sz val="9"/>
            <color rgb="FF000000"/>
            <rFont val="Tahoma"/>
            <family val="2"/>
            <charset val="1"/>
          </rPr>
          <t xml:space="preserve">.
</t>
        </r>
      </text>
    </comment>
    <comment ref="AA986" authorId="0" shapeId="0" xr:uid="{00000000-0006-0000-0000-00006A040000}">
      <text>
        <r>
          <rPr>
            <sz val="11"/>
            <color rgb="FF000000"/>
            <rFont val="Calibri"/>
            <family val="2"/>
            <charset val="1"/>
          </rPr>
          <t xml:space="preserve">ESTIMATIVA DE FOLHA
</t>
        </r>
      </text>
    </comment>
    <comment ref="AD986" authorId="0" shapeId="0" xr:uid="{00000000-0006-0000-0000-0000E4070000}">
      <text>
        <r>
          <rPr>
            <sz val="11"/>
            <color rgb="FF000000"/>
            <rFont val="Calibri"/>
            <family val="2"/>
            <charset val="1"/>
          </rPr>
          <t xml:space="preserve">REFERÊNCIA MAR/20 - LANÇADO PLANILHA PAGAMENTO GEFIC EM ABR/20
</t>
        </r>
      </text>
    </comment>
    <comment ref="AD987" authorId="0" shapeId="0" xr:uid="{00000000-0006-0000-0000-0000E5070000}">
      <text>
        <r>
          <rPr>
            <sz val="11"/>
            <color rgb="FF000000"/>
            <rFont val="Calibri"/>
            <family val="2"/>
            <charset val="1"/>
          </rPr>
          <t xml:space="preserve">REFERÊNCIA ABR/20 - LANÇADO PLANILHA PAGAMENTO GEFIC EM MAI/20
</t>
        </r>
      </text>
    </comment>
    <comment ref="Z988" authorId="0" shapeId="0" xr:uid="{00000000-0006-0000-0000-0000EB020000}">
      <text>
        <r>
          <rPr>
            <sz val="11"/>
            <color rgb="FF000000"/>
            <rFont val="Calibri"/>
            <family val="2"/>
            <charset val="1"/>
          </rPr>
          <t xml:space="preserve">R$ -GLOSA DE FOLHA MAIO/20 LANÇADA NA PLANILHA DE PREVISÃO DE PAGAMENTO JUN/20 DA GAOS
</t>
        </r>
      </text>
    </comment>
    <comment ref="AA988" authorId="0" shapeId="0" xr:uid="{00000000-0006-0000-0000-00006B040000}">
      <text>
        <r>
          <rPr>
            <sz val="11"/>
            <color rgb="FF000000"/>
            <rFont val="Calibri"/>
            <family val="2"/>
            <charset val="1"/>
          </rPr>
          <t xml:space="preserve">ESTIMADO
</t>
        </r>
      </text>
    </comment>
    <comment ref="AD988" authorId="0" shapeId="0" xr:uid="{00000000-0006-0000-0000-0000E6070000}">
      <text>
        <r>
          <rPr>
            <sz val="11"/>
            <color rgb="FF000000"/>
            <rFont val="Calibri"/>
            <family val="2"/>
            <charset val="1"/>
          </rPr>
          <t xml:space="preserve">ENERGIA - REFERÊNCIA MAI/20 - LANÇADO PLANILHA PAGAMENTO GEFIC EM JUN/20
</t>
        </r>
      </text>
    </comment>
    <comment ref="AA989" authorId="0" shapeId="0" xr:uid="{00000000-0006-0000-0000-00006C040000}">
      <text>
        <r>
          <rPr>
            <sz val="11"/>
            <color rgb="FF000000"/>
            <rFont val="Calibri"/>
            <family val="2"/>
            <charset val="1"/>
          </rPr>
          <t xml:space="preserve">ESTIMADO
</t>
        </r>
      </text>
    </comment>
    <comment ref="AD989" authorId="0" shapeId="0" xr:uid="{00000000-0006-0000-0000-0000E7070000}">
      <text>
        <r>
          <rPr>
            <sz val="11"/>
            <color rgb="FF000000"/>
            <rFont val="Calibri"/>
            <family val="2"/>
            <charset val="1"/>
          </rPr>
          <t xml:space="preserve">ENERGIA - REFERÊNCIA JUN/20 - LANÇADO PLANILHA PAGAMENTO GEFIC EM JUL/20
</t>
        </r>
      </text>
    </comment>
    <comment ref="Z990" authorId="0" shapeId="0" xr:uid="{00000000-0006-0000-0000-0000EC020000}">
      <text>
        <r>
          <rPr>
            <b/>
            <sz val="9"/>
            <color rgb="FF000000"/>
            <rFont val="Segoe UI"/>
            <family val="2"/>
            <charset val="1"/>
          </rPr>
          <t xml:space="preserve">FOLHA - REFERÊNCIA JUL/20 - LANÇADO PLANILHA PAGAMENTO GEFIC EM AGO/20.
</t>
        </r>
      </text>
    </comment>
    <comment ref="AA990" authorId="0" shapeId="0" xr:uid="{00000000-0006-0000-0000-00006D040000}">
      <text>
        <r>
          <rPr>
            <b/>
            <sz val="9"/>
            <color rgb="FF000000"/>
            <rFont val="Segoe UI"/>
            <family val="2"/>
            <charset val="1"/>
          </rPr>
          <t xml:space="preserve">FOLHA - REFERÊNCIA JUL/20 - LANÇADO PLANILHA PAGAMENTO GEFIC EM AGO/20.
</t>
        </r>
      </text>
    </comment>
    <comment ref="AD990" authorId="0" shapeId="0" xr:uid="{00000000-0006-0000-0000-0000E8070000}">
      <text>
        <r>
          <rPr>
            <sz val="11"/>
            <color rgb="FF000000"/>
            <rFont val="Calibri"/>
            <family val="2"/>
            <charset val="1"/>
          </rPr>
          <t xml:space="preserve">ENERGIA - REFERÊNCIA JUL/20 - LANÇADO PLANILHA PAGAMENTO GEFIC EM AGO/20
</t>
        </r>
      </text>
    </comment>
    <comment ref="Z991" authorId="0" shapeId="0" xr:uid="{00000000-0006-0000-0000-0000ED020000}">
      <text>
        <r>
          <rPr>
            <b/>
            <sz val="9"/>
            <color rgb="FF000000"/>
            <rFont val="Segoe UI"/>
            <family val="2"/>
            <charset val="1"/>
          </rPr>
          <t xml:space="preserve">FOLHA - REFERÊNCIA AGO/20 - LANÇADO PLANILHA PAGAMENTO GEFIC EM SET/20.
</t>
        </r>
      </text>
    </comment>
    <comment ref="AA991" authorId="0" shapeId="0" xr:uid="{00000000-0006-0000-0000-00006E040000}">
      <text>
        <r>
          <rPr>
            <b/>
            <sz val="9"/>
            <color rgb="FF000000"/>
            <rFont val="Segoe UI"/>
            <family val="2"/>
            <charset val="1"/>
          </rPr>
          <t xml:space="preserve">FOLHA - REFERÊNCIA AGO/20 - LANÇADO PLANILHA PAGAMENTO GEFIC EM SET/20.
</t>
        </r>
      </text>
    </comment>
    <comment ref="AD991" authorId="0" shapeId="0" xr:uid="{00000000-0006-0000-0000-0000E9070000}">
      <text>
        <r>
          <rPr>
            <sz val="11"/>
            <color rgb="FF000000"/>
            <rFont val="Calibri"/>
            <family val="2"/>
            <charset val="1"/>
          </rPr>
          <t xml:space="preserve">ENERGIA - REFERÊNCIA AGO/20 - LANÇADO PLANILHA PAGAMENTO GEFIC EM SET/20
</t>
        </r>
      </text>
    </comment>
    <comment ref="F992" authorId="0" shapeId="0" xr:uid="{00000000-0006-0000-0000-00007A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2" authorId="0" shapeId="0" xr:uid="{00000000-0006-0000-0000-0000EE020000}">
      <text>
        <r>
          <rPr>
            <b/>
            <sz val="9"/>
            <color rgb="FF000000"/>
            <rFont val="Segoe UI"/>
            <family val="2"/>
            <charset val="1"/>
          </rPr>
          <t xml:space="preserve">FOLHA - REFERÊNCIA SET/20 - LANÇADO PLANILHA PAGAMENTO GEFIC EM OUT/20 
</t>
        </r>
      </text>
    </comment>
    <comment ref="AA992" authorId="0" shapeId="0" xr:uid="{00000000-0006-0000-0000-00006F040000}">
      <text>
        <r>
          <rPr>
            <b/>
            <sz val="9"/>
            <color rgb="FF000000"/>
            <rFont val="Segoe UI"/>
            <family val="2"/>
            <charset val="1"/>
          </rPr>
          <t xml:space="preserve">FOLHA - REFERÊNCIA SET/20 - LANÇADO PLANILHA PAGAMENTO GEFIC EM OUT/20 
</t>
        </r>
      </text>
    </comment>
    <comment ref="AD992" authorId="0" shapeId="0" xr:uid="{00000000-0006-0000-0000-0000EA070000}">
      <text>
        <r>
          <rPr>
            <sz val="11"/>
            <color rgb="FF000000"/>
            <rFont val="Calibri"/>
            <family val="2"/>
            <charset val="1"/>
          </rPr>
          <t xml:space="preserve">ENERGIA - REFERÊNCIA SET/20 - LANÇADO PLANILHA PAGAMENTO GEFIC EM OUT/20
</t>
        </r>
      </text>
    </comment>
    <comment ref="AU992" authorId="0" shapeId="0" xr:uid="{00000000-0006-0000-0000-0000F4090000}">
      <text>
        <r>
          <rPr>
            <sz val="11"/>
            <color rgb="FF000000"/>
            <rFont val="Calibri"/>
            <family val="2"/>
            <charset val="1"/>
          </rPr>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r>
      </text>
    </comment>
    <comment ref="F993" authorId="0" shapeId="0" xr:uid="{00000000-0006-0000-0000-00007B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3" authorId="0" shapeId="0" xr:uid="{00000000-0006-0000-0000-0000EF020000}">
      <text>
        <r>
          <rPr>
            <b/>
            <sz val="9"/>
            <color rgb="FF000000"/>
            <rFont val="Segoe UI"/>
            <family val="2"/>
            <charset val="1"/>
          </rPr>
          <t xml:space="preserve">FOLHA - REFERÊNCIA OUT/20 - LANÇADO PLANILHA PAGAMENTO GEFIC EM NOV/20.
</t>
        </r>
      </text>
    </comment>
    <comment ref="AD993" authorId="0" shapeId="0" xr:uid="{00000000-0006-0000-0000-0000EB070000}">
      <text>
        <r>
          <rPr>
            <sz val="11"/>
            <color rgb="FF000000"/>
            <rFont val="Calibri"/>
            <family val="2"/>
            <charset val="1"/>
          </rPr>
          <t xml:space="preserve">ENERGIA - REFERÊNCIA OUT/20 - LANÇADO PLANILHA PAGAMENTO GEFIC EM NOV/20
</t>
        </r>
      </text>
    </comment>
    <comment ref="Z994" authorId="0" shapeId="0" xr:uid="{00000000-0006-0000-0000-0000F0020000}">
      <text>
        <r>
          <rPr>
            <b/>
            <sz val="9"/>
            <color rgb="FF000000"/>
            <rFont val="Segoe UI"/>
            <family val="2"/>
            <charset val="1"/>
          </rPr>
          <t xml:space="preserve">FOLHA - REFERÊNCIA NOV/20 - LANÇADO PLANILHA PAGAMENTO GEFIC EM DEZ/20.
</t>
        </r>
      </text>
    </comment>
    <comment ref="AA994" authorId="0" shapeId="0" xr:uid="{00000000-0006-0000-0000-000070040000}">
      <text>
        <r>
          <rPr>
            <b/>
            <sz val="9"/>
            <color rgb="FF000000"/>
            <rFont val="Segoe UI"/>
            <family val="2"/>
            <charset val="1"/>
          </rPr>
          <t xml:space="preserve">FOLHA - REFERÊNCIA NOV/20 - LANÇADO PLANILHA PAGAMENTO GEFIC EM DEZ/20.
</t>
        </r>
      </text>
    </comment>
    <comment ref="AB994" authorId="0" shapeId="0" xr:uid="{00000000-0006-0000-0000-0000BD040000}">
      <text>
        <r>
          <rPr>
            <sz val="9"/>
            <color rgb="FF000000"/>
            <rFont val="Tahoma"/>
            <family val="2"/>
            <charset val="1"/>
          </rPr>
          <t xml:space="preserve">Diferença da folha de outubro lançada na planilha de REPASSE MENSAL - NOV/2020 (GAOS)
</t>
        </r>
      </text>
    </comment>
    <comment ref="AD994" authorId="0" shapeId="0" xr:uid="{00000000-0006-0000-0000-0000EC070000}">
      <text>
        <r>
          <rPr>
            <sz val="11"/>
            <color rgb="FF000000"/>
            <rFont val="Calibri"/>
            <family val="2"/>
            <charset val="1"/>
          </rPr>
          <t xml:space="preserve">ENERGIA - REFERÊNCIA NOV/20 - LANÇADO PLANILHA PAGAMENTO GEFIC EM DEZ/20
</t>
        </r>
      </text>
    </comment>
    <comment ref="Z995" authorId="0" shapeId="0" xr:uid="{00000000-0006-0000-0000-0000F1020000}">
      <text>
        <r>
          <rPr>
            <sz val="11"/>
            <color rgb="FF000000"/>
            <rFont val="Calibri"/>
            <family val="2"/>
            <charset val="1"/>
          </rPr>
          <t xml:space="preserve">FOLHA - REFERÊNCIA DEZ/20- LANÇADO PLANILHA PAGAMENTO GEFIC EM JAN/21.
</t>
        </r>
      </text>
    </comment>
    <comment ref="AA995" authorId="0" shapeId="0" xr:uid="{00000000-0006-0000-0000-000071040000}">
      <text>
        <r>
          <rPr>
            <sz val="11"/>
            <color rgb="FF000000"/>
            <rFont val="Calibri"/>
            <family val="2"/>
            <charset val="1"/>
          </rPr>
          <t xml:space="preserve">FOLHA - REFERÊNCIA DEZ/20- LANÇADO PLANILHA PAGAMENTO GEFIC EM JAN/21.
</t>
        </r>
      </text>
    </comment>
    <comment ref="AD995" authorId="0" shapeId="0" xr:uid="{00000000-0006-0000-0000-0000ED070000}">
      <text>
        <r>
          <rPr>
            <sz val="11"/>
            <color rgb="FF000000"/>
            <rFont val="Calibri"/>
            <family val="2"/>
            <charset val="1"/>
          </rPr>
          <t xml:space="preserve">ENERGIA - REFERÊNCIA DEZ/20 - LANÇADO PLANILHA PAGAMENTO GEFIC EM DEZ20
</t>
        </r>
      </text>
    </comment>
    <comment ref="AX995" authorId="0" shapeId="0" xr:uid="{00000000-0006-0000-0000-0000C10A0000}">
      <text>
        <r>
          <rPr>
            <sz val="11"/>
            <color rgb="FF000000"/>
            <rFont val="Calibri"/>
            <family val="2"/>
            <charset val="1"/>
          </rPr>
          <t xml:space="preserve">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r>
      </text>
    </comment>
    <comment ref="Z996" authorId="0" shapeId="0" xr:uid="{00000000-0006-0000-0000-0000F2020000}">
      <text>
        <r>
          <rPr>
            <sz val="11"/>
            <color rgb="FF000000"/>
            <rFont val="Calibri"/>
            <family val="2"/>
            <charset val="1"/>
          </rPr>
          <t xml:space="preserve">FOLHA - REFERÊNCIA JAN/21- LANÇADO PLANILHA PAGAMENTO GEFIC EM FEV/21.
</t>
        </r>
      </text>
    </comment>
    <comment ref="AD996" authorId="0" shapeId="0" xr:uid="{00000000-0006-0000-0000-0000EE070000}">
      <text>
        <r>
          <rPr>
            <sz val="11"/>
            <color rgb="FF000000"/>
            <rFont val="Calibri"/>
            <family val="2"/>
            <charset val="1"/>
          </rPr>
          <t xml:space="preserve">CELG JAN/21 LANÇADO NA PLANILHA DE FEV/21
</t>
        </r>
      </text>
    </comment>
    <comment ref="AX996" authorId="0" shapeId="0" xr:uid="{00000000-0006-0000-0000-0000C2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G997" authorId="0" shapeId="0" xr:uid="{00000000-0006-0000-0000-0000AE000000}">
      <text>
        <r>
          <rPr>
            <sz val="9"/>
            <color rgb="FF000000"/>
            <rFont val="Segoe UI"/>
            <family val="2"/>
            <charset val="1"/>
          </rPr>
          <t xml:space="preserve">VIGÊNCIA A PARTIR DA OUTORGA QUE SE DEU EM 25/03/21 A  24/08/23
</t>
        </r>
      </text>
    </comment>
    <comment ref="Z997" authorId="0" shapeId="0" xr:uid="{00000000-0006-0000-0000-0000F3020000}">
      <text>
        <r>
          <rPr>
            <sz val="11"/>
            <color rgb="FF000000"/>
            <rFont val="Calibri"/>
            <family val="2"/>
            <charset val="1"/>
          </rPr>
          <t xml:space="preserve">FOLHA - REFERÊNCIA FEV/21- LANÇADO PLANILHA PAGAMENTO GEFIC EM MAR/21.
</t>
        </r>
      </text>
    </comment>
    <comment ref="AA997" authorId="0" shapeId="0" xr:uid="{00000000-0006-0000-0000-000072040000}">
      <text>
        <r>
          <rPr>
            <sz val="11"/>
            <color rgb="FF000000"/>
            <rFont val="Calibri"/>
            <family val="2"/>
            <charset val="1"/>
          </rPr>
          <t xml:space="preserve">FOLHA - REFERÊNCIA FEV/21- LANÇADO PLANILHA PAGAMENTO GEFIC EM MAR/21.
</t>
        </r>
      </text>
    </comment>
    <comment ref="AB997" authorId="0" shapeId="0" xr:uid="{00000000-0006-0000-0000-0000BE040000}">
      <text>
        <r>
          <rPr>
            <sz val="11"/>
            <color rgb="FF000000"/>
            <rFont val="Calibri"/>
            <family val="2"/>
            <charset val="1"/>
          </rPr>
          <t xml:space="preserve">DIFERENÇA FOLHA DE JAN/21 LANÇADA NA PLANILHA DE REPASSE MENSAL /GAOS FEV/21.
</t>
        </r>
      </text>
    </comment>
    <comment ref="AD997" authorId="0" shapeId="0" xr:uid="{00000000-0006-0000-0000-0000EF070000}">
      <text>
        <r>
          <rPr>
            <sz val="11"/>
            <color rgb="FF000000"/>
            <rFont val="Calibri"/>
            <family val="2"/>
            <charset val="1"/>
          </rPr>
          <t xml:space="preserve">CELG FEV/21 LANÇADO NA PLANILHA DE MAR/21
</t>
        </r>
      </text>
    </comment>
    <comment ref="AW997" authorId="0" shapeId="0" xr:uid="{00000000-0006-0000-0000-0000520A0000}">
      <text>
        <r>
          <rPr>
            <sz val="11"/>
            <color rgb="FF000000"/>
            <rFont val="Calibri"/>
            <family val="2"/>
            <charset val="1"/>
          </rPr>
          <t xml:space="preserve">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t>
        </r>
        <r>
          <rPr>
            <sz val="9"/>
            <color rgb="FF000000"/>
            <rFont val="Segoe UI"/>
            <family val="2"/>
            <charset val="1"/>
          </rPr>
          <t>.
DESPACHO Nº 30/2021 - GAOS- 14421</t>
        </r>
      </text>
    </comment>
    <comment ref="AX997" authorId="0" shapeId="0" xr:uid="{00000000-0006-0000-0000-0000C3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Z998" authorId="0" shapeId="0" xr:uid="{00000000-0006-0000-0000-0000F4020000}">
      <text>
        <r>
          <rPr>
            <sz val="11"/>
            <color rgb="FF000000"/>
            <rFont val="Calibri"/>
            <family val="2"/>
            <charset val="1"/>
          </rPr>
          <t xml:space="preserve">FOLHA - REFERÊNCIA MAR/21- LANÇADO PLANILHA PAGAMENTO GEFIC EM ABR/21.
</t>
        </r>
      </text>
    </comment>
    <comment ref="AA998" authorId="0" shapeId="0" xr:uid="{00000000-0006-0000-0000-000073040000}">
      <text>
        <r>
          <rPr>
            <sz val="11"/>
            <color rgb="FF000000"/>
            <rFont val="Calibri"/>
            <family val="2"/>
            <charset val="1"/>
          </rPr>
          <t xml:space="preserve">FOLHA - REFERÊNCIA MAR/21- LANÇADO PLANILHA PAGAMENTO GEFIC EM ABR/21.
</t>
        </r>
      </text>
    </comment>
    <comment ref="AD998" authorId="0" shapeId="0" xr:uid="{00000000-0006-0000-0000-0000F0070000}">
      <text>
        <r>
          <rPr>
            <sz val="11"/>
            <color rgb="FF000000"/>
            <rFont val="Calibri"/>
            <family val="2"/>
            <charset val="1"/>
          </rPr>
          <t xml:space="preserve">CELG MAR/21 LANÇADO NA PLANILHA DE ABR/21
</t>
        </r>
      </text>
    </comment>
    <comment ref="AW998" authorId="0" shapeId="0" xr:uid="{00000000-0006-0000-0000-0000530A0000}">
      <text>
        <r>
          <rPr>
            <sz val="11"/>
            <color rgb="FF000000"/>
            <rFont val="Calibri"/>
            <family val="2"/>
            <charset val="1"/>
          </rPr>
          <t xml:space="preserve">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t>
        </r>
        <r>
          <rPr>
            <sz val="9"/>
            <color rgb="FF000000"/>
            <rFont val="Segoe UI"/>
            <family val="2"/>
            <charset val="1"/>
          </rPr>
          <t>.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r>
      </text>
    </comment>
    <comment ref="Z999" authorId="0" shapeId="0" xr:uid="{00000000-0006-0000-0000-0000F5020000}">
      <text>
        <r>
          <rPr>
            <sz val="11"/>
            <color rgb="FF000000"/>
            <rFont val="Calibri"/>
            <family val="2"/>
            <charset val="1"/>
          </rPr>
          <t xml:space="preserve">FOLHA - REFERÊNCIA ABR/21- LANÇADO PLANILHA PAGAMENTO GEFIC EM MAI/21.
</t>
        </r>
      </text>
    </comment>
    <comment ref="AA999" authorId="0" shapeId="0" xr:uid="{00000000-0006-0000-0000-000074040000}">
      <text>
        <r>
          <rPr>
            <sz val="11"/>
            <color rgb="FF000000"/>
            <rFont val="Calibri"/>
            <family val="2"/>
            <charset val="1"/>
          </rPr>
          <t xml:space="preserve">FOLHA - REFERÊNCIA ABR/21- LANÇADO PLANILHA PAGAMENTO GEFIC EM MAI/21.
</t>
        </r>
      </text>
    </comment>
    <comment ref="AD999" authorId="0" shapeId="0" xr:uid="{00000000-0006-0000-0000-0000F1070000}">
      <text>
        <r>
          <rPr>
            <sz val="11"/>
            <color rgb="FF000000"/>
            <rFont val="Calibri"/>
            <family val="2"/>
            <charset val="1"/>
          </rPr>
          <t xml:space="preserve">CELG ABR/21 LANÇADO NA PLANILHA DE MAI/21
</t>
        </r>
      </text>
    </comment>
    <comment ref="Z1000" authorId="0" shapeId="0" xr:uid="{00000000-0006-0000-0000-0000F6020000}">
      <text>
        <r>
          <rPr>
            <sz val="11"/>
            <color rgb="FF000000"/>
            <rFont val="Calibri"/>
            <family val="2"/>
            <charset val="1"/>
          </rPr>
          <t xml:space="preserve">FOLHA - REFERÊNCIA MAI/21- LANÇADO PLANILHA PAGAMENTO GEFIC EM JUN/21.
</t>
        </r>
      </text>
    </comment>
    <comment ref="AA1000" authorId="0" shapeId="0" xr:uid="{00000000-0006-0000-0000-000075040000}">
      <text>
        <r>
          <rPr>
            <sz val="11"/>
            <color rgb="FF000000"/>
            <rFont val="Calibri"/>
            <family val="2"/>
            <charset val="1"/>
          </rPr>
          <t xml:space="preserve">FOLHA - REFERÊNCIA MAI/21- LANÇADO PLANILHA PAGAMENTO GEFIC EM JUN/21.
</t>
        </r>
      </text>
    </comment>
    <comment ref="AD1000" authorId="0" shapeId="0" xr:uid="{00000000-0006-0000-0000-0000F2070000}">
      <text>
        <r>
          <rPr>
            <sz val="11"/>
            <color rgb="FF000000"/>
            <rFont val="Calibri"/>
            <family val="2"/>
            <charset val="1"/>
          </rPr>
          <t xml:space="preserve">CELG MA/21 LANÇADO NA PLANILHA DE JUN/21
</t>
        </r>
      </text>
    </comment>
    <comment ref="Z1001" authorId="0" shapeId="0" xr:uid="{00000000-0006-0000-0000-0000F7020000}">
      <text>
        <r>
          <rPr>
            <sz val="11"/>
            <color rgb="FF000000"/>
            <rFont val="Calibri"/>
            <family val="2"/>
            <charset val="1"/>
          </rPr>
          <t xml:space="preserve">FOLHA - REFERÊNCIA JUN/21- LANÇADO PLANILHA PAGAMENTO GEFIC EM JUL/21.
</t>
        </r>
      </text>
    </comment>
    <comment ref="AA1001" authorId="0" shapeId="0" xr:uid="{00000000-0006-0000-0000-000076040000}">
      <text>
        <r>
          <rPr>
            <sz val="11"/>
            <color rgb="FF000000"/>
            <rFont val="Calibri"/>
            <family val="2"/>
            <charset val="1"/>
          </rPr>
          <t xml:space="preserve">FOLHA - REFERÊNCIA JUN/21- LANÇADO PLANILHA PAGAMENTO GEFIC EM JUL/21.
</t>
        </r>
      </text>
    </comment>
    <comment ref="AD1001" authorId="0" shapeId="0" xr:uid="{00000000-0006-0000-0000-0000F3070000}">
      <text>
        <r>
          <rPr>
            <sz val="11"/>
            <color rgb="FF000000"/>
            <rFont val="Calibri"/>
            <family val="2"/>
            <charset val="1"/>
          </rPr>
          <t xml:space="preserve">CELG JUN/21 LANÇADO NA PLANILHA DE JUL/21
</t>
        </r>
      </text>
    </comment>
    <comment ref="Z1002" authorId="0" shapeId="0" xr:uid="{00000000-0006-0000-0000-0000F8020000}">
      <text>
        <r>
          <rPr>
            <sz val="11"/>
            <color rgb="FF000000"/>
            <rFont val="Calibri"/>
            <family val="2"/>
            <charset val="1"/>
          </rPr>
          <t xml:space="preserve">FOLHA - REFERÊNCIA JUL/21- LANÇADO PLANILHA PAGAMENTO GEFIC EM AGO/21.
</t>
        </r>
      </text>
    </comment>
    <comment ref="AA1002" authorId="0" shapeId="0" xr:uid="{00000000-0006-0000-0000-000077040000}">
      <text>
        <r>
          <rPr>
            <sz val="11"/>
            <color rgb="FF000000"/>
            <rFont val="Calibri"/>
            <family val="2"/>
            <charset val="1"/>
          </rPr>
          <t xml:space="preserve">FOLHA - REFERÊNCIA JUL/21- LANÇADO PLANILHA PAGAMENTO GEFIC EM AGO/21.
</t>
        </r>
      </text>
    </comment>
    <comment ref="AD1002" authorId="0" shapeId="0" xr:uid="{00000000-0006-0000-0000-0000F4070000}">
      <text>
        <r>
          <rPr>
            <sz val="11"/>
            <color rgb="FF000000"/>
            <rFont val="Calibri"/>
            <family val="2"/>
            <charset val="1"/>
          </rPr>
          <t xml:space="preserve">CELG JUL/21 LANÇADO NA PLANILHA DE AGO/21
</t>
        </r>
      </text>
    </comment>
    <comment ref="D1006" authorId="0" shapeId="0" xr:uid="{00000000-0006-0000-0000-00000E000000}">
      <text>
        <r>
          <rPr>
            <sz val="11"/>
            <color rgb="FF000000"/>
            <rFont val="Calibri"/>
            <family val="2"/>
            <charset val="1"/>
          </rPr>
          <t xml:space="preserve">VIGÊNCIA 13/02/20 A 12/02/2024 (48 MESES)
</t>
        </r>
      </text>
    </comment>
    <comment ref="AW1006" authorId="0" shapeId="0" xr:uid="{00000000-0006-0000-0000-0000540A0000}">
      <text>
        <r>
          <rPr>
            <sz val="11"/>
            <color rgb="FF000000"/>
            <rFont val="Calibri"/>
            <family val="2"/>
            <charset val="1"/>
          </rPr>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r>
      </text>
    </comment>
    <comment ref="E1007" authorId="0" shapeId="0" xr:uid="{00000000-0006-0000-0000-000036000000}">
      <text>
        <r>
          <rPr>
            <b/>
            <sz val="9"/>
            <color rgb="FF000000"/>
            <rFont val="Tahoma"/>
            <family val="2"/>
            <charset val="1"/>
          </rPr>
          <t xml:space="preserve">
RESTANTE 1º MÊS: 397.954,20
PARTE 2º MÊS:680.371,22</t>
        </r>
      </text>
    </comment>
    <comment ref="E1008" authorId="0" shapeId="0" xr:uid="{00000000-0006-0000-0000-000037000000}">
      <text>
        <r>
          <rPr>
            <sz val="11"/>
            <color rgb="FF000000"/>
            <rFont val="Calibri"/>
            <family val="2"/>
            <charset val="1"/>
          </rPr>
          <t xml:space="preserve">RESTANTE 2 MÊS: 453.580,81
PARTE 3º MÊS:883.243,39
</t>
        </r>
      </text>
    </comment>
    <comment ref="AC1008" authorId="0" shapeId="0" xr:uid="{00000000-0006-0000-0000-000071050000}">
      <text>
        <r>
          <rPr>
            <sz val="11"/>
            <color rgb="FF000000"/>
            <rFont val="Calibri"/>
            <family val="2"/>
            <charset val="1"/>
          </rPr>
          <t xml:space="preserve">VIGILÂNCIA ARMADA: 22.555,83 LANÇADA NA PLANILHA DE MAR/20
</t>
        </r>
        <r>
          <rPr>
            <sz val="9"/>
            <color rgb="FF000000"/>
            <rFont val="Segoe UI"/>
            <family val="2"/>
            <charset val="1"/>
          </rPr>
          <t xml:space="preserve">
</t>
        </r>
      </text>
    </comment>
    <comment ref="AW1008" authorId="0" shapeId="0" xr:uid="{00000000-0006-0000-0000-0000550A0000}">
      <text>
        <r>
          <rPr>
            <sz val="11"/>
            <color rgb="FF000000"/>
            <rFont val="Calibri"/>
            <family val="2"/>
            <charset val="1"/>
          </rPr>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r>
      </text>
    </comment>
    <comment ref="E1009" authorId="0" shapeId="0" xr:uid="{00000000-0006-0000-0000-000038000000}">
      <text>
        <r>
          <rPr>
            <sz val="11"/>
            <color rgb="FF000000"/>
            <rFont val="Calibri"/>
            <family val="2"/>
            <charset val="1"/>
          </rPr>
          <t xml:space="preserve">RESTANTE 3º MÊS: 588.828,93
PARTE 4
º MÊS:994.682,54
</t>
        </r>
        <r>
          <rPr>
            <sz val="9"/>
            <color rgb="FF000000"/>
            <rFont val="Tahoma"/>
            <family val="2"/>
            <charset val="1"/>
          </rPr>
          <t xml:space="preserve">
</t>
        </r>
      </text>
    </comment>
    <comment ref="AC1009" authorId="0" shapeId="0" xr:uid="{00000000-0006-0000-0000-000072050000}">
      <text>
        <r>
          <rPr>
            <sz val="11"/>
            <color rgb="FF000000"/>
            <rFont val="Calibri"/>
            <family val="2"/>
            <charset val="1"/>
          </rPr>
          <t xml:space="preserve">VIGILÂNCIA ARMADA: 39.804,40 LANÇADA NA PLANILHA DE ABR/20
</t>
        </r>
      </text>
    </comment>
    <comment ref="AD1009" authorId="0" shapeId="0" xr:uid="{00000000-0006-0000-0000-0000F5070000}">
      <text>
        <r>
          <rPr>
            <sz val="11"/>
            <color rgb="FF000000"/>
            <rFont val="Calibri"/>
            <family val="2"/>
            <charset val="1"/>
          </rPr>
          <t xml:space="preserve">CELG-REFERÊNCIA MAR/20 - LANÇADO PLANILHA PAGAMENTO GEFIC EM ABR/20
</t>
        </r>
      </text>
    </comment>
    <comment ref="AC1010" authorId="0" shapeId="0" xr:uid="{00000000-0006-0000-0000-000073050000}">
      <text>
        <r>
          <rPr>
            <sz val="11"/>
            <color rgb="FF000000"/>
            <rFont val="Calibri"/>
            <family val="2"/>
            <charset val="1"/>
          </rPr>
          <t xml:space="preserve">VIGILÂNCIA ARMADA: 39.804,40 LANÇADA NA PLANILHA DE MAI/20
</t>
        </r>
      </text>
    </comment>
    <comment ref="AD1010" authorId="0" shapeId="0" xr:uid="{00000000-0006-0000-0000-0000F6070000}">
      <text>
        <r>
          <rPr>
            <sz val="11"/>
            <color rgb="FF000000"/>
            <rFont val="Calibri"/>
            <family val="2"/>
            <charset val="1"/>
          </rPr>
          <t xml:space="preserve">REFERÊNCIA ABR/20 - LANÇADO PLANILHA PAGAMENTO GEFIC EM MAI/20
</t>
        </r>
      </text>
    </comment>
    <comment ref="AW1010" authorId="0" shapeId="0" xr:uid="{00000000-0006-0000-0000-0000560A0000}">
      <text>
        <r>
          <rPr>
            <sz val="11"/>
            <color rgb="FF000000"/>
            <rFont val="Calibri"/>
            <family val="2"/>
            <charset val="1"/>
          </rPr>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t>
        </r>
        <r>
          <rPr>
            <sz val="9"/>
            <color rgb="FF000000"/>
            <rFont val="Segoe UI"/>
            <family val="2"/>
            <charset val="1"/>
          </rPr>
          <t xml:space="preserve">.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C1011" authorId="0" shapeId="0" xr:uid="{00000000-0006-0000-0000-000074050000}">
      <text>
        <r>
          <rPr>
            <sz val="11"/>
            <color rgb="FF000000"/>
            <rFont val="Calibri"/>
            <family val="2"/>
            <charset val="1"/>
          </rPr>
          <t xml:space="preserve">VIGILÂNCIA ARMADA: 39.804,40 - MAI/20 LANÇADA NA PLANILHA DE JUN/20
</t>
        </r>
        <r>
          <rPr>
            <sz val="9"/>
            <color rgb="FF000000"/>
            <rFont val="Segoe UI"/>
            <family val="2"/>
            <charset val="1"/>
          </rPr>
          <t>.
VIGILÂNCIA ARMADA: R$ 6.174,28  PARTE DO VALOR 39.804,40 - JUN/20 LANÇADA NA PLANILHA DE JUL20</t>
        </r>
      </text>
    </comment>
    <comment ref="AD1011" authorId="0" shapeId="0" xr:uid="{00000000-0006-0000-0000-0000F7070000}">
      <text>
        <r>
          <rPr>
            <sz val="11"/>
            <color rgb="FF000000"/>
            <rFont val="Calibri"/>
            <family val="2"/>
            <charset val="1"/>
          </rPr>
          <t xml:space="preserve">R$ 27.157,64 - REFERÊNCIA MAI/20 - LANÇADO PLANILHA PAGAMENTO GEFIC EM JUN/20
.
R$ 22.979,48 JUN/20 LANÇADA NA DE JUL/20
</t>
        </r>
      </text>
    </comment>
    <comment ref="AC1012" authorId="0" shapeId="0" xr:uid="{00000000-0006-0000-0000-000075050000}">
      <text>
        <r>
          <rPr>
            <sz val="11"/>
            <color rgb="FF000000"/>
            <rFont val="Calibri"/>
            <family val="2"/>
            <charset val="1"/>
          </rPr>
          <t xml:space="preserve">VIGILÂNCIA ARMADA: R$ 33.630,12 RESTANTE DO VALOR 39.804,40 - JUN/20 LANÇADA NA PLANILHA DE JUL20
.
VIGILÂNCIA ARMADA: 39.804,40  - JUL/20 LANÇADA NA PLANILHA DE AGO-20
</t>
        </r>
      </text>
    </comment>
    <comment ref="AD1012" authorId="0" shapeId="0" xr:uid="{00000000-0006-0000-0000-0000F8070000}">
      <text>
        <r>
          <rPr>
            <sz val="11"/>
            <color rgb="FF000000"/>
            <rFont val="Calibri"/>
            <family val="2"/>
            <charset val="1"/>
          </rPr>
          <t xml:space="preserve">ENERGIA - REFERÊNCIA JUL/20 - LANÇADO PLANILHA PAGAMENTO GEFIC EM AGO/20
</t>
        </r>
      </text>
    </comment>
    <comment ref="AF1012" authorId="0" shapeId="0" xr:uid="{00000000-0006-0000-0000-00002E090000}">
      <text>
        <r>
          <rPr>
            <sz val="11"/>
            <color rgb="FF000000"/>
            <rFont val="Calibri"/>
            <family val="2"/>
            <charset val="1"/>
          </rPr>
          <t xml:space="preserve">Kátia Mendes Magalhães:
</t>
        </r>
      </text>
    </comment>
    <comment ref="AW1012" authorId="0" shapeId="0" xr:uid="{00000000-0006-0000-0000-0000570A0000}">
      <text>
        <r>
          <rPr>
            <sz val="11"/>
            <color rgb="FF000000"/>
            <rFont val="Calibri"/>
            <family val="2"/>
            <charset val="1"/>
          </rPr>
          <t xml:space="preserve">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W1014" authorId="0" shapeId="0" xr:uid="{00000000-0006-0000-0000-0000580A0000}">
      <text>
        <r>
          <rPr>
            <b/>
            <sz val="9"/>
            <color rgb="FF000000"/>
            <rFont val="Segoe UI"/>
            <family val="2"/>
            <charset val="1"/>
          </rPr>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r>
      </text>
    </comment>
    <comment ref="E1020" authorId="0" shapeId="0" xr:uid="{00000000-0006-0000-0000-000039000000}">
      <text>
        <r>
          <rPr>
            <sz val="9"/>
            <color rgb="FF000000"/>
            <rFont val="Segoe UI"/>
            <family val="2"/>
            <charset val="1"/>
          </rPr>
          <t xml:space="preserve">VIGÊNCIA ATÉ 15/09/20
</t>
        </r>
      </text>
    </comment>
    <comment ref="F1020" authorId="0" shapeId="0" xr:uid="{00000000-0006-0000-0000-00007C000000}">
      <text>
        <r>
          <rPr>
            <sz val="11"/>
            <color rgb="FF000000"/>
            <rFont val="Calibri"/>
            <family val="2"/>
            <charset val="1"/>
          </rPr>
          <t xml:space="preserve">VIGÊNCIA - 16/09/20 A 31/12/20
</t>
        </r>
      </text>
    </comment>
    <comment ref="AF1020" authorId="0" shapeId="0" xr:uid="{00000000-0006-0000-0000-00002F090000}">
      <text>
        <r>
          <rPr>
            <sz val="11"/>
            <color rgb="FF000000"/>
            <rFont val="Calibri"/>
            <family val="2"/>
            <charset val="1"/>
          </rPr>
          <t xml:space="preserve">VIGÊNCIA - 16/09/20 A 31/12/20
.
SUSPENSO PELO SR.SECRETÁRIO/SES
</t>
        </r>
      </text>
    </comment>
    <comment ref="AF1021" authorId="0" shapeId="0" xr:uid="{00000000-0006-0000-0000-000030090000}">
      <text>
        <r>
          <rPr>
            <sz val="11"/>
            <color rgb="FF000000"/>
            <rFont val="Calibri"/>
            <family val="2"/>
            <charset val="1"/>
          </rPr>
          <t xml:space="preserve">VIGÊNCIA - 16/09/20 A 31/12/20
.
SUSPENSO PELO SR.SECRETÁRIO/SES
</t>
        </r>
      </text>
    </comment>
    <comment ref="AF1022" authorId="0" shapeId="0" xr:uid="{00000000-0006-0000-0000-000031090000}">
      <text>
        <r>
          <rPr>
            <sz val="11"/>
            <color rgb="FF000000"/>
            <rFont val="Calibri"/>
            <family val="2"/>
            <charset val="1"/>
          </rPr>
          <t xml:space="preserve">VIGÊNCIA - 16/09/20 A 31/12/20
.
SUSPENSO PELO SR.SECRETÁRIO/SES
</t>
        </r>
      </text>
    </comment>
    <comment ref="F1023" authorId="0" shapeId="0" xr:uid="{00000000-0006-0000-0000-00007D000000}">
      <text>
        <r>
          <rPr>
            <sz val="11"/>
            <color rgb="FF000000"/>
            <rFont val="Calibri"/>
            <family val="2"/>
            <charset val="1"/>
          </rPr>
          <t xml:space="preserve">VIGÊNCIA - 16/09/20 A 31/12/20
</t>
        </r>
      </text>
    </comment>
    <comment ref="AF1023" authorId="0" shapeId="0" xr:uid="{00000000-0006-0000-0000-000032090000}">
      <text>
        <r>
          <rPr>
            <sz val="11"/>
            <color rgb="FF000000"/>
            <rFont val="Calibri"/>
            <family val="2"/>
            <charset val="1"/>
          </rPr>
          <t xml:space="preserve">VIGÊNCIA - 16/09/20 A 31/12/20
.
SUSPENSO PELO SR.SECRETÁRIO/SES
</t>
        </r>
      </text>
    </comment>
    <comment ref="AX1024" authorId="0" shapeId="0" xr:uid="{00000000-0006-0000-0000-0000C40A0000}">
      <text>
        <r>
          <rPr>
            <sz val="11"/>
            <color rgb="FF000000"/>
            <rFont val="Calibri"/>
            <family val="2"/>
            <charset val="1"/>
          </rPr>
          <t xml:space="preserve">REG.DESPESA -CUSTEIO 01/01 A 31/01/22, PROC.202100010003483
</t>
        </r>
      </text>
    </comment>
    <comment ref="AX1025" authorId="0" shapeId="0" xr:uid="{00000000-0006-0000-0000-0000C50A0000}">
      <text>
        <r>
          <rPr>
            <sz val="11"/>
            <color rgb="FF000000"/>
            <rFont val="Calibri"/>
            <family val="2"/>
            <charset val="1"/>
          </rPr>
          <t xml:space="preserve">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r>
          <rPr>
            <sz val="9"/>
            <color rgb="FF000000"/>
            <rFont val="Tahoma"/>
            <family val="2"/>
            <charset val="1"/>
          </rPr>
          <t xml:space="preserve">
</t>
        </r>
      </text>
    </comment>
    <comment ref="D1026" authorId="0" shapeId="0" xr:uid="{00000000-0006-0000-0000-00000F000000}">
      <text>
        <r>
          <rPr>
            <sz val="11"/>
            <color rgb="FF000000"/>
            <rFont val="Calibri"/>
            <family val="2"/>
            <charset val="1"/>
          </rPr>
          <t xml:space="preserve">VIGÊNCIA A PARTIR DA PUBLICAÇÃO 02/03 A 02/07/21
</t>
        </r>
      </text>
    </comment>
    <comment ref="E1026" authorId="0" shapeId="0" xr:uid="{00000000-0006-0000-0000-00003A000000}">
      <text>
        <r>
          <rPr>
            <sz val="11"/>
            <color rgb="FF000000"/>
            <rFont val="Calibri"/>
            <family val="2"/>
            <charset val="1"/>
          </rPr>
          <t xml:space="preserve">VIGÊNCIA A PARTIR DA PUBLICAÇÃO 02/03 A 02/07/21
</t>
        </r>
      </text>
    </comment>
    <comment ref="AW1026" authorId="0" shapeId="0" xr:uid="{00000000-0006-0000-0000-0000590A0000}">
      <text>
        <r>
          <rPr>
            <sz val="11"/>
            <color rgb="FF000000"/>
            <rFont val="Calibri"/>
            <family val="2"/>
            <charset val="1"/>
          </rPr>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r>
      </text>
    </comment>
    <comment ref="AX1026" authorId="0" shapeId="0" xr:uid="{00000000-0006-0000-0000-0000C60A0000}">
      <text>
        <r>
          <rPr>
            <sz val="11"/>
            <color rgb="FF000000"/>
            <rFont val="Calibri"/>
            <family val="2"/>
            <charset val="1"/>
          </rPr>
          <t xml:space="preserve">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r>
        <r>
          <rPr>
            <sz val="9"/>
            <color rgb="FF000000"/>
            <rFont val="Tahoma"/>
            <family val="2"/>
            <charset val="1"/>
          </rPr>
          <t xml:space="preserve">
</t>
        </r>
      </text>
    </comment>
    <comment ref="AW1027" authorId="0" shapeId="0" xr:uid="{00000000-0006-0000-0000-00005A0A0000}">
      <text>
        <r>
          <rPr>
            <sz val="11"/>
            <color rgb="FF000000"/>
            <rFont val="Calibri"/>
            <family val="2"/>
            <charset val="1"/>
          </rPr>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r>
      </text>
    </comment>
    <comment ref="AX1027" authorId="0" shapeId="0" xr:uid="{00000000-0006-0000-0000-0000C70A0000}">
      <text>
        <r>
          <rPr>
            <sz val="11"/>
            <color rgb="FF000000"/>
            <rFont val="Calibri"/>
            <family val="2"/>
            <charset val="1"/>
          </rPr>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8" authorId="0" shapeId="0" xr:uid="{00000000-0006-0000-0000-0000C80A0000}">
      <text>
        <r>
          <rPr>
            <sz val="11"/>
            <color rgb="FF000000"/>
            <rFont val="Calibri"/>
            <family val="2"/>
            <charset val="1"/>
          </rPr>
          <t xml:space="preserve">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9" authorId="0" shapeId="0" xr:uid="{00000000-0006-0000-0000-0000C90A0000}">
      <text>
        <r>
          <rPr>
            <sz val="11"/>
            <color rgb="FF000000"/>
            <rFont val="Calibri"/>
            <family val="2"/>
            <charset val="1"/>
          </rPr>
          <t xml:space="preserve">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D1030" authorId="0" shapeId="0" xr:uid="{00000000-0006-0000-0000-000010000000}">
      <text>
        <r>
          <rPr>
            <sz val="11"/>
            <color rgb="FF000000"/>
            <rFont val="Calibri"/>
            <family val="2"/>
            <charset val="1"/>
          </rPr>
          <t xml:space="preserve">VIGÊNCIA A PARTIR DA PUBLICAÇÃO 02/03 A 02/07/21
</t>
        </r>
      </text>
    </comment>
    <comment ref="E1030" authorId="0" shapeId="0" xr:uid="{00000000-0006-0000-0000-00003B000000}">
      <text>
        <r>
          <rPr>
            <sz val="11"/>
            <color rgb="FF000000"/>
            <rFont val="Calibri"/>
            <family val="2"/>
            <charset val="1"/>
          </rPr>
          <t xml:space="preserve">R$ 637.625,13 - VIGÊNCIA A PARTIR DA PUBLICAÇÃO 02/03 A 02/07/21
</t>
        </r>
        <r>
          <rPr>
            <sz val="9"/>
            <color rgb="FF000000"/>
            <rFont val="Segoe UI"/>
            <family val="2"/>
            <charset val="1"/>
          </rPr>
          <t>.
R$ 11.589.905,60 - CONTRATO 3 - 03 A 31/07/21: ANTECIPAÇÃO CONFORME DETERMINA
DO PELO Sr. SECRETARIO NO DESPACHO Nº 2414/2021 - GAB E A PARTIR DE AGOSTO  DESPACHO Nº 2770/2021 - GAB</t>
        </r>
      </text>
    </comment>
    <comment ref="AX1030" authorId="0" shapeId="0" xr:uid="{00000000-0006-0000-0000-0000CA0A0000}">
      <text>
        <r>
          <rPr>
            <sz val="11"/>
            <color rgb="FF000000"/>
            <rFont val="Calibri"/>
            <family val="2"/>
            <charset val="1"/>
          </rPr>
          <t xml:space="preserve">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text>
    </comment>
    <comment ref="E1035" authorId="0" shapeId="0" xr:uid="{00000000-0006-0000-0000-00003C000000}">
      <text>
        <r>
          <rPr>
            <sz val="11"/>
            <color rgb="FF000000"/>
            <rFont val="Calibri"/>
            <family val="2"/>
            <charset val="1"/>
          </rPr>
          <t xml:space="preserve">R$ 281.971,17 - DIFERENÇA ENTRE O LANÇADO E O DA PLANILHA DE PAGAMENTO GAOS
</t>
        </r>
      </text>
    </comment>
    <comment ref="AW1040" authorId="0" shapeId="0" xr:uid="{00000000-0006-0000-0000-00005B0A0000}">
      <text>
        <r>
          <rPr>
            <sz val="11"/>
            <color rgb="FF000000"/>
            <rFont val="Calibri"/>
            <family val="2"/>
            <charset val="1"/>
          </rPr>
          <t xml:space="preserve">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r>
      </text>
    </comment>
    <comment ref="F1041" authorId="0" shapeId="0" xr:uid="{00000000-0006-0000-0000-00007E000000}">
      <text>
        <r>
          <rPr>
            <sz val="11"/>
            <color rgb="FF000000"/>
            <rFont val="Calibri"/>
            <family val="2"/>
            <charset val="1"/>
          </rPr>
          <t xml:space="preserve">VIGÊNCIA 14/11 A 31/12/20
</t>
        </r>
      </text>
    </comment>
    <comment ref="AD1041" authorId="0" shapeId="0" xr:uid="{00000000-0006-0000-0000-0000F9070000}">
      <text>
        <r>
          <rPr>
            <sz val="11"/>
            <color rgb="FF000000"/>
            <rFont val="Calibri"/>
            <family val="2"/>
            <charset val="1"/>
          </rPr>
          <t xml:space="preserve">ENERGIA - REFERÊNCIA SET/20 - LANÇADO PLANILHA PAGAMENTO GEFIC EM OUT/20
</t>
        </r>
        <r>
          <rPr>
            <sz val="9"/>
            <color rgb="FF000000"/>
            <rFont val="Segoe UI"/>
            <family val="2"/>
            <charset val="1"/>
          </rPr>
          <t>ENEL UC (690208467).................................R$ 15.427,47;
ENEL UC (690033151).................................R$ 8.619,12.</t>
        </r>
      </text>
    </comment>
    <comment ref="AF1041" authorId="0" shapeId="0" xr:uid="{00000000-0006-0000-0000-000033090000}">
      <text>
        <r>
          <rPr>
            <sz val="11"/>
            <color rgb="FF000000"/>
            <rFont val="Calibri"/>
            <family val="2"/>
            <charset val="1"/>
          </rPr>
          <t xml:space="preserve">ESTIMADO CELG
</t>
        </r>
      </text>
    </comment>
    <comment ref="AD1042" authorId="0" shapeId="0" xr:uid="{00000000-0006-0000-0000-0000FA070000}">
      <text>
        <r>
          <rPr>
            <sz val="11"/>
            <color rgb="FF000000"/>
            <rFont val="Calibri"/>
            <family val="2"/>
            <charset val="1"/>
          </rPr>
          <t xml:space="preserve">ENERGIA -  - LANÇADO PLANILHA PAGAMENTO GEFIC EM DEZ/20
OUTUBRO:
</t>
        </r>
        <r>
          <rPr>
            <sz val="9"/>
            <color rgb="FF000000"/>
            <rFont val="Segoe UI"/>
            <family val="2"/>
            <charset val="1"/>
          </rPr>
          <t>ENEL UC (690208467).................................R$  19.319,65;
ENEL UC (690033151).................................R$ 17.904,51;
ENEL UC (690174706.................................R$ 21.021,59;
NOVEMBRO:
ENEL UC (690208467).................................R$ 16.384,68;
ENEL UC (690033151).................................R$ 19.834,65;
ENEL UC (690174706.................................R$ 20.732,93;
DEZEMBRO:
ENEL UC (690208467).................................R$ 19.181,05;
ENEL UC (690033151).................................R$ 16.768,65;
ENEL UC (690174706.................................R$ 23.937,02.</t>
        </r>
      </text>
    </comment>
    <comment ref="AX1043" authorId="0" shapeId="0" xr:uid="{00000000-0006-0000-0000-0000CB0A0000}">
      <text>
        <r>
          <rPr>
            <sz val="11"/>
            <color rgb="FF000000"/>
            <rFont val="Calibri"/>
            <family val="2"/>
            <charset val="1"/>
          </rPr>
          <t xml:space="preserve">REG.DESPESA - CUSTEIO 26/11/2020 A 31/01/2021
</t>
        </r>
      </text>
    </comment>
    <comment ref="AX1044" authorId="0" shapeId="0" xr:uid="{00000000-0006-0000-0000-0000CC0A0000}">
      <text>
        <r>
          <rPr>
            <sz val="11"/>
            <color rgb="FF000000"/>
            <rFont val="Calibri"/>
            <family val="2"/>
            <charset val="1"/>
          </rPr>
          <t xml:space="preserve">R$ 3.415.981,53 - REG.DESPESAS - CUSTEIO PERÍODO DE  01/02/2021 A 28/02/2021
.
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AOSPERÍODOS:.10 Leitos UTI COVID - 18/02/2021 à 28/02/2021..........R$ 300.28
7,80
</t>
        </r>
      </text>
    </comment>
    <comment ref="AW1045" authorId="0" shapeId="0" xr:uid="{00000000-0006-0000-0000-00005C0A0000}">
      <text>
        <r>
          <rPr>
            <sz val="11"/>
            <color rgb="FF000000"/>
            <rFont val="Calibri"/>
            <family val="2"/>
            <charset val="1"/>
          </rPr>
          <t xml:space="preserve">REGULARIZAÇÃO DE DESPESAS PARCIAL DO HOSPITAL REG IONAL DE ITUMBIARA SÃO MARCOS. . DOCUMENTOS : REQUISIÇÃO DE DESPESA N° 97/2021 SUPER. DESPACHO Nº 3076/2021 SGI. ANEXO II 2021. EMPENHO CONFORME NOTA TÉCNICA 002/2013. . EMPENHO RELATIVO AO PERÍODO DE 01/03/2021 A 30/03/2021: VALOR DIÁRIO ...........................R$ 121.999,34 VALOR TOTAL.............................R$ 3.659.980,21 . .EMPENHO RELATIVO AO PERÍODO DE 01/04/2021 A 30/04/2021: VALOR DIÁRIO ...........................R$ 121.999,34 VALOR TOTAL.............................R$ 3.659.980,21
</t>
        </r>
      </text>
    </comment>
    <comment ref="AX1045" authorId="0" shapeId="0" xr:uid="{00000000-0006-0000-0000-0000CD0A0000}">
      <text>
        <r>
          <rPr>
            <b/>
            <sz val="9"/>
            <color rgb="FF000000"/>
            <rFont val="Segoe UI"/>
            <family val="2"/>
            <charset val="1"/>
          </rPr>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r>
      </text>
    </comment>
    <comment ref="AX1046" authorId="0" shapeId="0" xr:uid="{00000000-0006-0000-0000-0000CE0A0000}">
      <text>
        <r>
          <rPr>
            <sz val="11"/>
            <color rgb="FF000000"/>
            <rFont val="Calibri"/>
            <family val="2"/>
            <charset val="1"/>
          </rPr>
          <t xml:space="preserve">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 PERÍODOS:. 11 Leitos enfermaria COVID e 20 Leitos de UTI COVID - 01/04/2021 à
30/04/2021.................R$ 1.777.037,70
</t>
        </r>
        <r>
          <rPr>
            <sz val="9"/>
            <color rgb="FF000000"/>
            <rFont val="Segoe UI"/>
            <family val="2"/>
            <charset val="1"/>
          </rPr>
          <t xml:space="preserve">.
REGULARIZAÇÃO DE DESPESAS PARCIAL DO HOSPITAL REG IONAL DE ITUMBIARA SÃO MARCOS. . DOCUMENTOS : REQUISIÇÃO DE DESPESA N° 97/2021 SUPER. DESPACHO Nº 3076/2021 SGI. ANEXO II 2021. EMPENHO CONFORME NOTA TÉCNICA 002/2013. . EMPENHO RELATIVO AO PERÍODO  01/04/2021 A 30/04/2021: VALOR DIÁRIO ...........................R$ 121.999,34 VALOR TOTAL.............................R$ 3.659.980,21
</t>
        </r>
      </text>
    </comment>
    <comment ref="E1047" authorId="0" shapeId="0" xr:uid="{00000000-0006-0000-0000-00003D000000}">
      <text>
        <r>
          <rPr>
            <sz val="9"/>
            <color rgb="FF000000"/>
            <rFont val="Segoe UI"/>
            <family val="2"/>
            <charset val="1"/>
          </rPr>
          <t xml:space="preserve">Processo nº 202000010042734 - Vigência a partir da publicação 04/05 a 02/07/21
</t>
        </r>
      </text>
    </comment>
    <comment ref="AD1047" authorId="0" shapeId="0" xr:uid="{00000000-0006-0000-0000-0000FB070000}">
      <text>
        <r>
          <rPr>
            <sz val="11"/>
            <color rgb="FF000000"/>
            <rFont val="Calibri"/>
            <family val="2"/>
            <charset val="1"/>
          </rPr>
          <t xml:space="preserve">CELG LANÇADO NA PLANILHA DE MAI/21:
.
JAN/21:
ENEL UC.690208467............R$18.868,07
ENEL UC.690033151............R$ 15.691,89
ENEL UC.690174706............R$ 41.208,05
.
</t>
        </r>
        <r>
          <rPr>
            <sz val="9"/>
            <color rgb="FF000000"/>
            <rFont val="Segoe UI"/>
            <family val="2"/>
            <charset val="1"/>
          </rPr>
          <t>FEV/21.:
ENEL UC.690208467............R$ 22.148,53
ENEL UC.690033151............R$ 16.128,31
ENEL UC.690174706............R$ 21.815,13
.
MAR/21:
ENEL UC.690208467............R$ 25.465,80
ENEL UC.690033151............R$ 15.598,35
ENEL UC.690174706............R$ 21.027,48
.
ABR/21.:
ENEL UC.690208467............R$30.964,19
ENEL UC.690033151............R$ 17.189,62
ENEL UC.690174706............R$ 22.451,82</t>
        </r>
      </text>
    </comment>
    <comment ref="AX1047" authorId="0" shapeId="0" xr:uid="{00000000-0006-0000-0000-0000CF0A0000}">
      <text>
        <r>
          <rPr>
            <sz val="11"/>
            <color rgb="FF000000"/>
            <rFont val="Calibri"/>
            <family val="2"/>
            <charset val="1"/>
          </rPr>
          <t xml:space="preserve">R$ 223.623,17 - REGULARIZAÇÃO DE DESPESAS PARCIAL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t>
        </r>
        <r>
          <rPr>
            <sz val="9"/>
            <color rgb="FF000000"/>
            <rFont val="Tahoma"/>
            <family val="2"/>
            <charset val="1"/>
          </rPr>
          <t>.
R$ 365.998,02 - REGULARIZAÇÃO DE DESPESAS PARCIAL DO CUSTEIO DO HOSPITAL REG IONAL DE ITUMBIARA SÃO MARCOS. . DOCUMENTOS : REQUISIÇÃO DE DESPESA N° 97/2021 SUPER. DESPACHO Nº 3076/2021 SGI. ANEXO II 2021. EMPENHO CONFORME NOTA TÉCNICA 002/2013. . EMPENHO RELATIVO AO PERÍODO DE  01/05/2021 A 03/05/2021: VALOR DIÁRIO ...........................R$ 121.999,34 VALOR TOTAL.............................R$ 365.998,02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r>
      </text>
    </comment>
    <comment ref="AD1048" authorId="0" shapeId="0" xr:uid="{00000000-0006-0000-0000-0000FC070000}">
      <text>
        <r>
          <rPr>
            <sz val="11"/>
            <color rgb="FF000000"/>
            <rFont val="Calibri"/>
            <family val="2"/>
            <charset val="1"/>
          </rPr>
          <t xml:space="preserve">CELG LANÇADO NA PLANILHA DE JUN/21:
.
MAI/21:
ENEL UC.690208467............R$25.628,51
ENEL UC.690033151............R$ 18.578,82
ENEL UC.690174706............R$ 21.794,28
.
</t>
        </r>
      </text>
    </comment>
    <comment ref="AX1048" authorId="0" shapeId="0" xr:uid="{00000000-0006-0000-0000-0000D00A0000}">
      <text>
        <r>
          <rPr>
            <sz val="11"/>
            <color rgb="FF000000"/>
            <rFont val="Calibri"/>
            <family val="2"/>
            <charset val="1"/>
          </rPr>
          <t xml:space="preserve">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30/06/2021...................R$ 2.460.532,42, processo 202100010017927.
</t>
        </r>
      </text>
    </comment>
    <comment ref="E1049" authorId="0" shapeId="0" xr:uid="{00000000-0006-0000-0000-00003E000000}">
      <text>
        <r>
          <rPr>
            <sz val="9"/>
            <color rgb="FF000000"/>
            <rFont val="Segoe UI"/>
            <family val="2"/>
            <charset val="1"/>
          </rPr>
          <t>R$ 243.998,68 - Processo nº 202000010042734 - Vigência a partir da publicação 04/05 a 02/07/21
.
R$ 7.296.347,33 - Processo nº 202100010026271 - Vigência  03/07/2021 até 02/01/2022 AUTORIZADO EXECUÇÃO DO CONTRATO ANTES DA OUTORGA A PARTIR DE 03/07 SECRETARIO DESPACHO Nº 2788/2021 - GAB</t>
        </r>
      </text>
    </comment>
    <comment ref="AD1049" authorId="0" shapeId="0" xr:uid="{00000000-0006-0000-0000-0000FD070000}">
      <text>
        <r>
          <rPr>
            <sz val="11"/>
            <color rgb="FF000000"/>
            <rFont val="Calibri"/>
            <family val="2"/>
            <charset val="1"/>
          </rPr>
          <t xml:space="preserve">CELG LANÇADO NA PLANILHA DE AGO/21:
.
JUN/21:
ENEL UC.690208467............R$ 24.550,37
ENEL UC.690033151............R$ 19.649,36
ENEL UC.690174706............R$ 21.569,31
.
</t>
        </r>
      </text>
    </comment>
    <comment ref="AX1049" authorId="0" shapeId="0" xr:uid="{00000000-0006-0000-0000-0000D10A0000}">
      <text>
        <r>
          <rPr>
            <b/>
            <sz val="9"/>
            <color rgb="FF000000"/>
            <rFont val="Tahoma"/>
            <family val="2"/>
            <charset val="1"/>
          </rPr>
          <t>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02/07/2021...................R$ 163.427,71, processo 202100010017927.</t>
        </r>
      </text>
    </comment>
    <comment ref="AD1050" authorId="0" shapeId="0" xr:uid="{00000000-0006-0000-0000-0000FE070000}">
      <text>
        <r>
          <rPr>
            <sz val="11"/>
            <color rgb="FF000000"/>
            <rFont val="Calibri"/>
            <family val="2"/>
            <charset val="1"/>
          </rPr>
          <t xml:space="preserve">CELG LANÇADO NA PLANILHA DE AGO/21:
.
JUL/21:
ENEL UC.690208467............R$ 23.895,44
ENEL UC.690033151............R$ 21.368,59
ENEL UC.690174706............R$ 19.208,11
.
</t>
        </r>
      </text>
    </comment>
    <comment ref="D1057" authorId="0" shapeId="0" xr:uid="{00000000-0006-0000-0000-000011000000}">
      <text>
        <r>
          <rPr>
            <sz val="11"/>
            <color rgb="FF000000"/>
            <rFont val="Calibri"/>
            <family val="2"/>
            <charset val="1"/>
          </rPr>
          <t xml:space="preserve">a partir de 18-05
</t>
        </r>
      </text>
    </comment>
    <comment ref="AW1060" authorId="0" shapeId="0" xr:uid="{00000000-0006-0000-0000-00005D0A0000}">
      <text>
        <r>
          <rPr>
            <sz val="11"/>
            <color rgb="FF000000"/>
            <rFont val="Calibri"/>
            <family val="2"/>
            <charset val="1"/>
          </rPr>
          <t xml:space="preserve">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
</t>
        </r>
      </text>
    </comment>
    <comment ref="AX1062" authorId="0" shapeId="0" xr:uid="{00000000-0006-0000-0000-0000D20A0000}">
      <text>
        <r>
          <rPr>
            <sz val="11"/>
            <color rgb="FF000000"/>
            <rFont val="Calibri"/>
            <family val="2"/>
            <charset val="1"/>
          </rPr>
          <t xml:space="preserve">REG.DESPESA - CUSTEIO - 01/01 A 31/01/21, PROC.202100010003460
</t>
        </r>
      </text>
    </comment>
    <comment ref="AX1063" authorId="0" shapeId="0" xr:uid="{00000000-0006-0000-0000-0000D30A0000}">
      <text>
        <r>
          <rPr>
            <sz val="11"/>
            <color rgb="FF000000"/>
            <rFont val="Calibri"/>
            <family val="2"/>
            <charset val="1"/>
          </rPr>
          <t xml:space="preserve">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 proc.202100010003460
</t>
        </r>
        <r>
          <rPr>
            <sz val="9"/>
            <color rgb="FF000000"/>
            <rFont val="Segoe UI"/>
            <family val="2"/>
            <charset val="1"/>
          </rPr>
          <t>.
R$ 905.959,86 - PROC.202100010019966 - REPASSE REG.DESPESA - período de 15/02/2021 a 09/03/2021, relativa ao Aditivo de 12 leitos de Enfermaria 10 leitos de UTI Covid, DOCUMENTOS: REQUISIÇÃO DE DESPESA N° 83/2021 SUPER, DESPACHO Nº 1003/2021SUPER, DESPACHO Nº 2704/2021 SGI, NOTA TÉCNICA N°002/2013-ADSET/GAB,TERMO DE RECONHECIMENTO DE DÍVIDA.</t>
        </r>
      </text>
    </comment>
    <comment ref="AW1064" authorId="0" shapeId="0" xr:uid="{00000000-0006-0000-0000-00005E0A0000}">
      <text>
        <r>
          <rPr>
            <sz val="11"/>
            <color rgb="FF000000"/>
            <rFont val="Calibri"/>
            <family val="2"/>
            <charset val="1"/>
          </rPr>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r>
      </text>
    </comment>
    <comment ref="AX1064" authorId="0" shapeId="0" xr:uid="{00000000-0006-0000-0000-0000D40A0000}">
      <text>
        <r>
          <rPr>
            <sz val="11"/>
            <color rgb="FF000000"/>
            <rFont val="Calibri"/>
            <family val="2"/>
            <charset val="1"/>
          </rPr>
          <t xml:space="preserve">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202100010003460.
</t>
        </r>
        <r>
          <rPr>
            <sz val="9"/>
            <color rgb="FF000000"/>
            <rFont val="Segoe UI"/>
            <family val="2"/>
            <charset val="1"/>
          </rPr>
          <t>.
PROC.202100010019966 - DOCUMENTOS: REQUISIÇÃO DE DESPESA N° 83/2021 SUPER, DESPACHO Nº 1003/2021
SUPER, DESPACHO Nº 2704/2021 SGI, NOTA TÉCNICA N°002/2013-ADSET/GAB,
TERMO DE RECONHECIMENTO DE DÍVIDA:
.
* REPASSE REG.DESPESA - período de 10/03/2021 a 31/03/2021, relativa ao Aditiv
o de 19 leitos de Enfermaria e 20 leitos de UTI Covid....R$ 1.457.458,47;
* REPASSE REG.DESPESA - período de 25/03/2021 a 31/03/2021, relativa ao Aditiv
o de 15 salas de observação....R$ 41.494,00</t>
        </r>
      </text>
    </comment>
    <comment ref="D1065" authorId="0" shapeId="0" xr:uid="{00000000-0006-0000-0000-000012000000}">
      <text>
        <r>
          <rPr>
            <sz val="9"/>
            <color rgb="FF000000"/>
            <rFont val="Segoe UI"/>
            <family val="2"/>
            <charset val="1"/>
          </rPr>
          <t xml:space="preserve">VIGÊNCIA A PARTIR DA PUBLICAÇÃO - 16/04 A 02/07/21
</t>
        </r>
      </text>
    </comment>
    <comment ref="E1065" authorId="0" shapeId="0" xr:uid="{00000000-0006-0000-0000-00003F000000}">
      <text>
        <r>
          <rPr>
            <sz val="9"/>
            <color rgb="FF000000"/>
            <rFont val="Segoe UI"/>
            <family val="2"/>
            <charset val="1"/>
          </rPr>
          <t xml:space="preserve">VIGÊNCIA A PARTIR DA PUBLICAÇÃO - 16/04 A 02/07/21
</t>
        </r>
      </text>
    </comment>
    <comment ref="Y1065" authorId="0" shapeId="0" xr:uid="{00000000-0006-0000-0000-000032020000}">
      <text>
        <r>
          <rPr>
            <sz val="9"/>
            <color rgb="FF000000"/>
            <rFont val="Segoe UI"/>
            <family val="2"/>
            <charset val="1"/>
          </rPr>
          <t xml:space="preserve">VIGÊNCIA A PARTIR DA PUBLICAÇÃO - 16/04 A 02/07/21
</t>
        </r>
      </text>
    </comment>
    <comment ref="AF1065" authorId="0" shapeId="0" xr:uid="{00000000-0006-0000-0000-000034090000}">
      <text>
        <r>
          <rPr>
            <sz val="11"/>
            <color rgb="FF000000"/>
            <rFont val="Calibri"/>
            <family val="2"/>
            <charset val="1"/>
          </rPr>
          <t xml:space="preserve">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
</t>
        </r>
      </text>
    </comment>
    <comment ref="AW1065" authorId="0" shapeId="0" xr:uid="{00000000-0006-0000-0000-00005F0A0000}">
      <text>
        <r>
          <rPr>
            <sz val="11"/>
            <color rgb="FF000000"/>
            <rFont val="Calibri"/>
            <family val="2"/>
            <charset val="1"/>
          </rPr>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t>
        </r>
        <r>
          <rPr>
            <sz val="9"/>
            <color rgb="FF000000"/>
            <rFont val="Segoe UI"/>
            <family val="2"/>
            <charset val="1"/>
          </rPr>
          <t xml:space="preserve">.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r>
      </text>
    </comment>
    <comment ref="AX1065" authorId="0" shapeId="0" xr:uid="{00000000-0006-0000-0000-0000D50A0000}">
      <text>
        <r>
          <rPr>
            <sz val="11"/>
            <color rgb="FF000000"/>
            <rFont val="Calibri"/>
            <family val="2"/>
            <charset val="1"/>
          </rPr>
          <t xml:space="preserve">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
R$ 2.191.855,77 - PROC.202100010019966 - REPASSE REG.DESPESA - período de 01/04/2021 a 30/04/2021, relativa ao Aditiv
o de 19 leitos de Enfermarias, 20 leitos de UTI Covid e 15 salas de observaç
ão, DOCUMENTOS: REQUISIÇÃO DE DESPESA N° 83/2021 SUPER, DESPACHO Nº 1003/2021
SUPER, DESPACHO Nº 2704/2021 SGI, NOTA TÉCNICA N°002/2013-ADSET/GAB,
TERMO DE RECONHECIMENTO DE DÍVIDA.
</t>
        </r>
        <r>
          <rPr>
            <sz val="9"/>
            <color rgb="FF000000"/>
            <rFont val="Segoe UI"/>
            <family val="2"/>
            <charset val="1"/>
          </rPr>
          <t xml:space="preserve">
</t>
        </r>
      </text>
    </comment>
    <comment ref="AW1066" authorId="0" shapeId="0" xr:uid="{00000000-0006-0000-0000-0000600A0000}">
      <text>
        <r>
          <rPr>
            <sz val="11"/>
            <color rgb="FF000000"/>
            <rFont val="Calibri"/>
            <family val="2"/>
            <charset val="1"/>
          </rPr>
          <t xml:space="preserve">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t>
        </r>
        <r>
          <rPr>
            <sz val="9"/>
            <color rgb="FF000000"/>
            <rFont val="Tahoma"/>
            <family val="2"/>
            <charset val="1"/>
          </rPr>
          <t>.
R$ 53.571,20 - INVESTIMENTO, PARA AQUISIÇÃO DE MÓVEIS HOSPITALARES DESTINADOS AO HOSPITAL DE REGIONAL DE LUZIÂNIA. . DOCUMENTOS: REQUISIÇÃO DE DESPESA N° 111/2021 – GAOS, MEMORANDO Nº312/2021 –GAOS, DESPACHO Nº2580/2021–SGI, ANEXO II N°605/2021. . PROCESSO SEI 202000010020719</t>
        </r>
      </text>
    </comment>
    <comment ref="E1068" authorId="0" shapeId="0" xr:uid="{00000000-0006-0000-0000-000040000000}">
      <text>
        <r>
          <rPr>
            <sz val="11"/>
            <color rgb="FF000000"/>
            <rFont val="Calibri"/>
            <family val="2"/>
            <charset val="1"/>
          </rPr>
          <t xml:space="preserve">R$ 231.186,30 - CONTRATO 2 -  VIGÊNCIA A PARTIR DA PUBLICAÇÃO - 16/04 A 02/07/21
.
R$ 6818184,8 - CONTRATO-3 A PARTIR DE 03/07/21 (PROC.202100010026269) REPASSE JUL CONFORME AUTORIZADO EXECUÇÃO ANTES DA OUTORGA PELO SECRETARIO DESPACHO Nº 2450/2021 - GAB E SUCESSIVAMENTE A PARTIR DE AGOSTO DESPACHO Nº 2773/2021 - GAB
</t>
        </r>
      </text>
    </comment>
    <comment ref="AD1068" authorId="0" shapeId="0" xr:uid="{00000000-0006-0000-0000-0000FF070000}">
      <text>
        <r>
          <rPr>
            <sz val="11"/>
            <color rgb="FF000000"/>
            <rFont val="Calibri"/>
            <family val="2"/>
            <charset val="1"/>
          </rPr>
          <t xml:space="preserve">R$ 62.949,99 - CELG ABR/21 LANÇADO NA PLANILHA DE MAI/21
</t>
        </r>
        <r>
          <rPr>
            <sz val="9"/>
            <color rgb="FF000000"/>
            <rFont val="Segoe UI"/>
            <family val="2"/>
            <charset val="1"/>
          </rPr>
          <t xml:space="preserve">
</t>
        </r>
      </text>
    </comment>
    <comment ref="AW1068" authorId="0" shapeId="0" xr:uid="{00000000-0006-0000-0000-0000610A0000}">
      <text>
        <r>
          <rPr>
            <sz val="11"/>
            <color rgb="FF000000"/>
            <rFont val="Calibri"/>
            <family val="2"/>
            <charset val="1"/>
          </rPr>
          <t xml:space="preserve">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
</t>
        </r>
      </text>
    </comment>
    <comment ref="AD1069" authorId="0" shapeId="0" xr:uid="{00000000-0006-0000-0000-000000080000}">
      <text>
        <r>
          <rPr>
            <sz val="11"/>
            <color rgb="FF000000"/>
            <rFont val="Calibri"/>
            <family val="2"/>
            <charset val="1"/>
          </rPr>
          <t xml:space="preserve">CELG LANÇADO NA PLANILHA DE AGO/21:
.
JUN/21:............R$ 43.337,32
JUL/21:............R$ 36.730,89
</t>
        </r>
        <r>
          <rPr>
            <sz val="9"/>
            <color rgb="FF000000"/>
            <rFont val="Segoe UI"/>
            <family val="2"/>
            <charset val="1"/>
          </rPr>
          <t xml:space="preserve">
</t>
        </r>
      </text>
    </comment>
    <comment ref="D1076" authorId="0" shapeId="0" xr:uid="{00000000-0006-0000-0000-000013000000}">
      <text>
        <r>
          <rPr>
            <sz val="11"/>
            <color rgb="FF000000"/>
            <rFont val="Calibri"/>
            <family val="2"/>
            <charset val="1"/>
          </rPr>
          <t xml:space="preserve"> a partir de 18-05
</t>
        </r>
      </text>
    </comment>
    <comment ref="F1079" authorId="0" shapeId="0" xr:uid="{00000000-0006-0000-0000-00007F000000}">
      <text>
        <r>
          <rPr>
            <sz val="11"/>
            <color rgb="FF000000"/>
            <rFont val="Calibri"/>
            <family val="2"/>
            <charset val="1"/>
          </rPr>
          <t xml:space="preserve">VIGENCIA 14/11 A 30/12/20
</t>
        </r>
      </text>
    </comment>
    <comment ref="AW1079" authorId="0" shapeId="0" xr:uid="{00000000-0006-0000-0000-0000620A0000}">
      <text>
        <r>
          <rPr>
            <sz val="11"/>
            <color rgb="FF000000"/>
            <rFont val="Calibri"/>
            <family val="2"/>
            <charset val="1"/>
          </rPr>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r>
        <r>
          <rPr>
            <sz val="9"/>
            <color rgb="FF000000"/>
            <rFont val="Tahoma"/>
            <family val="2"/>
            <charset val="1"/>
          </rPr>
          <t xml:space="preserve">
</t>
        </r>
      </text>
    </comment>
    <comment ref="AX1081" authorId="0" shapeId="0" xr:uid="{00000000-0006-0000-0000-0000D60A0000}">
      <text>
        <r>
          <rPr>
            <sz val="11"/>
            <color rgb="FF000000"/>
            <rFont val="Calibri"/>
            <family val="2"/>
            <charset val="1"/>
          </rPr>
          <t xml:space="preserve">REG.DESPESA - CUSTEIO DO PERÍODO  DE 01/01 A 31/01/22
</t>
        </r>
      </text>
    </comment>
    <comment ref="AW1082" authorId="0" shapeId="0" xr:uid="{00000000-0006-0000-0000-0000630A0000}">
      <text>
        <r>
          <rPr>
            <b/>
            <sz val="9"/>
            <color rgb="FF000000"/>
            <rFont val="Segoe UI"/>
            <family val="2"/>
            <charset val="1"/>
          </rPr>
          <t>REPASSE DE RECURSOS FINANCEIROS AO INSTITUTO DE MEDICINA, ESTUDOS E DESENVOL
VIMENTO - IMED, A TÍTULO DE INVESTIMENTO, PARA INSTALAÇÃO DA REDE DE GASES M
EDICINAIS NO HOSPITAL DE CAMPANHA DE FORMOSA, DE ACORDO COM O CONTRATO DE GE
STÃO EMERGENCIAL Nº 26/2020 - SES/GO - CLÁUSULA SÉTIMA - ITEM 7.5, EM CONSON
ÂNCIA COM A PORTARIA Nº 253/2020 - SES-GO (V.000013179457)INVESTIMENTO-INSTALAÇÃO DA REDE DE GASES, PROC.202000010023614</t>
        </r>
      </text>
    </comment>
    <comment ref="AX1082" authorId="0" shapeId="0" xr:uid="{00000000-0006-0000-0000-0000D70A0000}">
      <text>
        <r>
          <rPr>
            <sz val="11"/>
            <color rgb="FF000000"/>
            <rFont val="Calibri"/>
            <family val="2"/>
            <charset val="1"/>
          </rPr>
          <t xml:space="preserve">REG.DESPESAS - 01/02/2021 A 28/02/2021
</t>
        </r>
        <r>
          <rPr>
            <sz val="9"/>
            <color rgb="FF000000"/>
            <rFont val="Tahoma"/>
            <family val="2"/>
            <charset val="1"/>
          </rPr>
          <t xml:space="preserve">
</t>
        </r>
      </text>
    </comment>
    <comment ref="E1083" authorId="0" shapeId="0" xr:uid="{00000000-0006-0000-0000-000041000000}">
      <text>
        <r>
          <rPr>
            <sz val="11"/>
            <color rgb="FF000000"/>
            <rFont val="Calibri"/>
            <family val="2"/>
            <charset val="1"/>
          </rPr>
          <t xml:space="preserve">vigência a partir da publicação  que ocorreu em 25/03/21 até 02/07/21:
</t>
        </r>
      </text>
    </comment>
    <comment ref="Y1083" authorId="0" shapeId="0" xr:uid="{00000000-0006-0000-0000-000033020000}">
      <text>
        <r>
          <rPr>
            <sz val="11"/>
            <color rgb="FF000000"/>
            <rFont val="Calibri"/>
            <family val="2"/>
            <charset val="1"/>
          </rPr>
          <t xml:space="preserve">vigência a partir da publicação  que ocorreu em 25/03/21 até 02/07/21:
</t>
        </r>
      </text>
    </comment>
    <comment ref="AW1083" authorId="0" shapeId="0" xr:uid="{00000000-0006-0000-0000-0000640A0000}">
      <text>
        <r>
          <rPr>
            <sz val="11"/>
            <color rgb="FF000000"/>
            <rFont val="Calibri"/>
            <family val="2"/>
            <charset val="1"/>
          </rPr>
          <t xml:space="preserve">R$ 57.686,45 - investimento, para Instalação da Rede de Gases Medicinais 202000010023614
</t>
        </r>
        <r>
          <rPr>
            <sz val="9"/>
            <color rgb="FF000000"/>
            <rFont val="Segoe UI"/>
            <family val="2"/>
            <charset val="1"/>
          </rPr>
          <t>.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r>
      </text>
    </comment>
    <comment ref="AX1083" authorId="0" shapeId="0" xr:uid="{00000000-0006-0000-0000-0000D80A0000}">
      <text>
        <r>
          <rPr>
            <sz val="11"/>
            <color rgb="FF000000"/>
            <rFont val="Calibri"/>
            <family val="2"/>
            <charset val="1"/>
          </rPr>
          <t xml:space="preserve">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t>
        </r>
        <r>
          <rPr>
            <sz val="9"/>
            <color rgb="FF000000"/>
            <rFont val="Segoe UI"/>
            <family val="2"/>
            <charset val="1"/>
          </rPr>
          <t>.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r>
      </text>
    </comment>
    <comment ref="AX1084" authorId="0" shapeId="0" xr:uid="{00000000-0006-0000-0000-0000D90A0000}">
      <text>
        <r>
          <rPr>
            <sz val="11"/>
            <color rgb="FF000000"/>
            <rFont val="Calibri"/>
            <family val="2"/>
            <charset val="1"/>
          </rPr>
          <t xml:space="preserve">REPASSE efetivação do custeio referente à regularização de despesas parcial
pelo período de 01/04/2021 a 30/04/2021, relativa ao Aditivo de 10 leitos Co
vid NO H.CAMP.FORMOSA..........R$ 1.374.459,49, 202100010019985
</t>
        </r>
        <r>
          <rPr>
            <sz val="9"/>
            <color rgb="FF000000"/>
            <rFont val="Tahoma"/>
            <family val="2"/>
            <charset val="1"/>
          </rPr>
          <t xml:space="preserve">
</t>
        </r>
      </text>
    </comment>
    <comment ref="AX1085" authorId="0" shapeId="0" xr:uid="{00000000-0006-0000-0000-0000DA0A0000}">
      <text>
        <r>
          <rPr>
            <sz val="11"/>
            <color rgb="FF000000"/>
            <rFont val="Calibri"/>
            <family val="2"/>
            <charset val="1"/>
          </rPr>
          <t xml:space="preserve">R$ 452.124,80 - REPASSE efetivação do custeio referente à regularização de despesas parcial
pelo período de 01/05/2021 a 10/05/2021, relativa ao Aditivo de 10 leitos Co
vid NO H.CAMP.FORMOSA202100010019985.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r>
        <r>
          <rPr>
            <sz val="9"/>
            <color rgb="FF000000"/>
            <rFont val="Tahoma"/>
            <family val="2"/>
            <charset val="1"/>
          </rPr>
          <t xml:space="preserve">
</t>
        </r>
      </text>
    </comment>
    <comment ref="AX1086" authorId="0" shapeId="0" xr:uid="{00000000-0006-0000-0000-0000DB0A0000}">
      <text>
        <r>
          <rPr>
            <b/>
            <sz val="9"/>
            <color rgb="FF000000"/>
            <rFont val="Segoe UI"/>
            <family val="2"/>
            <charset val="1"/>
          </rPr>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r>
      </text>
    </comment>
    <comment ref="E1087" authorId="0" shapeId="0" xr:uid="{00000000-0006-0000-0000-000042000000}">
      <text>
        <r>
          <rPr>
            <b/>
            <sz val="9"/>
            <color rgb="FF000000"/>
            <rFont val="Segoe UI"/>
            <family val="2"/>
            <charset val="1"/>
          </rPr>
          <t xml:space="preserve">Contrato 2 - vigência a partir da publicação  que ocorreu em 25/03/21 até 02/07/21: parcela 01 a 02/07/21.........R$ 253.947,03
.
Contrato 3 - PROC.202100010026273 - vigência 03/07 A 02/01/22/21.............R$  7.046.742,27 (ANTECIPAÇÃO DO REPASSE DA PARCELA DE JULHO/21 (DE 03 A 31 DE JUL/21), CONFORME DETERMINADO NO DESPACHO Nº 2450/2021 - GAB) E A PARTIR DE AGO/21 DESPACHO Nº 2774/2021 - GAB
</t>
        </r>
      </text>
    </comment>
    <comment ref="Y1087" authorId="0" shapeId="0" xr:uid="{00000000-0006-0000-0000-000034020000}">
      <text>
        <r>
          <rPr>
            <sz val="11"/>
            <color rgb="FF000000"/>
            <rFont val="Calibri"/>
            <family val="2"/>
            <charset val="1"/>
          </rPr>
          <t xml:space="preserve">vigência a partir da publicação  que ocorreu em 25/03/21 até 02/07/21:
</t>
        </r>
      </text>
    </comment>
    <comment ref="AW1087" authorId="0" shapeId="0" xr:uid="{00000000-0006-0000-0000-0000650A0000}">
      <text>
        <r>
          <rPr>
            <sz val="11"/>
            <color rgb="FF000000"/>
            <rFont val="Calibri"/>
            <family val="2"/>
            <charset val="1"/>
          </rPr>
          <t xml:space="preserve">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r>
      </text>
    </comment>
    <comment ref="AF1095" authorId="0" shapeId="0" xr:uid="{00000000-0006-0000-0000-000035090000}">
      <text>
        <r>
          <rPr>
            <sz val="11"/>
            <color rgb="FF000000"/>
            <rFont val="Calibri"/>
            <family val="2"/>
            <charset val="1"/>
          </rPr>
          <t xml:space="preserve">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
</t>
        </r>
      </text>
    </comment>
    <comment ref="AX1101" authorId="0" shapeId="0" xr:uid="{00000000-0006-0000-0000-0000DC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A1101" authorId="0" shapeId="0" xr:uid="{00000000-0006-0000-0000-0000E8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H1101" authorId="0" shapeId="0" xr:uid="{00000000-0006-0000-0000-0000EB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I1101" authorId="0" shapeId="0" xr:uid="{00000000-0006-0000-0000-0000ED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E1102" authorId="0" shapeId="0" xr:uid="{00000000-0006-0000-0000-000043000000}">
      <text>
        <r>
          <rPr>
            <sz val="9"/>
            <color rgb="FF000000"/>
            <rFont val="Segoe UI"/>
            <family val="2"/>
            <charset val="1"/>
          </rPr>
          <t xml:space="preserve">VIGÊNCIA 06/10 A 31/10/20
</t>
        </r>
      </text>
    </comment>
    <comment ref="AF1102" authorId="0" shapeId="0" xr:uid="{00000000-0006-0000-0000-000036090000}">
      <text>
        <r>
          <rPr>
            <sz val="11"/>
            <color rgb="FF000000"/>
            <rFont val="Calibri"/>
            <family val="2"/>
            <charset val="1"/>
          </rPr>
          <t xml:space="preserve">REDUÇÃO DE 5 DIAS, VISTO QUE A VIGÊNCIA DE 06/09 A 22/09/20 (VALOR DO DIA R$ 203.326,89)
</t>
        </r>
      </text>
    </comment>
    <comment ref="AU1102" authorId="0" shapeId="0" xr:uid="{00000000-0006-0000-0000-0000F509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OUT/20............................R$ 1.016.634,45</t>
        </r>
      </text>
    </comment>
    <comment ref="AX1102" authorId="0" shapeId="0" xr:uid="{00000000-0006-0000-0000-0000DD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BA1102" authorId="0" shapeId="0" xr:uid="{00000000-0006-0000-0000-0000E9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D1104" authorId="0" shapeId="0" xr:uid="{00000000-0006-0000-0000-000014000000}">
      <text>
        <r>
          <rPr>
            <sz val="9"/>
            <color rgb="FF000000"/>
            <rFont val="Segoe UI"/>
            <family val="2"/>
            <charset val="1"/>
          </rPr>
          <t xml:space="preserve">VIGÊNCIA 18/10/20 A 15/01/21
</t>
        </r>
      </text>
    </comment>
    <comment ref="AU1104" authorId="0" shapeId="0" xr:uid="{00000000-0006-0000-0000-0000F609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X1104" authorId="0" shapeId="0" xr:uid="{00000000-0006-0000-0000-0000DE0A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D1106" authorId="0" shapeId="0" xr:uid="{00000000-0006-0000-0000-000001080000}">
      <text>
        <r>
          <rPr>
            <sz val="9"/>
            <color rgb="FF000000"/>
            <rFont val="Tahoma"/>
            <family val="2"/>
            <charset val="1"/>
          </rPr>
          <t>VALORES LANÇADOS NA PLANILHA DE REPASSE MENSALDO CONTRATO DE GESTÃO/GAOS DEZ/2020:
.
SANEAGO:
SET/2020.........................R$ 13.595,40
OUT/2020........................R$ 13.348,45
NOV/2020........................R$ 55.102,55
.
ENEL:
SET/2020.....................................................R$ 2.424,40
UC=100156256,54 - NOV/2020......................R$ 12.140,27
UC=100156256,54 - DEZ/2020......................R$ 1.989,21
UC=500058090 - DEZ/2020......................R$ 211.903,20
TOTAL......................................................R$ 310.503,48</t>
        </r>
      </text>
    </comment>
    <comment ref="D1107" authorId="0" shapeId="0" xr:uid="{00000000-0006-0000-0000-000015000000}">
      <text>
        <r>
          <rPr>
            <sz val="11"/>
            <color rgb="FF000000"/>
            <rFont val="Calibri"/>
            <family val="2"/>
            <charset val="1"/>
          </rPr>
          <t xml:space="preserve">VIGÊNCIA 18/10/20 A 15/01/21
</t>
        </r>
      </text>
    </comment>
    <comment ref="AD1107" authorId="0" shapeId="0" xr:uid="{00000000-0006-0000-0000-000002080000}">
      <text>
        <r>
          <rPr>
            <sz val="11"/>
            <color rgb="FF000000"/>
            <rFont val="Calibri"/>
            <family val="2"/>
            <charset val="1"/>
          </rPr>
          <t xml:space="preserve">CELG LANÇADO NA PLANILHA DE MAI/21:
.
UC=100156256,54 - JAN/2021......................R$ 49.247,61
UC=500058090 - JAN/2021......................R$ 2.592,46
</t>
        </r>
      </text>
    </comment>
    <comment ref="AX1107" authorId="0" shapeId="0" xr:uid="{00000000-0006-0000-0000-0000DF0A0000}">
      <text>
        <r>
          <rPr>
            <sz val="11"/>
            <color rgb="FF000000"/>
            <rFont val="Calibri"/>
            <family val="2"/>
            <charset val="1"/>
          </rPr>
          <t xml:space="preserve">REG.DESPESA -CUSTEIO 16/01 A 31/01/21, PROC.202100010003564
</t>
        </r>
      </text>
    </comment>
    <comment ref="AX1108" authorId="0" shapeId="0" xr:uid="{00000000-0006-0000-0000-0000E00A0000}">
      <text>
        <r>
          <rPr>
            <sz val="11"/>
            <color rgb="FF000000"/>
            <rFont val="Calibri"/>
            <family val="2"/>
            <charset val="1"/>
          </rPr>
          <t xml:space="preserve">REG.DESPESAS - 01/02/2021 A 28/02/2021
</t>
        </r>
        <r>
          <rPr>
            <sz val="9"/>
            <color rgb="FF000000"/>
            <rFont val="Tahoma"/>
            <family val="2"/>
            <charset val="1"/>
          </rPr>
          <t xml:space="preserve">
</t>
        </r>
      </text>
    </comment>
    <comment ref="AX1109" authorId="0" shapeId="0" xr:uid="{00000000-0006-0000-0000-0000E10A0000}">
      <text>
        <r>
          <rPr>
            <sz val="11"/>
            <color rgb="FF000000"/>
            <rFont val="Calibri"/>
            <family val="2"/>
            <charset val="1"/>
          </rPr>
          <t xml:space="preserve">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 EMPENHO RELATIVO AO PERIODO 01/03/2021 a 31/03/2021
</t>
        </r>
      </text>
    </comment>
    <comment ref="AX1110" authorId="0" shapeId="0" xr:uid="{00000000-0006-0000-0000-0000E20A0000}">
      <text>
        <r>
          <rPr>
            <sz val="11"/>
            <color rgb="FF000000"/>
            <rFont val="Calibri"/>
            <family val="2"/>
            <charset val="1"/>
          </rPr>
          <t xml:space="preserve">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r>
      </text>
    </comment>
    <comment ref="E1111" authorId="0" shapeId="0" xr:uid="{00000000-0006-0000-0000-000044000000}">
      <text>
        <r>
          <rPr>
            <sz val="11"/>
            <color rgb="FF000000"/>
            <rFont val="Calibri"/>
            <family val="2"/>
            <charset val="1"/>
          </rPr>
          <t xml:space="preserve">Processo nº 202000010042733 - vigência a partir da publicação - 05/05 a 16/07/21
</t>
        </r>
      </text>
    </comment>
    <comment ref="AD1111" authorId="0" shapeId="0" xr:uid="{00000000-0006-0000-0000-000003080000}">
      <text>
        <r>
          <rPr>
            <sz val="11"/>
            <color rgb="FF000000"/>
            <rFont val="Calibri"/>
            <family val="2"/>
            <charset val="1"/>
          </rPr>
          <t xml:space="preserve">CELG LANÇADO NA PLANILHA DE MAI/21:
.
</t>
        </r>
        <r>
          <rPr>
            <sz val="9"/>
            <color rgb="FF000000"/>
            <rFont val="Tahoma"/>
            <family val="2"/>
            <charset val="1"/>
          </rPr>
          <t>UC=100156256,54 - FEV/2021......................R$ 36.164,89
UC=500058090 - FEV/2021......................R$ 2.258,95
. 
UC=100156256,54 - MAR/2021......................R$ 33.624,86
UC=500058090 - MAR/2021......................R$ 2.073,63
.
RUC=100156256,54 - ABR/2021......................R$ 36.510,19
UC=500058090 - ABR/2021......................R$ 1.908,00
.
JANEIRO FOI DEDUZIDO DA PARCELA DE JAN/21</t>
        </r>
      </text>
    </comment>
    <comment ref="AW1111" authorId="0" shapeId="0" xr:uid="{00000000-0006-0000-0000-0000660A0000}">
      <text>
        <r>
          <rPr>
            <sz val="11"/>
            <color rgb="FF000000"/>
            <rFont val="Calibri"/>
            <family val="2"/>
            <charset val="1"/>
          </rPr>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r>
      </text>
    </comment>
    <comment ref="AX1111" authorId="0" shapeId="0" xr:uid="{00000000-0006-0000-0000-0000E30A0000}">
      <text>
        <r>
          <rPr>
            <sz val="11"/>
            <color rgb="FF000000"/>
            <rFont val="Calibri"/>
            <family val="2"/>
            <charset val="1"/>
          </rPr>
          <t xml:space="preserve">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EMPENHO RELATIVO AO PERIODO 01/05/2021 a 04/05/2021 . VALOR DIARIO: R$ 92.570,04 . VALOR TOTAL EMPENHADO: 370.280,16, proc.202100010003564.
</t>
        </r>
        <r>
          <rPr>
            <sz val="9"/>
            <color rgb="FF000000"/>
            <rFont val="Tahoma"/>
            <family val="2"/>
            <charset val="1"/>
          </rPr>
          <t xml:space="preserve">
</t>
        </r>
      </text>
    </comment>
    <comment ref="AD1112" authorId="0" shapeId="0" xr:uid="{00000000-0006-0000-0000-000004080000}">
      <text>
        <r>
          <rPr>
            <sz val="11"/>
            <color rgb="FF000000"/>
            <rFont val="Calibri"/>
            <family val="2"/>
            <charset val="1"/>
          </rPr>
          <t xml:space="preserve">ENEL: LANÇADO NA PLANILHA DE RE´PASSE MENSAL - GAOS JUN/21
UC=100156256,54 - MAI/2021......................R$ 34.375,77
UC=500058090 - MAI/2021......................R$ 2.098,46
TOTAL......................................................R$ 36.474,23
</t>
        </r>
      </text>
    </comment>
    <comment ref="E1113" authorId="0" shapeId="0" xr:uid="{00000000-0006-0000-0000-000045000000}">
      <text>
        <r>
          <rPr>
            <sz val="11"/>
            <color rgb="FF000000"/>
            <rFont val="Calibri"/>
            <family val="2"/>
            <charset val="1"/>
          </rPr>
          <t xml:space="preserve">Processo nº 202000010042733 - vigência a partir da publicação - 05/05 a 16/07/21..............R$ 1.481.120,69
</t>
        </r>
        <r>
          <rPr>
            <sz val="9"/>
            <color rgb="FF000000"/>
            <rFont val="Tahoma"/>
            <family val="2"/>
            <charset val="1"/>
          </rPr>
          <t xml:space="preserve">.
Processo nº 202100010003564 - vigência 17/07 a 16/01/2022................R$ 2.437.997,33
</t>
        </r>
      </text>
    </comment>
    <comment ref="AD1113" authorId="0" shapeId="0" xr:uid="{00000000-0006-0000-0000-000005080000}">
      <text>
        <r>
          <rPr>
            <sz val="11"/>
            <color rgb="FF000000"/>
            <rFont val="Calibri"/>
            <family val="2"/>
            <charset val="1"/>
          </rPr>
          <t xml:space="preserve">ENEL: LANÇADO NA PLANILHA DE RE´PASSE MENSAL - GAOS JUL/21
UC=100156256,54 - JUN/2021......................R$ 32.864,24
UC=500058090 - JUN/2021......................R$ 1.672,66
TOTAL......................................................R$ 34.536,90
</t>
        </r>
      </text>
    </comment>
    <comment ref="AD1114" authorId="0" shapeId="0" xr:uid="{00000000-0006-0000-0000-000006080000}">
      <text>
        <r>
          <rPr>
            <sz val="11"/>
            <color rgb="FF000000"/>
            <rFont val="Calibri"/>
            <family val="2"/>
            <charset val="1"/>
          </rPr>
          <t xml:space="preserve">ENEL: LANÇADO NA PLANILHA DE RE´PASSE MENSAL - GAOS AGO/21
UC=100156256,54 - JUL/2021......................R$ 23.368,67
UC=500058090 - JUL/2021......................R$ 1.627,45
TOTAL......................................................R$ 24.996,12
</t>
        </r>
      </text>
    </comment>
    <comment ref="AU1118" authorId="0" shapeId="0" xr:uid="{00000000-0006-0000-0000-0000F7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r>
        <r>
          <rPr>
            <sz val="9"/>
            <color rgb="FF000000"/>
            <rFont val="Segoe UI"/>
            <family val="2"/>
            <charset val="1"/>
          </rPr>
          <t xml:space="preserve">
</t>
        </r>
      </text>
    </comment>
    <comment ref="AU1119" authorId="0" shapeId="0" xr:uid="{00000000-0006-0000-0000-0000F8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r>
        <r>
          <rPr>
            <sz val="9"/>
            <color rgb="FF000000"/>
            <rFont val="Segoe UI"/>
            <family val="2"/>
            <charset val="1"/>
          </rPr>
          <t xml:space="preserve">
</t>
        </r>
      </text>
    </comment>
    <comment ref="D1120" authorId="0" shapeId="0" xr:uid="{00000000-0006-0000-0000-000016000000}">
      <text>
        <r>
          <rPr>
            <sz val="11"/>
            <color rgb="FF000000"/>
            <rFont val="Calibri"/>
            <family val="2"/>
            <charset val="1"/>
          </rPr>
          <t xml:space="preserve">VIGÊNCIA 41 MESES E 12 DIAS A PARTEI DA PUBLICAÇÃO (PUBLICADO 04/11/20)
</t>
        </r>
      </text>
    </comment>
    <comment ref="E1120" authorId="0" shapeId="0" xr:uid="{00000000-0006-0000-0000-000046000000}">
      <text>
        <r>
          <rPr>
            <sz val="11"/>
            <color rgb="FF000000"/>
            <rFont val="Calibri"/>
            <family val="2"/>
            <charset val="1"/>
          </rPr>
          <t xml:space="preserve">VIGÊNCIA 41 MESES E 12 DIAS A PARTEI DA PUBLICAÇÃO (PUBLICADO 04/11/20)
</t>
        </r>
        <r>
          <rPr>
            <sz val="9"/>
            <color rgb="FF000000"/>
            <rFont val="Segoe UI"/>
            <family val="2"/>
            <charset val="1"/>
          </rPr>
          <t xml:space="preserve">
</t>
        </r>
      </text>
    </comment>
    <comment ref="AU1120" authorId="0" shapeId="0" xr:uid="{00000000-0006-0000-0000-0000F9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r>
      </text>
    </comment>
    <comment ref="AW1121" authorId="0" shapeId="0" xr:uid="{00000000-0006-0000-0000-0000670A0000}">
      <text>
        <r>
          <rPr>
            <sz val="11"/>
            <color rgb="FF000000"/>
            <rFont val="Calibri"/>
            <family val="2"/>
            <charset val="1"/>
          </rPr>
          <t xml:space="preserve">INVESTIMENTO, PARA AQUISIÇÃO DE EQUIPAMENTOS DE HEMODIÁLISE DESTINADOS À POLICLÍNICA REGIONAL - UNIDADE POSSE., A SER EMPENHADO NO PROCESSO: 202000010032348
</t>
        </r>
      </text>
    </comment>
    <comment ref="AC1122" authorId="0" shapeId="0" xr:uid="{00000000-0006-0000-0000-000076050000}">
      <text>
        <r>
          <rPr>
            <sz val="11"/>
            <color rgb="FF000000"/>
            <rFont val="Calibri"/>
            <family val="2"/>
            <charset val="1"/>
          </rPr>
          <t xml:space="preserve">VIGILÂNCIA ARMADA- LANÇADO PLANILHA PAGAMENTO GEFIC EM NOV/20
- REFERÊNCIA SET/20 ...................R$ 40.924,34
</t>
        </r>
        <r>
          <rPr>
            <sz val="9"/>
            <color rgb="FF000000"/>
            <rFont val="Segoe UI"/>
            <family val="2"/>
            <charset val="1"/>
          </rPr>
          <t>.- REFERÊNCIA OUT/20 ...................R$ 41.404,32
.
VIGILÂNCIA ARMADA- LANÇADO PLANILHA PAGAMENTO GEFIC EM DEZ/20
- REFERÊNCIA NOV/20 ...................R$ 41.404,32
.
VIGILÂNCIA ARMADA- LANÇADO PLANILHA PAGAMENTO GEFIC EM JAN/21
.- REFERÊNCIA DEZ/20 ...................R$ 41.404,32</t>
        </r>
      </text>
    </comment>
    <comment ref="AD1122" authorId="0" shapeId="0" xr:uid="{00000000-0006-0000-0000-000007080000}">
      <text>
        <r>
          <rPr>
            <sz val="11"/>
            <color rgb="FF000000"/>
            <rFont val="Calibri"/>
            <family val="2"/>
            <charset val="1"/>
          </rPr>
          <t xml:space="preserve">ENERGIA  - LANÇADO PLANILHA PAGAMENTO GEFIC EM NOV/20
</t>
        </r>
        <r>
          <rPr>
            <sz val="9"/>
            <color rgb="FF000000"/>
            <rFont val="Segoe UI"/>
            <family val="2"/>
            <charset val="1"/>
          </rPr>
          <t>- REFERÊNCIA SET/20.......................R$ 23,432,38
- REFERÊNCIA OUT/20......................R$ 26,818,19
.
ENERGIA  - LANÇADO PLANILHA PAGAMENTO GEFIC EM DEZ/20
- REFERÊNCIA NOV/20.......................R$ 26.607,34
- REFERÊNCIA DEZ/20......................R$ 27.564,89</t>
        </r>
      </text>
    </comment>
    <comment ref="AC1123" authorId="0" shapeId="0" xr:uid="{00000000-0006-0000-0000-000077050000}">
      <text>
        <r>
          <rPr>
            <sz val="11"/>
            <color rgb="FF000000"/>
            <rFont val="Calibri"/>
            <family val="2"/>
            <charset val="1"/>
          </rPr>
          <t xml:space="preserve">VIGILÂNCIA ARMADA- LANÇADO PLANILHA PAGAMENTO GEFIC EM FEV/21
- REFERÊNCIA JAN/21 ...................R$ 41.404,32
</t>
        </r>
      </text>
    </comment>
    <comment ref="AD1123" authorId="0" shapeId="0" xr:uid="{00000000-0006-0000-0000-000008080000}">
      <text>
        <r>
          <rPr>
            <sz val="11"/>
            <color rgb="FF000000"/>
            <rFont val="Calibri"/>
            <family val="2"/>
            <charset val="1"/>
          </rPr>
          <t xml:space="preserve">CELG JAN/21 LANÇADO NA PLANILHA DE FEV/21
</t>
        </r>
      </text>
    </comment>
    <comment ref="AC1124" authorId="0" shapeId="0" xr:uid="{00000000-0006-0000-0000-000078050000}">
      <text>
        <r>
          <rPr>
            <sz val="11"/>
            <color rgb="FF000000"/>
            <rFont val="Calibri"/>
            <family val="2"/>
            <charset val="1"/>
          </rPr>
          <t xml:space="preserve">VIGILÂNCIA ARMADA- LANÇADO PLANILHA PAGAMENTO GEFIC EM MAR/21
- REFERÊNCIA FEV/21 ...................R$ 41.404,32
</t>
        </r>
      </text>
    </comment>
    <comment ref="AD1124" authorId="0" shapeId="0" xr:uid="{00000000-0006-0000-0000-000009080000}">
      <text>
        <r>
          <rPr>
            <sz val="11"/>
            <color rgb="FF000000"/>
            <rFont val="Calibri"/>
            <family val="2"/>
            <charset val="1"/>
          </rPr>
          <t xml:space="preserve">CELG FEV/21 LANÇADO NA PLANILHA DE MAR/21
</t>
        </r>
      </text>
    </comment>
    <comment ref="AW1124" authorId="0" shapeId="0" xr:uid="{00000000-0006-0000-0000-0000680A0000}">
      <text>
        <r>
          <rPr>
            <sz val="11"/>
            <color rgb="FF000000"/>
            <rFont val="Calibri"/>
            <family val="2"/>
            <charset val="1"/>
          </rPr>
          <t xml:space="preserve">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t>
        </r>
        <r>
          <rPr>
            <sz val="9"/>
            <color rgb="FF000000"/>
            <rFont val="Segoe UI"/>
            <family val="2"/>
            <charset val="1"/>
          </rPr>
          <t>.
DESPACHO Nº 532/2020 - GAOS- 14421</t>
        </r>
      </text>
    </comment>
    <comment ref="AC1125" authorId="0" shapeId="0" xr:uid="{00000000-0006-0000-0000-000079050000}">
      <text>
        <r>
          <rPr>
            <sz val="11"/>
            <color rgb="FF000000"/>
            <rFont val="Calibri"/>
            <family val="2"/>
            <charset val="1"/>
          </rPr>
          <t xml:space="preserve">VIGILÂNCIA ARMADA- LANÇADO PLANILHA PAGAMENTO GEFIC EM ABR/21
- REFERÊNCIA MAR/21 ...................R$ 41.404,32
</t>
        </r>
      </text>
    </comment>
    <comment ref="AD1125" authorId="0" shapeId="0" xr:uid="{00000000-0006-0000-0000-00000A080000}">
      <text>
        <r>
          <rPr>
            <sz val="11"/>
            <color rgb="FF000000"/>
            <rFont val="Calibri"/>
            <family val="2"/>
            <charset val="1"/>
          </rPr>
          <t xml:space="preserve">CELG MAR/21 LANÇADO NA PLANILHA DE ABR/21
</t>
        </r>
      </text>
    </comment>
    <comment ref="AC1126" authorId="0" shapeId="0" xr:uid="{00000000-0006-0000-0000-00007A050000}">
      <text>
        <r>
          <rPr>
            <sz val="11"/>
            <color rgb="FF000000"/>
            <rFont val="Calibri"/>
            <family val="2"/>
            <charset val="1"/>
          </rPr>
          <t xml:space="preserve">VIGILÂNCIA ARMADA- LANÇADO PLANILHA PAGAMENTO GEFIC EM MAI/21
- REFERÊNCIA ABR21 ...................R$ 41.404,32
</t>
        </r>
      </text>
    </comment>
    <comment ref="AD1126" authorId="0" shapeId="0" xr:uid="{00000000-0006-0000-0000-00000B080000}">
      <text>
        <r>
          <rPr>
            <sz val="11"/>
            <color rgb="FF000000"/>
            <rFont val="Calibri"/>
            <family val="2"/>
            <charset val="1"/>
          </rPr>
          <t xml:space="preserve">CELG ABR/21 LANÇADO NA PLANILHA DE MAI/21
</t>
        </r>
      </text>
    </comment>
    <comment ref="AC1127" authorId="0" shapeId="0" xr:uid="{00000000-0006-0000-0000-00007B050000}">
      <text>
        <r>
          <rPr>
            <sz val="11"/>
            <color rgb="FF000000"/>
            <rFont val="Calibri"/>
            <family val="2"/>
            <charset val="1"/>
          </rPr>
          <t xml:space="preserve">VIGILÂNCIA ARMADA- LANÇADO PLANILHA PAGAMENTO GEFIC EM JUN/21
- REFERÊNCIA MAI/21 ...................R$ 41.404,32
</t>
        </r>
      </text>
    </comment>
    <comment ref="AD1127" authorId="0" shapeId="0" xr:uid="{00000000-0006-0000-0000-00000C080000}">
      <text>
        <r>
          <rPr>
            <sz val="11"/>
            <color rgb="FF000000"/>
            <rFont val="Calibri"/>
            <family val="2"/>
            <charset val="1"/>
          </rPr>
          <t xml:space="preserve">CELG MA/21 LANÇADO NA PLANILHA DE JUN/21
</t>
        </r>
      </text>
    </comment>
    <comment ref="AW1127" authorId="0" shapeId="0" xr:uid="{00000000-0006-0000-0000-0000690A0000}">
      <text>
        <r>
          <rPr>
            <b/>
            <sz val="9"/>
            <color rgb="FF000000"/>
            <rFont val="Tahoma"/>
            <family val="2"/>
            <charset val="1"/>
          </rPr>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r>
      </text>
    </comment>
    <comment ref="AC1128" authorId="0" shapeId="0" xr:uid="{00000000-0006-0000-0000-00007C050000}">
      <text>
        <r>
          <rPr>
            <sz val="11"/>
            <color rgb="FF000000"/>
            <rFont val="Calibri"/>
            <family val="2"/>
            <charset val="1"/>
          </rPr>
          <t xml:space="preserve">VIGILÂNCIA ARMADA- LANÇADO PLANILHA PAGAMENTO GEFIC EM JUL/21
- REFERÊNCIA JUN21 ...................R$ 41.404,32
</t>
        </r>
      </text>
    </comment>
    <comment ref="AD1128" authorId="0" shapeId="0" xr:uid="{00000000-0006-0000-0000-00000D080000}">
      <text>
        <r>
          <rPr>
            <sz val="11"/>
            <color rgb="FF000000"/>
            <rFont val="Calibri"/>
            <family val="2"/>
            <charset val="1"/>
          </rPr>
          <t xml:space="preserve">CELG JUN/21 LANÇADO NA PLANILHA DE JUL/21
</t>
        </r>
      </text>
    </comment>
    <comment ref="AD1129" authorId="0" shapeId="0" xr:uid="{00000000-0006-0000-0000-00000E080000}">
      <text>
        <r>
          <rPr>
            <sz val="11"/>
            <color rgb="FF000000"/>
            <rFont val="Calibri"/>
            <family val="2"/>
            <charset val="1"/>
          </rPr>
          <t xml:space="preserve">CELG JUL/21 LANÇADO NA PLANILHA DE AGO/21
</t>
        </r>
      </text>
    </comment>
    <comment ref="AW1130" authorId="0" shapeId="0" xr:uid="{00000000-0006-0000-0000-00006A0A0000}">
      <text>
        <r>
          <rPr>
            <sz val="11"/>
            <color rgb="FF000000"/>
            <rFont val="Calibri"/>
            <family val="2"/>
            <charset val="1"/>
          </rPr>
          <t xml:space="preserve">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t>
        </r>
        <r>
          <rPr>
            <sz val="9"/>
            <color rgb="FF000000"/>
            <rFont val="Tahoma"/>
            <family val="2"/>
            <charset val="1"/>
          </rPr>
          <t xml:space="preserve">.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
</t>
        </r>
      </text>
    </comment>
    <comment ref="D1133" authorId="0" shapeId="0" xr:uid="{00000000-0006-0000-0000-000017000000}">
      <text>
        <r>
          <rPr>
            <sz val="11"/>
            <color rgb="FF000000"/>
            <rFont val="Calibri"/>
            <family val="2"/>
            <charset val="1"/>
          </rPr>
          <t xml:space="preserve">a partir 22/01/21
</t>
        </r>
      </text>
    </comment>
    <comment ref="E1133" authorId="0" shapeId="0" xr:uid="{00000000-0006-0000-0000-000047000000}">
      <text>
        <r>
          <rPr>
            <sz val="9"/>
            <color rgb="FF000000"/>
            <rFont val="Segoe UI"/>
            <family val="2"/>
            <charset val="1"/>
          </rPr>
          <t>VIGÊNCIA DE 22/01/21 A 
21/01/25</t>
        </r>
      </text>
    </comment>
    <comment ref="AX1133" authorId="0" shapeId="0" xr:uid="{00000000-0006-0000-0000-0000E40A0000}">
      <text>
        <r>
          <rPr>
            <sz val="11"/>
            <color rgb="FF000000"/>
            <rFont val="Calibri"/>
            <family val="2"/>
            <charset val="1"/>
          </rPr>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r>
      </text>
    </comment>
    <comment ref="AC1136" authorId="0" shapeId="0" xr:uid="{00000000-0006-0000-0000-00007D050000}">
      <text>
        <r>
          <rPr>
            <sz val="11"/>
            <color rgb="FF000000"/>
            <rFont val="Calibri"/>
            <family val="2"/>
            <charset val="1"/>
          </rPr>
          <t xml:space="preserve">VIGILÂNCIA ARMADA- LANÇADO PLANILHA PAGAMENTO GEFIC EM FEV/21
- REFERÊNCIA JAN/21 ...................R$ 41.404,32
.
VIGILÂNCIA ARMADA- LANÇADO PLANILHA PAGAMENTO GEFIC EM MAR/21
FEV/21............................R$ R$ 41.404,32 
.
</t>
        </r>
        <r>
          <rPr>
            <sz val="9"/>
            <color rgb="FF000000"/>
            <rFont val="Segoe UI"/>
            <family val="2"/>
            <charset val="1"/>
          </rPr>
          <t xml:space="preserve">
VIGILÂNCIA ARMADA- LANÇADO PLANILHA PAGAMENTO GEFIC EM ABR/21
MAR/21............................R$ R$ 41.404,32 </t>
        </r>
      </text>
    </comment>
    <comment ref="AD1136" authorId="0" shapeId="0" xr:uid="{00000000-0006-0000-0000-00000F080000}">
      <text>
        <r>
          <rPr>
            <b/>
            <sz val="9"/>
            <color rgb="FF000000"/>
            <rFont val="Segoe UI"/>
            <family val="2"/>
            <charset val="1"/>
          </rPr>
          <t>R$ 233,74 -CELG JAN/21 LANÇADO NA PLANILHA DE FEV/21 (PROPORCIONAL AOS DIAS DE VIGÊNCIA).
.
R$ 1.030,68 - -CELG FEV/21 LANÇADO NA PLANILHA DE FEV/21.
.
R$ 8.926,93 - PARTE DO VALOR (21.484,07)CELG MAR/21 LANÇADO NA PLANILHA DE ABR/21. O RESTANTE FOI LANÇADO NA PARCELA DE JUN/21</t>
        </r>
      </text>
    </comment>
    <comment ref="AW1136" authorId="0" shapeId="0" xr:uid="{00000000-0006-0000-0000-00006B0A0000}">
      <text>
        <r>
          <rPr>
            <sz val="11"/>
            <color rgb="FF000000"/>
            <rFont val="Calibri"/>
            <family val="2"/>
            <charset val="1"/>
          </rPr>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r>
      </text>
    </comment>
    <comment ref="AC1138" authorId="0" shapeId="0" xr:uid="{00000000-0006-0000-0000-00007E050000}">
      <text>
        <r>
          <rPr>
            <sz val="11"/>
            <color rgb="FF000000"/>
            <rFont val="Calibri"/>
            <family val="2"/>
            <charset val="1"/>
          </rPr>
          <t xml:space="preserve">VIGILÂNCIA ARMADA- LANÇADO PLANILHA PAGAMENTO GEFIC EM MAI/21
ABR/21............................R$ R$ 41.404,32 
.
VIGILÂNCIA ARMADA- LANÇADO PLANILHA PAGAMENTO GEFIC EM JUN
/21
</t>
        </r>
        <r>
          <rPr>
            <sz val="9"/>
            <color rgb="FF000000"/>
            <rFont val="Segoe UI"/>
            <family val="2"/>
            <charset val="1"/>
          </rPr>
          <t xml:space="preserve">MAI/21............................R$ R$ 41.404,32 </t>
        </r>
      </text>
    </comment>
    <comment ref="AD1138" authorId="0" shapeId="0" xr:uid="{00000000-0006-0000-0000-000010080000}">
      <text>
        <r>
          <rPr>
            <sz val="9"/>
            <color rgb="FF000000"/>
            <rFont val="Segoe UI"/>
            <family val="2"/>
            <charset val="1"/>
          </rPr>
          <t xml:space="preserve">R$ 12.557,14 - RESTANTE DO VALOR (21.484,07)CELG MAR/21 LANÇADO NA PLANILHA DE ABR/21. 
.
R$ 11.360,44 CELG ABR/21 LANÇADO NA PLANILHA DE MAI/21. 
.
R$ 17.239,42 CELG MAI/21 LANÇADO NA PLANILHA DE JUN/21
</t>
        </r>
      </text>
    </comment>
    <comment ref="AW1138" authorId="0" shapeId="0" xr:uid="{00000000-0006-0000-0000-00006C0A0000}">
      <text>
        <r>
          <rPr>
            <sz val="11"/>
            <color rgb="FF000000"/>
            <rFont val="Calibri"/>
            <family val="2"/>
            <charset val="1"/>
          </rPr>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r>
      </text>
    </comment>
    <comment ref="AC1139" authorId="0" shapeId="0" xr:uid="{00000000-0006-0000-0000-00007F050000}">
      <text>
        <r>
          <rPr>
            <b/>
            <sz val="9"/>
            <color rgb="FF000000"/>
            <rFont val="Segoe UI"/>
            <family val="2"/>
            <charset val="1"/>
          </rPr>
          <t>VIGILÂNCIA ARMADA- LANÇADO PLANILHA PAGAMENTO GEFIC EM JUL/21
REFERÊNCIA JUN/21..................R$ 41.404,32</t>
        </r>
      </text>
    </comment>
    <comment ref="AD1139" authorId="0" shapeId="0" xr:uid="{00000000-0006-0000-0000-000011080000}">
      <text>
        <r>
          <rPr>
            <sz val="11"/>
            <color rgb="FF000000"/>
            <rFont val="Calibri"/>
            <family val="2"/>
            <charset val="1"/>
          </rPr>
          <t xml:space="preserve">CELG JUN/21 LANÇADO NA PLANILHA DE JUL/21
</t>
        </r>
      </text>
    </comment>
    <comment ref="AD1140" authorId="0" shapeId="0" xr:uid="{00000000-0006-0000-0000-000012080000}">
      <text>
        <r>
          <rPr>
            <sz val="11"/>
            <color rgb="FF000000"/>
            <rFont val="Calibri"/>
            <family val="2"/>
            <charset val="1"/>
          </rPr>
          <t xml:space="preserve">CELG JUL/21 LANÇADO NA PLANILHA DE AGO/21
</t>
        </r>
      </text>
    </comment>
    <comment ref="AW1141" authorId="0" shapeId="0" xr:uid="{00000000-0006-0000-0000-00006D0A0000}">
      <text>
        <r>
          <rPr>
            <sz val="11"/>
            <color rgb="FF000000"/>
            <rFont val="Calibri"/>
            <family val="2"/>
            <charset val="1"/>
          </rPr>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r>
      </text>
    </comment>
    <comment ref="AX1146" authorId="0" shapeId="0" xr:uid="{00000000-0006-0000-0000-0000E50A0000}">
      <text>
        <r>
          <rPr>
            <sz val="11"/>
            <color rgb="FF000000"/>
            <rFont val="Calibri"/>
            <family val="2"/>
            <charset val="1"/>
          </rPr>
          <t xml:space="preserve">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VALOR TOTAL: R$ 9.326.108,90 
</t>
        </r>
      </text>
    </comment>
    <comment ref="AX1147" authorId="0" shapeId="0" xr:uid="{00000000-0006-0000-0000-0000E60A0000}">
      <text>
        <r>
          <rPr>
            <sz val="11"/>
            <color rgb="FF000000"/>
            <rFont val="Calibri"/>
            <family val="2"/>
            <charset val="1"/>
          </rPr>
          <t xml:space="preserve">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r>
      </text>
    </comment>
    <comment ref="E1148" authorId="0" shapeId="0" xr:uid="{00000000-0006-0000-0000-000048000000}">
      <text>
        <r>
          <rPr>
            <b/>
            <sz val="9"/>
            <color rgb="FF000000"/>
            <rFont val="Segoe UI"/>
            <family val="2"/>
            <charset val="1"/>
          </rPr>
          <t>vigência a partir de 23/03/2021 até 30/08/2021
(HOUVE REPASSE VIA REG.DESPESA ATÉ ABR/21)</t>
        </r>
      </text>
    </comment>
    <comment ref="AC1148" authorId="0" shapeId="0" xr:uid="{00000000-0006-0000-0000-000080050000}">
      <text>
        <r>
          <rPr>
            <sz val="9"/>
            <color rgb="FF000000"/>
            <rFont val="Segoe UI"/>
            <family val="2"/>
            <charset val="1"/>
          </rPr>
          <t>GLOSA VIGILANCIA ARMADA, CONF. DESPACHO Nº 379/2021 - GAOS- 14421, NO Processo nº 201800010008207
REFERÊNCIA MAR/21..................R$ 62.106,48
REFERÊNCIA MAI/21..................R$ 62.106,48</t>
        </r>
      </text>
    </comment>
    <comment ref="AD1148" authorId="0" shapeId="0" xr:uid="{00000000-0006-0000-0000-000013080000}">
      <text>
        <r>
          <rPr>
            <sz val="11"/>
            <color rgb="FF000000"/>
            <rFont val="Calibri"/>
            <family val="2"/>
            <charset val="1"/>
          </rPr>
          <t xml:space="preserve">GLOSA CELG, CONF. DESPACHO Nº 379/2021 - GAOS- 14421, NO Processo nº 201800010008207
REFERÊNCIA ABR/21..................R$ 197.788,71
</t>
        </r>
        <r>
          <rPr>
            <sz val="9"/>
            <color rgb="FF000000"/>
            <rFont val="Segoe UI"/>
            <family val="2"/>
            <charset val="1"/>
          </rPr>
          <t xml:space="preserve">
</t>
        </r>
      </text>
    </comment>
    <comment ref="AD1149" authorId="0" shapeId="0" xr:uid="{00000000-0006-0000-0000-000014080000}">
      <text>
        <r>
          <rPr>
            <sz val="11"/>
            <color rgb="FF000000"/>
            <rFont val="Calibri"/>
            <family val="2"/>
            <charset val="1"/>
          </rPr>
          <t xml:space="preserve">CELG MAI/21 LANÇADO NA PLANILHA DE JUN/21
</t>
        </r>
      </text>
    </comment>
    <comment ref="AW1149" authorId="0" shapeId="0" xr:uid="{00000000-0006-0000-0000-00006E0A0000}">
      <text>
        <r>
          <rPr>
            <sz val="11"/>
            <color rgb="FF000000"/>
            <rFont val="Calibri"/>
            <family val="2"/>
            <charset val="1"/>
          </rPr>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r>
        <r>
          <rPr>
            <sz val="9"/>
            <color rgb="FF000000"/>
            <rFont val="Tahoma"/>
            <family val="2"/>
            <charset val="1"/>
          </rPr>
          <t xml:space="preserve">
</t>
        </r>
      </text>
    </comment>
    <comment ref="AD1150" authorId="0" shapeId="0" xr:uid="{00000000-0006-0000-0000-000015080000}">
      <text>
        <r>
          <rPr>
            <sz val="11"/>
            <color rgb="FF000000"/>
            <rFont val="Calibri"/>
            <family val="2"/>
            <charset val="1"/>
          </rPr>
          <t xml:space="preserve">CELG JUN/21 LANÇADO NA PLANILHA DE JUL/21
</t>
        </r>
      </text>
    </comment>
    <comment ref="AW1150" authorId="0" shapeId="0" xr:uid="{00000000-0006-0000-0000-00006F0A0000}">
      <text>
        <r>
          <rPr>
            <sz val="11"/>
            <color rgb="FF000000"/>
            <rFont val="Calibri"/>
            <family val="2"/>
            <charset val="1"/>
          </rPr>
          <t xml:space="preserve">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t>
        </r>
        <r>
          <rPr>
            <sz val="9"/>
            <color rgb="FF000000"/>
            <rFont val="Tahoma"/>
            <family val="2"/>
            <charset val="1"/>
          </rPr>
          <t>.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r>
      </text>
    </comment>
    <comment ref="AD1151" authorId="0" shapeId="0" xr:uid="{00000000-0006-0000-0000-000016080000}">
      <text>
        <r>
          <rPr>
            <sz val="11"/>
            <color rgb="FF000000"/>
            <rFont val="Calibri"/>
            <family val="2"/>
            <charset val="1"/>
          </rPr>
          <t xml:space="preserve">CELG JUL/21 LANÇADO NA PLANILHA DE AGO/21
</t>
        </r>
      </text>
    </comment>
    <comment ref="AW1151" authorId="0" shapeId="0" xr:uid="{00000000-0006-0000-0000-0000700A0000}">
      <text>
        <r>
          <rPr>
            <sz val="11"/>
            <color rgb="FF000000"/>
            <rFont val="Calibri"/>
            <family val="2"/>
            <charset val="1"/>
          </rPr>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r>
      </text>
    </comment>
    <comment ref="AW1152" authorId="0" shapeId="0" xr:uid="{00000000-0006-0000-0000-0000710A0000}">
      <text>
        <r>
          <rPr>
            <sz val="11"/>
            <color rgb="FF000000"/>
            <rFont val="Calibri"/>
            <family val="2"/>
            <charset val="1"/>
          </rPr>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r>
      </text>
    </comment>
    <comment ref="E1155" authorId="0" shapeId="0" xr:uid="{00000000-0006-0000-0000-000049000000}">
      <text>
        <r>
          <rPr>
            <sz val="11"/>
            <color rgb="FF000000"/>
            <rFont val="Calibri"/>
            <family val="2"/>
            <charset val="1"/>
          </rPr>
          <t xml:space="preserve">Vigência 48 meses a partir da publicação 14/04/21 a 13/04 2025
 parte 1 mês..........R$ 497.010,02
</t>
        </r>
      </text>
    </comment>
    <comment ref="AF1155" authorId="0" shapeId="0" xr:uid="{00000000-0006-0000-0000-000037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5" authorId="0" shapeId="0" xr:uid="{00000000-0006-0000-0000-0000720A0000}">
      <text>
        <r>
          <rPr>
            <sz val="11"/>
            <color rgb="FF000000"/>
            <rFont val="Calibri"/>
            <family val="2"/>
            <charset val="1"/>
          </rPr>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r>
      </text>
    </comment>
    <comment ref="AF1156" authorId="0" shapeId="0" xr:uid="{00000000-0006-0000-0000-000038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6" authorId="0" shapeId="0" xr:uid="{00000000-0006-0000-0000-0000730A0000}">
      <text>
        <r>
          <rPr>
            <sz val="11"/>
            <color rgb="FF000000"/>
            <rFont val="Calibri"/>
            <family val="2"/>
            <charset val="1"/>
          </rPr>
          <t xml:space="preserve">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t>
        </r>
        <r>
          <rPr>
            <sz val="9"/>
            <color rgb="FF000000"/>
            <rFont val="Tahoma"/>
            <family val="2"/>
            <charset val="1"/>
          </rPr>
          <t>.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r>
      </text>
    </comment>
    <comment ref="E1157" authorId="0" shapeId="0" xr:uid="{00000000-0006-0000-0000-00004A000000}">
      <text>
        <r>
          <rPr>
            <b/>
            <sz val="9"/>
            <color rgb="FF000000"/>
            <rFont val="Tahoma"/>
            <family val="2"/>
            <charset val="1"/>
          </rPr>
          <t>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t>
        </r>
      </text>
    </comment>
    <comment ref="AF1157" authorId="0" shapeId="0" xr:uid="{00000000-0006-0000-0000-000039090000}">
      <text>
        <r>
          <rPr>
            <sz val="11"/>
            <color rgb="FF000000"/>
            <rFont val="Calibri"/>
            <family val="2"/>
            <charset val="1"/>
          </rPr>
          <t xml:space="preserve">DESPACHO Nº 2699/2021 - SGI- 03079 - Procuradora-Geral do Estado de Goiás, mediante do Despacho nº 501/2021 - GAB (000019527973), imprimiu eficácia ao supracitado ajuste, condicionada ao atendimento das condicionantes ali indicadas, para as quais já foram adotadas as medidas pertinentes.Agora, tendo em conta a data da inauguração da unidade de saúde, programada para ocorrer em 02 de junho de 2021, bem como a necessidade da organização social iniciar as tratativas e realizar as providências necessárias ao pleno funcionamento da policlínica, envio os autos ao Gabinete do Secretário para, em caráter de urgência, autorizar/deliberar sobre o repasse antecipado ao Instituo CEM, com manifestação favorável deste Superintendente de Gestão Integrada.
</t>
        </r>
      </text>
    </comment>
    <comment ref="AW1157" authorId="0" shapeId="0" xr:uid="{00000000-0006-0000-0000-0000740A0000}">
      <text>
        <r>
          <rPr>
            <sz val="11"/>
            <color rgb="FF000000"/>
            <rFont val="Calibri"/>
            <family val="2"/>
            <charset val="1"/>
          </rPr>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r>
        <r>
          <rPr>
            <sz val="9"/>
            <color rgb="FF000000"/>
            <rFont val="Tahoma"/>
            <family val="2"/>
            <charset val="1"/>
          </rPr>
          <t xml:space="preserve">
</t>
        </r>
      </text>
    </comment>
    <comment ref="AC1158" authorId="0" shapeId="0" xr:uid="{00000000-0006-0000-0000-000081050000}">
      <text>
        <r>
          <rPr>
            <sz val="11"/>
            <color rgb="FF000000"/>
            <rFont val="Calibri"/>
            <family val="2"/>
            <charset val="1"/>
          </rPr>
          <t xml:space="preserve">VIGILÂNCIA ARMADA- LANÇADO PLANILHA PAGAMENTO GEFIC EM JUL/21
- REFERÊNCIA JUN21 ...................R$ 41.404,32
</t>
        </r>
      </text>
    </comment>
    <comment ref="AD1158" authorId="0" shapeId="0" xr:uid="{00000000-0006-0000-0000-000017080000}">
      <text>
        <r>
          <rPr>
            <sz val="11"/>
            <color rgb="FF000000"/>
            <rFont val="Calibri"/>
            <family val="2"/>
            <charset val="1"/>
          </rPr>
          <t xml:space="preserve">R$ 30.252,03 - CELG ABR/21 LANÇADO NA PLANILHA DE MAI/21
.
R$ 13.059,29- CELG JUN/21 LANÇADO NA PLANILHA DE JUL/21
</t>
        </r>
        <r>
          <rPr>
            <sz val="9"/>
            <color rgb="FF000000"/>
            <rFont val="Segoe UI"/>
            <family val="2"/>
            <charset val="1"/>
          </rPr>
          <t xml:space="preserve">
</t>
        </r>
      </text>
    </comment>
    <comment ref="AW1158" authorId="0" shapeId="0" xr:uid="{00000000-0006-0000-0000-0000750A0000}">
      <text>
        <r>
          <rPr>
            <sz val="11"/>
            <color rgb="FF000000"/>
            <rFont val="Calibri"/>
            <family val="2"/>
            <charset val="1"/>
          </rPr>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t>
        </r>
        <r>
          <rPr>
            <sz val="9"/>
            <color rgb="FF000000"/>
            <rFont val="Tahoma"/>
            <family val="2"/>
            <charset val="1"/>
          </rPr>
          <t xml:space="preserve">.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r>
      </text>
    </comment>
    <comment ref="AD1159" authorId="0" shapeId="0" xr:uid="{00000000-0006-0000-0000-000018080000}">
      <text>
        <r>
          <rPr>
            <sz val="11"/>
            <color rgb="FF000000"/>
            <rFont val="Calibri"/>
            <family val="2"/>
            <charset val="1"/>
          </rPr>
          <t xml:space="preserve">CELG JUL/21 LANÇADO NA PLANILHA DE AGO/21
</t>
        </r>
      </text>
    </comment>
    <comment ref="AF1160" authorId="0" shapeId="0" xr:uid="{00000000-0006-0000-0000-00003A090000}">
      <text>
        <r>
          <rPr>
            <sz val="11"/>
            <color rgb="FF000000"/>
            <rFont val="Calibri"/>
            <family val="2"/>
            <charset val="1"/>
          </rPr>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text>
    </comment>
    <comment ref="AW1160" authorId="0" shapeId="0" xr:uid="{00000000-0006-0000-0000-0000760A0000}">
      <text>
        <r>
          <rPr>
            <sz val="11"/>
            <color rgb="FF000000"/>
            <rFont val="Calibri"/>
            <family val="2"/>
            <charset val="1"/>
          </rPr>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r>
      </text>
    </comment>
    <comment ref="AF1161" authorId="0" shapeId="0" xr:uid="{00000000-0006-0000-0000-00003B090000}">
      <text>
        <r>
          <rPr>
            <sz val="11"/>
            <color rgb="FF000000"/>
            <rFont val="Calibri"/>
            <family val="2"/>
            <charset val="1"/>
          </rPr>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r>
          <rPr>
            <sz val="9"/>
            <color rgb="FF000000"/>
            <rFont val="Tahoma"/>
            <family val="2"/>
            <charset val="1"/>
          </rPr>
          <t xml:space="preserve">
</t>
        </r>
      </text>
    </comment>
    <comment ref="BM1167" authorId="0" shapeId="0" xr:uid="{00000000-0006-0000-0000-0000F50A0000}">
      <text>
        <r>
          <rPr>
            <b/>
            <sz val="9"/>
            <color rgb="FF000000"/>
            <rFont val="Tahoma"/>
            <family val="2"/>
            <charset val="1"/>
          </rPr>
          <t xml:space="preserve">Liquidar compl.mai/17
</t>
        </r>
      </text>
    </comment>
    <comment ref="F1168" authorId="0" shapeId="0" xr:uid="{00000000-0006-0000-0000-000080000000}">
      <text>
        <r>
          <rPr>
            <sz val="9"/>
            <color rgb="FF000000"/>
            <rFont val="Tahoma"/>
            <family val="2"/>
            <charset val="1"/>
          </rPr>
          <t xml:space="preserve">Parcela acréscimo 583.195,33;
INVESTIMENTO: 
Equipamento de radiologia 110.000,00;
01 video laboroscópio 280.000,00
</t>
        </r>
      </text>
    </comment>
    <comment ref="AA1168" authorId="0" shapeId="0" xr:uid="{00000000-0006-0000-0000-000078040000}">
      <text>
        <r>
          <rPr>
            <b/>
            <sz val="9"/>
            <color rgb="FF000000"/>
            <rFont val="Tahoma"/>
            <family val="2"/>
            <charset val="1"/>
          </rPr>
          <t xml:space="preserve">FOI REDUZIDO O VALOR DE 2.135,87 DO VALOR DE 10.042,00 INFORMADO ANTERIORMENTE
</t>
        </r>
      </text>
    </comment>
    <comment ref="BM1169" authorId="0" shapeId="0" xr:uid="{00000000-0006-0000-0000-0000F60A0000}">
      <text>
        <r>
          <rPr>
            <sz val="11"/>
            <color rgb="FF000000"/>
            <rFont val="Calibri"/>
            <family val="2"/>
            <charset val="1"/>
          </rPr>
          <t xml:space="preserve">liquidar complemento jul/17
</t>
        </r>
        <r>
          <rPr>
            <sz val="9"/>
            <color rgb="FF000000"/>
            <rFont val="Tahoma"/>
            <family val="2"/>
            <charset val="1"/>
          </rPr>
          <t xml:space="preserve">
</t>
        </r>
      </text>
    </comment>
    <comment ref="AD1173" authorId="0" shapeId="0" xr:uid="{00000000-0006-0000-0000-000019080000}">
      <text>
        <r>
          <rPr>
            <b/>
            <sz val="9"/>
            <color rgb="FF000000"/>
            <rFont val="Tahoma"/>
            <family val="2"/>
            <charset val="1"/>
          </rPr>
          <t xml:space="preserve">GLOSA REF.AO FORNECIMENTO EM SET/17, LANÇADO NA PLANILHA DE OUT/17
</t>
        </r>
      </text>
    </comment>
    <comment ref="AD1174" authorId="0" shapeId="0" xr:uid="{00000000-0006-0000-0000-00001A080000}">
      <text>
        <r>
          <rPr>
            <b/>
            <sz val="9"/>
            <color rgb="FF000000"/>
            <rFont val="Tahoma"/>
            <family val="2"/>
            <charset val="1"/>
          </rPr>
          <t xml:space="preserve">GLOSA REF.AO FORNECIMENTO EM OUT/17.R$ 29.326,57 LANÇADO NA PLANILHA DE REPASSE MENSAL NOV/17 E CELG NOV/17 R$ 35.540,29
</t>
        </r>
      </text>
    </comment>
    <comment ref="AD1176" authorId="0" shapeId="0" xr:uid="{00000000-0006-0000-0000-00001B080000}">
      <text>
        <r>
          <rPr>
            <b/>
            <sz val="9"/>
            <color rgb="FF000000"/>
            <rFont val="Tahoma"/>
            <family val="2"/>
            <charset val="1"/>
          </rPr>
          <t xml:space="preserve">CELG - JANEIRO/18
</t>
        </r>
      </text>
    </comment>
    <comment ref="AD1178" authorId="0" shapeId="0" xr:uid="{00000000-0006-0000-0000-00001C080000}">
      <text>
        <r>
          <rPr>
            <b/>
            <sz val="9"/>
            <color rgb="FF000000"/>
            <rFont val="Tahoma"/>
            <family val="2"/>
            <charset val="1"/>
          </rPr>
          <t xml:space="preserve">CELG - JAN A AGO/17 204.634,35 E MAR/18 34.464,16
</t>
        </r>
      </text>
    </comment>
    <comment ref="AD1180" authorId="0" shapeId="0" xr:uid="{00000000-0006-0000-0000-00001D080000}">
      <text>
        <r>
          <rPr>
            <b/>
            <sz val="9"/>
            <color rgb="FF000000"/>
            <rFont val="Tahoma"/>
            <family val="2"/>
            <charset val="1"/>
          </rPr>
          <t xml:space="preserve">CELG - MAI/18
</t>
        </r>
      </text>
    </comment>
    <comment ref="AD1181" authorId="0" shapeId="0" xr:uid="{00000000-0006-0000-0000-00001E080000}">
      <text>
        <r>
          <rPr>
            <b/>
            <sz val="9"/>
            <color rgb="FF000000"/>
            <rFont val="Tahoma"/>
            <family val="2"/>
            <charset val="1"/>
          </rPr>
          <t xml:space="preserve">CELG - JUN/2018
</t>
        </r>
      </text>
    </comment>
    <comment ref="AE1181" authorId="0" shapeId="0" xr:uid="{00000000-0006-0000-0000-0000CD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2" authorId="0" shapeId="0" xr:uid="{00000000-0006-0000-0000-00001F080000}">
      <text>
        <r>
          <rPr>
            <b/>
            <sz val="9"/>
            <color rgb="FF000000"/>
            <rFont val="Tahoma"/>
            <family val="2"/>
            <charset val="1"/>
          </rPr>
          <t xml:space="preserve">CELG - JUL/2018
</t>
        </r>
      </text>
    </comment>
    <comment ref="AE1182" authorId="0" shapeId="0" xr:uid="{00000000-0006-0000-0000-0000CE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3" authorId="0" shapeId="0" xr:uid="{00000000-0006-0000-0000-000020080000}">
      <text>
        <r>
          <rPr>
            <b/>
            <sz val="9"/>
            <color rgb="FF000000"/>
            <rFont val="Tahoma"/>
            <family val="2"/>
            <charset val="1"/>
          </rPr>
          <t>CELG - AGO/18</t>
        </r>
      </text>
    </comment>
    <comment ref="AE1183" authorId="0" shapeId="0" xr:uid="{00000000-0006-0000-0000-0000CF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D1184" authorId="0" shapeId="0" xr:uid="{00000000-0006-0000-0000-000021080000}">
      <text>
        <r>
          <rPr>
            <b/>
            <sz val="9"/>
            <color rgb="FF000000"/>
            <rFont val="Tahoma"/>
            <family val="2"/>
            <charset val="1"/>
          </rPr>
          <t xml:space="preserve">CELG - SET/18
</t>
        </r>
      </text>
    </comment>
    <comment ref="AE1184" authorId="0" shapeId="0" xr:uid="{00000000-0006-0000-0000-0000D0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A1185" authorId="0" shapeId="0" xr:uid="{00000000-0006-0000-0000-000079040000}">
      <text>
        <r>
          <rPr>
            <b/>
            <sz val="9"/>
            <color rgb="FF000000"/>
            <rFont val="Tahoma"/>
            <family val="2"/>
            <charset val="1"/>
          </rPr>
          <t xml:space="preserve">FOLHA OUT/18 - 16.917,43 E 
FOLHA NOV/18 (26 DIAS) - 11.536,35
</t>
        </r>
      </text>
    </comment>
    <comment ref="AD1185" authorId="0" shapeId="0" xr:uid="{00000000-0006-0000-0000-000022080000}">
      <text>
        <r>
          <rPr>
            <sz val="11"/>
            <color rgb="FF000000"/>
            <rFont val="Calibri"/>
            <family val="2"/>
            <charset val="1"/>
          </rPr>
          <t xml:space="preserve">CELG OUT/18 - 34.538,64 E 
CELG NOV/18 (26 DIAS) - 26.898,46
</t>
        </r>
        <r>
          <rPr>
            <sz val="9"/>
            <color rgb="FF000000"/>
            <rFont val="Tahoma"/>
            <family val="2"/>
            <charset val="1"/>
          </rPr>
          <t xml:space="preserve">
.
SANEAGO MESES DE RERERÊNCIA DEZ/16 A NOV/18 266.654,96 PROC.201900010001380 Memorando nº: 110/2019 - GEFIC- 14421
</t>
        </r>
      </text>
    </comment>
    <comment ref="AE1185" authorId="0" shapeId="0" xr:uid="{00000000-0006-0000-0000-0000D1080000}">
      <text>
        <r>
          <rPr>
            <sz val="11"/>
            <color rgb="FF000000"/>
            <rFont val="Calibri"/>
            <family val="2"/>
            <charset val="1"/>
          </rPr>
          <t xml:space="preserve">AJUSTE FINANCEIRO POR NÃO CUMPRIMENTO DE METAS:
</t>
        </r>
        <r>
          <rPr>
            <sz val="9"/>
            <color rgb="FF000000"/>
            <rFont val="Tahoma"/>
            <family val="2"/>
            <charset val="1"/>
          </rPr>
          <t xml:space="preserve">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FORME PLANILHAS ENCAMINHADAS PELO Memorando nº: 3735/2018 SEI - SCAGES- 03082 PROC.201700010019523.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t>
        </r>
        <r>
          <rPr>
            <b/>
            <sz val="9"/>
            <color rgb="FF000000"/>
            <rFont val="Tahoma"/>
            <family val="2"/>
            <charset val="1"/>
          </rPr>
          <t>(AJUSTE FINANCEIRO A MENOR VISTO INSUFICIÊNCIA DE SALDO PARA APLICASR NA SUA TOTALIDADE)</t>
        </r>
        <r>
          <rPr>
            <sz val="9"/>
            <color rgb="FF000000"/>
            <rFont val="Tahoma"/>
            <family val="2"/>
            <charset val="1"/>
          </rPr>
          <t xml:space="preserve"> </t>
        </r>
        <r>
          <rPr>
            <b/>
            <sz val="9"/>
            <color rgb="FF000000"/>
            <rFont val="Tahoma"/>
            <family val="2"/>
            <charset val="1"/>
          </rPr>
          <t xml:space="preserve">AJUSTE FINANCEIRO REF.PELO NÃO CUMPRIMENTO DE METAS NO PERIODO ANALISADO De 01 de Julho de 2018 a 26 de Novembro de 2018. valor total de desconto financeiro a menor para o período em avaliação é de R$ 1.456.396,90 </t>
        </r>
        <r>
          <rPr>
            <sz val="9"/>
            <color rgb="FF000000"/>
            <rFont val="Tahoma"/>
            <family val="2"/>
            <charset val="1"/>
          </rPr>
          <t>(Um milhão, quatrocentos e cinquenta e seis mil, trezentos e noventa e seis reais e noventa centavos) CONFORME Parecer Técnico n° 7/2019, elaborado pela COMACG - Comissão de Monitoramento e Avaliação dos Contratos de Gestão, Processo nº 201900010019253</t>
        </r>
      </text>
    </comment>
    <comment ref="AE1188" authorId="0" shapeId="0" xr:uid="{00000000-0006-0000-0000-0000D2080000}">
      <text>
        <r>
          <rPr>
            <sz val="11"/>
            <color rgb="FF000000"/>
            <rFont val="Calibri"/>
            <family val="2"/>
            <charset val="1"/>
          </rPr>
          <t xml:space="preserve">glosa determinada pelo ministério publico - Memo nº0555/2017-SGPF/SES-GO - PROC.20170001000507 - lançado planilha GEFIC - FEV/17
</t>
        </r>
        <r>
          <rPr>
            <sz val="9"/>
            <color rgb="FF000000"/>
            <rFont val="Tahoma"/>
            <family val="2"/>
            <charset val="1"/>
          </rPr>
          <t xml:space="preserve">
</t>
        </r>
      </text>
    </comment>
    <comment ref="AN1190" authorId="0" shapeId="0" xr:uid="{00000000-0006-0000-0000-000049090000}">
      <text>
        <r>
          <rPr>
            <b/>
            <sz val="9"/>
            <color rgb="FF000000"/>
            <rFont val="Tahoma"/>
            <family val="2"/>
            <charset val="1"/>
          </rPr>
          <t xml:space="preserve">RESTITUIÇÃO DO VALOR GLOSADO:
glosa determinada ministério publico - memo nº0555/2017-SGPF/SES-GO PROC.20170001000507 - lançado na planilha de ABR/17
</t>
        </r>
      </text>
    </comment>
    <comment ref="P1191" authorId="0" shapeId="0" xr:uid="{00000000-0006-0000-0000-000078010000}">
      <text>
        <r>
          <rPr>
            <b/>
            <sz val="9"/>
            <color rgb="FF000000"/>
            <rFont val="Tahoma"/>
            <family val="2"/>
            <charset val="1"/>
          </rPr>
          <t xml:space="preserve">PERÍODO:09 A 30/05/17
CUSTEIO: 9.547.567,30;
APORTE RES.MÉDICA: 149.512,01;
ESTIMATIVA GLOSA FOLHA: 3.491.283,22
</t>
        </r>
      </text>
    </comment>
    <comment ref="P1192" authorId="0" shapeId="0" xr:uid="{00000000-0006-0000-0000-000079010000}">
      <text>
        <r>
          <rPr>
            <b/>
            <sz val="9"/>
            <color rgb="FF000000"/>
            <rFont val="Tahoma"/>
            <family val="2"/>
            <charset val="1"/>
          </rPr>
          <t xml:space="preserve">CUSTEIO: 13.019.409,95;
APORTE RES.MÉDICA: 203.880,01;
ESTIMATIVA GLOSA FOLHA: 4.760.840,76
</t>
        </r>
      </text>
    </comment>
    <comment ref="P1193" authorId="0" shapeId="0" xr:uid="{00000000-0006-0000-0000-00007A010000}">
      <text>
        <r>
          <rPr>
            <b/>
            <sz val="9"/>
            <color rgb="FF000000"/>
            <rFont val="Tahoma"/>
            <family val="2"/>
            <charset val="1"/>
          </rPr>
          <t xml:space="preserve">CUSTEIO: 13.019.409,95;
APORTE RES.MÉDICA: 203.880,01;
ESTIMATIVA GLOSA FOLHA: 4.760.840,76
</t>
        </r>
      </text>
    </comment>
    <comment ref="P1194" authorId="0" shapeId="0" xr:uid="{00000000-0006-0000-0000-00007B010000}">
      <text>
        <r>
          <rPr>
            <b/>
            <sz val="9"/>
            <color rgb="FF000000"/>
            <rFont val="Tahoma"/>
            <family val="2"/>
            <charset val="1"/>
          </rPr>
          <t xml:space="preserve">CUSTEIO: 13.019.409,95;
APORTE RES.MÉDICA: 203.880,01;
ESTIMATIVA GLOSA FOLHA: 4.760.840,76
</t>
        </r>
      </text>
    </comment>
    <comment ref="AR1194" authorId="0" shapeId="0" xr:uid="{00000000-0006-0000-0000-000089090000}">
      <text>
        <r>
          <rPr>
            <b/>
            <sz val="9"/>
            <color rgb="FF000000"/>
            <rFont val="Tahoma"/>
            <family val="2"/>
            <charset val="1"/>
          </rPr>
          <t xml:space="preserve">PAGO A MAIOR DEVIDO TER SIDO LIQUIDADO COM VALOR ESTIMADO DO MÊS ANTERIOR
</t>
        </r>
      </text>
    </comment>
    <comment ref="AU1194" authorId="0" shapeId="0" xr:uid="{00000000-0006-0000-0000-0000FA090000}">
      <text>
        <r>
          <rPr>
            <sz val="9"/>
            <color rgb="FF000000"/>
            <rFont val="Tahoma"/>
            <family val="2"/>
            <charset val="1"/>
          </rPr>
          <t xml:space="preserve">Ressarcimento Órtese, Protese e Materiais Especiais - OPME, não contemplado na Tabela do SUS, para paciente JONE BATISTA DE SOUZA em cirurgia realizada no HUGO  em 04-05-17 conf.documentos no  PROCESSO Nº 201700010007673 VALOR  R$ 2.390,00.
</t>
        </r>
      </text>
    </comment>
    <comment ref="BM1194" authorId="0" shapeId="0" xr:uid="{00000000-0006-0000-0000-0000F70A0000}">
      <text>
        <r>
          <rPr>
            <b/>
            <sz val="9"/>
            <color rgb="FF000000"/>
            <rFont val="Tahoma"/>
            <family val="2"/>
            <charset val="1"/>
          </rPr>
          <t xml:space="preserve">foi pago a maior tem que descontar no mês seguinte
</t>
        </r>
      </text>
    </comment>
    <comment ref="P1195" authorId="0" shapeId="0" xr:uid="{00000000-0006-0000-0000-00007C010000}">
      <text>
        <r>
          <rPr>
            <b/>
            <sz val="9"/>
            <color rgb="FF000000"/>
            <rFont val="Tahoma"/>
            <family val="2"/>
            <charset val="1"/>
          </rPr>
          <t xml:space="preserve">CUSTEIO: 13.019.409,95;
APORTE RES.MÉDICA: 203.880,01;
ESTIMATIVA GLOSA FOLHA: 4.760.840,76
</t>
        </r>
      </text>
    </comment>
    <comment ref="AE1195" authorId="0" shapeId="0" xr:uid="{00000000-0006-0000-0000-0000D3080000}">
      <text>
        <r>
          <rPr>
            <b/>
            <sz val="9"/>
            <color rgb="FF000000"/>
            <rFont val="Tahoma"/>
            <family val="2"/>
            <charset val="1"/>
          </rPr>
          <t xml:space="preserve">Compresação para regularizar pagameno efetuado a maior no mês de 08/17, visto que houve liquidação estimada neste mês.
</t>
        </r>
      </text>
    </comment>
    <comment ref="AU1195" authorId="0" shapeId="0" xr:uid="{00000000-0006-0000-0000-0000FB090000}">
      <text>
        <r>
          <rPr>
            <sz val="9"/>
            <color rgb="FF000000"/>
            <rFont val="Tahoma"/>
            <family val="2"/>
            <charset val="1"/>
          </rPr>
          <t>Ressarcimento Órtese, Protese e Materiais Especiais - OPME, não contemplado na Tabela do SUS, para paciente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t>
        </r>
      </text>
    </comment>
    <comment ref="P1196" authorId="0" shapeId="0" xr:uid="{00000000-0006-0000-0000-00007D010000}">
      <text>
        <r>
          <rPr>
            <b/>
            <sz val="9"/>
            <color rgb="FF000000"/>
            <rFont val="Tahoma"/>
            <family val="2"/>
            <charset val="1"/>
          </rPr>
          <t xml:space="preserve">CUSTEIO: 13.019.409,95;
APORTE RES.MÉDICA: 203.880,01;
ESTIMATIVA GLOSA FOLHA: 4.760.840,76
</t>
        </r>
      </text>
    </comment>
    <comment ref="P1197" authorId="0" shapeId="0" xr:uid="{00000000-0006-0000-0000-00007E010000}">
      <text>
        <r>
          <rPr>
            <b/>
            <sz val="9"/>
            <color rgb="FF000000"/>
            <rFont val="Tahoma"/>
            <family val="2"/>
            <charset val="1"/>
          </rPr>
          <t xml:space="preserve">CUSTEIO: 13.019.409,95;
APORTE RES.MÉDICA: 203.880,01;
ESTIMATIVA GLOSA FOLHA: 4.760.840,76
</t>
        </r>
      </text>
    </comment>
    <comment ref="AU1197" authorId="0" shapeId="0" xr:uid="{00000000-0006-0000-0000-0000FC090000}">
      <text>
        <r>
          <rPr>
            <sz val="9"/>
            <color rgb="FF000000"/>
            <rFont val="Tahoma"/>
            <family val="2"/>
            <charset val="1"/>
          </rPr>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r>
      </text>
    </comment>
    <comment ref="P1198" authorId="0" shapeId="0" xr:uid="{00000000-0006-0000-0000-00007F010000}">
      <text>
        <r>
          <rPr>
            <b/>
            <sz val="9"/>
            <color rgb="FF000000"/>
            <rFont val="Tahoma"/>
            <family val="2"/>
            <charset val="1"/>
          </rPr>
          <t xml:space="preserve">CUSTEIO: 13.019.409,95;
APORTE RES.MÉDICA: 203.880,01;
ESTIMATIVA GLOSA FOLHA: 4.760.840,76
</t>
        </r>
      </text>
    </comment>
    <comment ref="P1199" authorId="0" shapeId="0" xr:uid="{00000000-0006-0000-0000-000080010000}">
      <text>
        <r>
          <rPr>
            <b/>
            <sz val="9"/>
            <color rgb="FF000000"/>
            <rFont val="Tahoma"/>
            <family val="2"/>
            <charset val="1"/>
          </rPr>
          <t xml:space="preserve">CUSTEIO: 13.019.409,95;
APORTE RES.MÉDICA: 203.880,01;
ESTIMATIVA GLOSA FOLHA: 4.760.840,76
</t>
        </r>
      </text>
    </comment>
    <comment ref="AC1199" authorId="0" shapeId="0" xr:uid="{00000000-0006-0000-0000-000082050000}">
      <text>
        <r>
          <rPr>
            <sz val="11"/>
            <color rgb="FF000000"/>
            <rFont val="Calibri"/>
            <family val="2"/>
            <charset val="1"/>
          </rPr>
          <t xml:space="preserve">TELEFONE
</t>
        </r>
        <r>
          <rPr>
            <sz val="9"/>
            <color rgb="FF000000"/>
            <rFont val="Tahoma"/>
            <family val="2"/>
            <charset val="1"/>
          </rPr>
          <t xml:space="preserve">
</t>
        </r>
      </text>
    </comment>
    <comment ref="AD1199" authorId="0" shapeId="0" xr:uid="{00000000-0006-0000-0000-000023080000}">
      <text>
        <r>
          <rPr>
            <sz val="11"/>
            <color rgb="FF000000"/>
            <rFont val="Calibri"/>
            <family val="2"/>
            <charset val="1"/>
          </rPr>
          <t xml:space="preserve">ENERGIA </t>
        </r>
        <r>
          <rPr>
            <sz val="9"/>
            <color rgb="FF000000"/>
            <rFont val="Tahoma"/>
            <family val="2"/>
            <charset val="1"/>
          </rPr>
          <t xml:space="preserve"> - </t>
        </r>
        <r>
          <rPr>
            <b/>
            <sz val="9"/>
            <color rgb="FF000000"/>
            <rFont val="Tahoma"/>
            <family val="2"/>
            <charset val="1"/>
          </rPr>
          <t>DEZ/2017</t>
        </r>
      </text>
    </comment>
    <comment ref="P1200" authorId="0" shapeId="0" xr:uid="{00000000-0006-0000-0000-000081010000}">
      <text>
        <r>
          <rPr>
            <b/>
            <sz val="9"/>
            <color rgb="FF000000"/>
            <rFont val="Tahoma"/>
            <family val="2"/>
            <charset val="1"/>
          </rPr>
          <t xml:space="preserve">CUSTEIO: 13.019.409,95;
APORTE RES.MÉDICA: 203.880,01;
ESTIMATIVA GLOSA FOLHA: 4.760.840,76
</t>
        </r>
      </text>
    </comment>
    <comment ref="P1201" authorId="0" shapeId="0" xr:uid="{00000000-0006-0000-0000-000082010000}">
      <text>
        <r>
          <rPr>
            <b/>
            <sz val="9"/>
            <color rgb="FF000000"/>
            <rFont val="Tahoma"/>
            <family val="2"/>
            <charset val="1"/>
          </rPr>
          <t xml:space="preserve">CUSTEIO: 13.019.409,95;
APORTE RES.MÉDICA: 203.880,01;
ESTIMATIVA GLOSA FOLHA: 4.760.840,76
</t>
        </r>
      </text>
    </comment>
    <comment ref="AD1201" authorId="0" shapeId="0" xr:uid="{00000000-0006-0000-0000-000024080000}">
      <text>
        <r>
          <rPr>
            <b/>
            <sz val="9"/>
            <color rgb="FF000000"/>
            <rFont val="Tahoma"/>
            <family val="2"/>
            <charset val="1"/>
          </rPr>
          <t xml:space="preserve">CELG - R4 140.998,69 NOV/17 e R$ 112.318,85  FEV/18
</t>
        </r>
      </text>
    </comment>
    <comment ref="P1202" authorId="0" shapeId="0" xr:uid="{00000000-0006-0000-0000-000083010000}">
      <text>
        <r>
          <rPr>
            <b/>
            <sz val="9"/>
            <color rgb="FF000000"/>
            <rFont val="Tahoma"/>
            <family val="2"/>
            <charset val="1"/>
          </rPr>
          <t xml:space="preserve">CUSTEIO: 13.019.409,95;
APORTE RES.MÉDICA: 203.880,01;
ESTIMATIVA GLOSA FOLHA: 4.760.840,76
</t>
        </r>
      </text>
    </comment>
    <comment ref="BL1202" authorId="0" shapeId="0" xr:uid="{00000000-0006-0000-0000-0000F00A0000}">
      <text>
        <r>
          <rPr>
            <b/>
            <sz val="9"/>
            <color rgb="FF000000"/>
            <rFont val="Tahoma"/>
            <family val="2"/>
            <charset val="1"/>
          </rPr>
          <t>- VERIFICAR ESSES 600.000,00</t>
        </r>
      </text>
    </comment>
    <comment ref="P1203" authorId="0" shapeId="0" xr:uid="{00000000-0006-0000-0000-000084010000}">
      <text>
        <r>
          <rPr>
            <b/>
            <sz val="9"/>
            <color rgb="FF000000"/>
            <rFont val="Tahoma"/>
            <family val="2"/>
            <charset val="1"/>
          </rPr>
          <t xml:space="preserve">PERÍODO:01 A 08/05/18
CUSTEIO: 3.471.842,65;
APORTE RES.MÉDICA: 54.368,00;
ESTIMATIVA GLOSA FOLHA: 1.269.557,54
</t>
        </r>
      </text>
    </comment>
    <comment ref="Q1203" authorId="0" shapeId="0" xr:uid="{00000000-0006-0000-0000-0000BB010000}">
      <text>
        <r>
          <rPr>
            <b/>
            <sz val="9"/>
            <color rgb="FF000000"/>
            <rFont val="Tahoma"/>
            <family val="2"/>
            <charset val="1"/>
          </rPr>
          <t>PERÍODO 09/05/18 A 08/05/19 PARCELA R$ 15.051.910,98 + APORTE FINANC. PROG.RESID.MÉDICA E EM AREA DO HOSPITAL R$ 149.512,01</t>
        </r>
      </text>
    </comment>
    <comment ref="AD1203" authorId="0" shapeId="0" xr:uid="{00000000-0006-0000-0000-000025080000}">
      <text>
        <r>
          <rPr>
            <b/>
            <sz val="9"/>
            <color rgb="FF000000"/>
            <rFont val="Tahoma"/>
            <family val="2"/>
            <charset val="1"/>
          </rPr>
          <t>CELG - ABRIL/2018</t>
        </r>
      </text>
    </comment>
    <comment ref="Q1204" authorId="0" shapeId="0" xr:uid="{00000000-0006-0000-0000-0000BC010000}">
      <text>
        <r>
          <rPr>
            <sz val="9"/>
            <color rgb="FF000000"/>
            <rFont val="Tahoma"/>
            <family val="2"/>
            <charset val="1"/>
          </rPr>
          <t xml:space="preserve">PARCELA R$ 20525333,15 + APORTE FINANC. PROG.RESID.MÉDICA E EM AREA DO HOSPITAL R$ 203.880,01 + RECOMPOSIÇÃO DEFICIT FINANCEIRO ACUMULADO DO CONTRATO Nº064/2012/SES/GO (PARCELA ÚNICA)
</t>
        </r>
      </text>
    </comment>
    <comment ref="AD1204" authorId="0" shapeId="0" xr:uid="{00000000-0006-0000-0000-000026080000}">
      <text>
        <r>
          <rPr>
            <b/>
            <sz val="9"/>
            <color rgb="FF000000"/>
            <rFont val="Tahoma"/>
            <family val="2"/>
            <charset val="1"/>
          </rPr>
          <t xml:space="preserve">CELG - MAI/18
</t>
        </r>
      </text>
    </comment>
    <comment ref="AE1204" authorId="0" shapeId="0" xr:uid="{00000000-0006-0000-0000-0000D4080000}">
      <text>
        <r>
          <rPr>
            <sz val="11"/>
            <color rgb="FF000000"/>
            <rFont val="Calibri"/>
            <family val="2"/>
            <charset val="1"/>
          </rPr>
          <t xml:space="preserve">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R$ 7.734.154,88.
.
Relatório de Execução № 20/2017  e Parecer Técnico № 01/2018 – COMFIC/GEFIC/SCAGES/SES,e Memorando nº: 4255/2018 SEI - SGPF- 03079,  não cumprimento de meta no período avaliado de maio 2017 a outubro de 2017 - PROC.201800010014167-SEI R$ 9.361.302,00
</t>
        </r>
        <r>
          <rPr>
            <sz val="9"/>
            <color rgb="FF000000"/>
            <rFont val="Tahoma"/>
            <family val="2"/>
            <charset val="1"/>
          </rPr>
          <t>.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r>
      </text>
    </comment>
    <comment ref="Q1205" authorId="0" shapeId="0" xr:uid="{00000000-0006-0000-0000-0000BD010000}">
      <text>
        <r>
          <rPr>
            <b/>
            <sz val="9"/>
            <color rgb="FF000000"/>
            <rFont val="Tahoma"/>
            <family val="2"/>
            <charset val="1"/>
          </rPr>
          <t xml:space="preserve">PARCELA R$ 20525333,15 + APORTE FINANC. PROG.RESID.MÉDICA E EM AREA DO HOSPITAL R$ 203.880,01
</t>
        </r>
      </text>
    </comment>
    <comment ref="AD1205" authorId="0" shapeId="0" xr:uid="{00000000-0006-0000-0000-000027080000}">
      <text>
        <r>
          <rPr>
            <b/>
            <sz val="9"/>
            <color rgb="FF000000"/>
            <rFont val="Tahoma"/>
            <family val="2"/>
            <charset val="1"/>
          </rPr>
          <t xml:space="preserve">CELG - JUN/2018
</t>
        </r>
      </text>
    </comment>
    <comment ref="Q1206" authorId="0" shapeId="0" xr:uid="{00000000-0006-0000-0000-0000BE010000}">
      <text>
        <r>
          <rPr>
            <b/>
            <sz val="9"/>
            <color rgb="FF000000"/>
            <rFont val="Tahoma"/>
            <family val="2"/>
            <charset val="1"/>
          </rPr>
          <t xml:space="preserve">PARCELA R$ 20525333,15 + APORTE FINANC. PROG.RESID.MÉDICA E EM AREA DO HOSPITAL R$ 203.880,01
</t>
        </r>
      </text>
    </comment>
    <comment ref="AD1206" authorId="0" shapeId="0" xr:uid="{00000000-0006-0000-0000-000028080000}">
      <text>
        <r>
          <rPr>
            <b/>
            <sz val="9"/>
            <color rgb="FF000000"/>
            <rFont val="Tahoma"/>
            <family val="2"/>
            <charset val="1"/>
          </rPr>
          <t>CELG PROC.201700010019675:
* JANEIRO A MAIO/17 R$ 601.207,41;
*JULHO/18 R$ 110250,46</t>
        </r>
      </text>
    </comment>
    <comment ref="AD1207" authorId="0" shapeId="0" xr:uid="{00000000-0006-0000-0000-000029080000}">
      <text>
        <r>
          <rPr>
            <b/>
            <sz val="9"/>
            <color rgb="FF000000"/>
            <rFont val="Tahoma"/>
            <family val="2"/>
            <charset val="1"/>
          </rPr>
          <t>CELG - AGO/18</t>
        </r>
      </text>
    </comment>
    <comment ref="AE1207" authorId="0" shapeId="0" xr:uid="{00000000-0006-0000-0000-0000D5080000}">
      <text>
        <r>
          <rPr>
            <sz val="11"/>
            <color rgb="FF000000"/>
            <rFont val="Calibri"/>
            <family val="2"/>
            <charset val="1"/>
          </rPr>
          <t xml:space="preserve">R$ 29.410,00 -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
</t>
        </r>
      </text>
    </comment>
    <comment ref="AF1207" authorId="0" shapeId="0" xr:uid="{00000000-0006-0000-0000-00003C090000}">
      <text>
        <r>
          <rPr>
            <b/>
            <sz val="9"/>
            <color rgb="FF000000"/>
            <rFont val="Segoe U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r>
      </text>
    </comment>
    <comment ref="AU1207" authorId="0" shapeId="0" xr:uid="{00000000-0006-0000-0000-0000FD090000}">
      <text>
        <r>
          <rPr>
            <b/>
            <sz val="9"/>
            <color rgb="FF000000"/>
            <rFont val="Tahoma"/>
            <family val="2"/>
            <charset val="1"/>
          </rPr>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r>
      </text>
    </comment>
    <comment ref="AD1208" authorId="0" shapeId="0" xr:uid="{00000000-0006-0000-0000-00002A080000}">
      <text>
        <r>
          <rPr>
            <b/>
            <sz val="9"/>
            <color rgb="FF000000"/>
            <rFont val="Tahoma"/>
            <family val="2"/>
            <charset val="1"/>
          </rPr>
          <t xml:space="preserve">CELG - SET/18
</t>
        </r>
      </text>
    </comment>
    <comment ref="AE1208" authorId="0" shapeId="0" xr:uid="{00000000-0006-0000-0000-0000D6080000}">
      <text>
        <r>
          <rPr>
            <sz val="11"/>
            <color rgb="FF000000"/>
            <rFont val="Calibri"/>
            <family val="2"/>
            <charset val="1"/>
          </rPr>
          <t xml:space="preserve">R$ 387.123,30 SALDO CORRESPONDENTE AO EMPENHO Nº 2018.2850.078-00298 EFETUADO DEVIDO BLOQUEIO JUDICIAL NAS CONTAS DO ESTADO PROC.55632184520188090051 6ª VARA DA FAZENDA PUBLICA ESTADUAL PAGO NA REFERÊNCIA OUT/18. 
</t>
        </r>
        <r>
          <rPr>
            <sz val="9"/>
            <color rgb="FF000000"/>
            <rFont val="Tahoma"/>
            <family val="2"/>
            <charset val="1"/>
          </rPr>
          <t>.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8" authorId="0" shapeId="0" xr:uid="{00000000-0006-0000-0000-00003D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r>
        <r>
          <rPr>
            <sz val="9"/>
            <color rgb="FF000000"/>
            <rFont val="Segoe UI"/>
            <family val="2"/>
            <charset val="1"/>
          </rPr>
          <t xml:space="preserve">
</t>
        </r>
      </text>
    </comment>
    <comment ref="AP1208" authorId="0" shapeId="0" xr:uid="{00000000-0006-0000-0000-000084090000}">
      <text>
        <r>
          <rPr>
            <b/>
            <sz val="9"/>
            <color rgb="FF000000"/>
            <rFont val="Tahoma"/>
            <family val="2"/>
            <charset val="1"/>
          </rPr>
          <t xml:space="preserve">SALDO CORRESPONDENTE AO EMPENHO Nº 2018.2850.078-00298 EFETUADO DEVIDO BLOQUEIO JUDICIAL NAS CONTAS DO ESTADO PROC.55632184520188090051 6ª VARA DA FAZENDA PUBLICA ESTADUAL PAGO NA REFERÊNCIA OUT/18. 
</t>
        </r>
      </text>
    </comment>
    <comment ref="AU1208" authorId="0" shapeId="0" xr:uid="{00000000-0006-0000-0000-0000FE090000}">
      <text>
        <r>
          <rPr>
            <sz val="11"/>
            <color rgb="FF000000"/>
            <rFont val="Calibri"/>
            <family val="2"/>
            <charset val="1"/>
          </rPr>
          <t xml:space="preserve">R$ 88.262,42 - PROC.201600010027674 - RESSARCIMENTO-PLANTÕES EXTRAS REALIZADOS P/COBRIR ESTATUTÁRIOS EM GREVE (ENFERMEIROS)EM OUT/16.
</t>
        </r>
        <r>
          <rPr>
            <sz val="9"/>
            <color rgb="FF000000"/>
            <rFont val="Tahoma"/>
            <family val="2"/>
            <charset val="1"/>
          </rPr>
          <t xml:space="preserve">.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
R$ 2.145,00 - PROC.201700010020167 - RESSARCIMENTO OPME - AQUISIÇÃO ÓRTESE E PROTESE PAC.HELSIAS VIANA COSTA - INTERNADA EM 15/09/17 FICOU 26 DIAS  (DESPACHO Nº 612/2018 - SEI - SCAGES - 03082).
.
R$ 2.390,00 - PROC.201700010015667 - RESSARCIMENTO OPME -  AQUISIÇÃO ÓRTESE E PROTESE PAC.ANTÔNIO CALIXTO ALVES INTERNADO EM 08/05 A 05/06/16 E 09 A 12/06/16 (DESPACHO Nº 612/2018 - SEI - SCAGES - 03082).
</t>
        </r>
      </text>
    </comment>
    <comment ref="Q1209" authorId="0" shapeId="0" xr:uid="{00000000-0006-0000-0000-0000BF010000}">
      <text>
        <r>
          <rPr>
            <sz val="11"/>
            <color rgb="FF000000"/>
            <rFont val="Calibri"/>
            <family val="2"/>
            <charset val="1"/>
          </rPr>
          <t xml:space="preserve">PARCELA R$ 20525333,15 + APORTE FINANC. PROG.RESID.MÉDICA E EM AREA DO HOSPITAL R$ 203.880,01
</t>
        </r>
        <r>
          <rPr>
            <sz val="9"/>
            <color rgb="FF000000"/>
            <rFont val="Tahoma"/>
            <family val="2"/>
            <charset val="1"/>
          </rPr>
          <t>.
ALTERAÇÃO DO VALOR DA PARCELA VISTO A VIGÊNCIA TER EXPIRADO EM 26/11/2018, VISTO OUTORGA DO CONTRATO EMERGENCIAL 180 DIAS A PARTIR DE 27/11/18 COM OS HAVER.</t>
        </r>
      </text>
    </comment>
    <comment ref="AA1209" authorId="0" shapeId="0" xr:uid="{00000000-0006-0000-0000-00007A040000}">
      <text>
        <r>
          <rPr>
            <sz val="9"/>
            <color rgb="FF000000"/>
            <rFont val="Tahoma"/>
            <family val="2"/>
            <charset val="1"/>
          </rPr>
          <t xml:space="preserve">FOLHA OUT/18 - R$ 5.010.593,13 E
FOLHA NOV/18 (26 DIAS) - 4.134.832,07
</t>
        </r>
      </text>
    </comment>
    <comment ref="AC1209" authorId="0" shapeId="0" xr:uid="{00000000-0006-0000-0000-000083050000}">
      <text>
        <r>
          <rPr>
            <b/>
            <sz val="9"/>
            <color rgb="FF000000"/>
            <rFont val="Tahoma"/>
            <family val="2"/>
            <charset val="1"/>
          </rPr>
          <t xml:space="preserve">OI NOV/18
</t>
        </r>
      </text>
    </comment>
    <comment ref="AD1209" authorId="0" shapeId="0" xr:uid="{00000000-0006-0000-0000-00002B080000}">
      <text>
        <r>
          <rPr>
            <sz val="9"/>
            <color rgb="FF000000"/>
            <rFont val="Tahoma"/>
            <family val="2"/>
            <charset val="1"/>
          </rPr>
          <t>CELG OUT/18 - 131.673,49 E 
CELG NOV/18 (26 DIAS) - 109427,09</t>
        </r>
      </text>
    </comment>
    <comment ref="AE1209" authorId="0" shapeId="0" xr:uid="{00000000-0006-0000-0000-0000D7080000}">
      <text>
        <r>
          <rPr>
            <sz val="11"/>
            <color rgb="FF000000"/>
            <rFont val="Calibri"/>
            <family val="2"/>
            <charset val="1"/>
          </rPr>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t>
        </r>
        <r>
          <rPr>
            <sz val="9"/>
            <color rgb="FF000000"/>
            <rFont val="Tahoma"/>
            <family val="2"/>
            <charset val="1"/>
          </rPr>
          <t>.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3.320.247,64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9" authorId="0" shapeId="0" xr:uid="{00000000-0006-0000-0000-00003E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
NOV/2018............................R$ 3.320247,64
</t>
        </r>
        <r>
          <rPr>
            <sz val="9"/>
            <color rgb="FF000000"/>
            <rFont val="Segoe UI"/>
            <family val="2"/>
            <charset val="1"/>
          </rPr>
          <t xml:space="preserve">
</t>
        </r>
      </text>
    </comment>
  </commentList>
</comments>
</file>

<file path=xl/sharedStrings.xml><?xml version="1.0" encoding="utf-8"?>
<sst xmlns="http://schemas.openxmlformats.org/spreadsheetml/2006/main" count="18082" uniqueCount="1355">
  <si>
    <t>DEMONSTRATIVO  VALORES ADICIONAIS CONTRATO DE GESTÃO - PERÍODO DE 2017 A  2018</t>
  </si>
  <si>
    <t>PREVISTO NO CONTRATO/ ADITIVOS  (+)</t>
  </si>
  <si>
    <t>DEDUÇÕES (-)</t>
  </si>
  <si>
    <t>DIREFENÇA E RESTITUIÇÃO - R$ (+)</t>
  </si>
  <si>
    <t>CRÉDITOS ADICIONAIS - R$ (+)</t>
  </si>
  <si>
    <t>RESSARCIMENTOS/CRÉDITOS ADICIONAIS (+)</t>
  </si>
  <si>
    <t>ORGANIZAÇÕES SOCIAIS</t>
  </si>
  <si>
    <t>UNIDADE</t>
  </si>
  <si>
    <t>EXEC.</t>
  </si>
  <si>
    <t>MÊS</t>
  </si>
  <si>
    <t>VR. CONTRATO  - R$</t>
  </si>
  <si>
    <t>1º T.ADITIVO  - R$</t>
  </si>
  <si>
    <t>2º T.ADITIVO   - R$</t>
  </si>
  <si>
    <t>3º T.ADITIVO   - R$</t>
  </si>
  <si>
    <t>Redução do valor do 3º T.ADITIVO  e primeiro 1º termo de rerratificação  - R$</t>
  </si>
  <si>
    <t>TOTAL  3º T.ADITIVO   e primeiro 1º termo de rerratificação - R$</t>
  </si>
  <si>
    <t>4º T.ADITIVO   - R$</t>
  </si>
  <si>
    <t>4º T.ADITIVO - REPASSE FINANCEIRO COMPLEMENTAR - R$</t>
  </si>
  <si>
    <t>TOTAL 4º TERMO ADITIVO - R$</t>
  </si>
  <si>
    <t>5º T.ADITIVO   - R$</t>
  </si>
  <si>
    <t>6º T.ADITIVO   - R$</t>
  </si>
  <si>
    <t>7º T.ADITIVO   - R$</t>
  </si>
  <si>
    <t>8º T.ADITIVO   - R$</t>
  </si>
  <si>
    <t>9º T.ADITIVO   - R$</t>
  </si>
  <si>
    <t>10º T.ADITIVO   - R$</t>
  </si>
  <si>
    <t>11º T.ADITIVO   - R$</t>
  </si>
  <si>
    <t>12º T.ADITIVO   - R$</t>
  </si>
  <si>
    <t>13º T.ADITIVO   - R$</t>
  </si>
  <si>
    <t>14º T.ADITIVO   - R$</t>
  </si>
  <si>
    <t>15º T.ADITIVO   - R$</t>
  </si>
  <si>
    <t>TOTAL GERAL  PREVISTO - CONTRATO  - R$</t>
  </si>
  <si>
    <t>GLOSA PESSOAL- PLANILHA GEFIC R$</t>
  </si>
  <si>
    <t>GLOSA PESSOAL- APLICADA R$</t>
  </si>
  <si>
    <t>DIFERENÇA GLOSA PESSOAL APLICADA/PLANILHA GEFIC E OUTROS</t>
  </si>
  <si>
    <t>GLOSA CONTRATOS/ EMPRESA - R$</t>
  </si>
  <si>
    <t>GLOSA CELG/ SANEAGO</t>
  </si>
  <si>
    <t>GLOSA CONTRATOS/ GESTÃO - R$</t>
  </si>
  <si>
    <t>REDUÇÃO VALORES/ CONTRATOS/ GESTÃO R$</t>
  </si>
  <si>
    <t>TOTAL GLOSAS - R$</t>
  </si>
  <si>
    <t xml:space="preserve">DESCRIÇÃO GLOSA PESSOAL- APLICADA </t>
  </si>
  <si>
    <t>DESCRIÇÃO DIFERENÇA GLOSA PESSOAL APLICADA/PLANILHA GEFIC E OUTROS</t>
  </si>
  <si>
    <t xml:space="preserve">DESCRIÇÃO GLOSA CONTRATOS/ EMPRESA </t>
  </si>
  <si>
    <t>DESCRIÇÃO GLOSA CELG/SANEAGO</t>
  </si>
  <si>
    <t xml:space="preserve">DESCRIÇÃO GLOSA CONTRATOS/ GESTÃO </t>
  </si>
  <si>
    <t xml:space="preserve">DESCRIÇÃO REDUÇÃO VALORES/CONTRATOS/GESTÃO </t>
  </si>
  <si>
    <t>RESTITUIÇÃO GLOSA CONTRATO/</t>
  </si>
  <si>
    <t>RESTITUIÇÃO GLOSA FOLHA PESSOAL - R$</t>
  </si>
  <si>
    <t>DIRERENÇA/RESTITUIÇÃO - R$</t>
  </si>
  <si>
    <t>SUSPENSÃO GLOSA - R$</t>
  </si>
  <si>
    <t>RETIDO PARA PAGAMENTO DE DÉBITOS DA UNIDADE COM ÁGUA, ENERGIA e TELEFONE e OUTROS.</t>
  </si>
  <si>
    <t>TOTAL DIFERENÇA E RESTITUIÇÃO</t>
  </si>
  <si>
    <t xml:space="preserve">DESCRIÇÃO - DIREFENÇA E RESTITUIÇÃO </t>
  </si>
  <si>
    <t>RESSARCIMENTO / REG.DESPESA- R$</t>
  </si>
  <si>
    <t>MANDADO JUDICIAL</t>
  </si>
  <si>
    <t>VALOR INVESTIMENTO  - R$</t>
  </si>
  <si>
    <t>REGULARIZAÇÃO DESPESA</t>
  </si>
  <si>
    <t>ENCONTRO DE CONTAS FINAL CONTRATO</t>
  </si>
  <si>
    <t>VALOR LEITOS EXTRAS - COBERTURA CONTRATUAL  - R$</t>
  </si>
  <si>
    <t>TOTAL CRÉDITOS ADICIONAIS</t>
  </si>
  <si>
    <t>DESCRIÇÃO - RESSARCIMENTO</t>
  </si>
  <si>
    <t>DESCRIÇÃO - MANDADO JUDICIAL</t>
  </si>
  <si>
    <t>DESCRIÇÃO -  INVESTIMENTO</t>
  </si>
  <si>
    <t>DESCRIÇÃO -  REGULARIZAÇÃO DE DESPESA</t>
  </si>
  <si>
    <t>DESCRIÇÃO - ENCONTRO DE CONTAS FINAL CONTRATO</t>
  </si>
  <si>
    <t>DESCRIÇÃO -  LEITOS EXTRAS - COBERTURA CONTRATUAL</t>
  </si>
  <si>
    <t>TOTAL RESSARCIMENTOS/ CRÉDITOS ADICIONAIS (R$)</t>
  </si>
  <si>
    <t>TOTAL GERAL     DEVIDO - R$</t>
  </si>
  <si>
    <t>TOTAL GERAL     DEVIDO - CUSTEIO (TESOURO)  R$</t>
  </si>
  <si>
    <t>REFERÊNCIA</t>
  </si>
  <si>
    <t>SALDO PAGO - R$</t>
  </si>
  <si>
    <t>SALDO A PAGAR- R$</t>
  </si>
  <si>
    <t>AGIR</t>
  </si>
  <si>
    <t>HDS</t>
  </si>
  <si>
    <t>JANEIRO</t>
  </si>
  <si>
    <t>-</t>
  </si>
  <si>
    <t>FEVEREIRO</t>
  </si>
  <si>
    <t>OI - ref.FEV de 2017, lançado na planilha prev.pagamento FEV de 207.</t>
  </si>
  <si>
    <t>MARÇO</t>
  </si>
  <si>
    <t>OI - ref.MAR de 2017, lançado na planilha prev.pagamento MAR de 207.</t>
  </si>
  <si>
    <t>ABRIL</t>
  </si>
  <si>
    <t>OI - ref.ABR de 2017, lançado na planilha prev.pagamento ABR de 207.</t>
  </si>
  <si>
    <t>MAIO</t>
  </si>
  <si>
    <t>OI - ref.MAI de 2017, lançado na planilha prev.pagamento MAI de 207.</t>
  </si>
  <si>
    <t>JUNHO</t>
  </si>
  <si>
    <t>JULHO</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</si>
  <si>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</si>
  <si>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AGOSTO</t>
  </si>
  <si>
    <t>OI - ref.AGO de 2017, lançado na planilha prev.pagamento AGO de 2017.</t>
  </si>
  <si>
    <t>SETEMBRO</t>
  </si>
  <si>
    <t>OUTUBRO</t>
  </si>
  <si>
    <t>NOVEMBRO</t>
  </si>
  <si>
    <t>OI - ref.NOV de 2017, lançado na planilha prev.pagamento NOV de 2017.</t>
  </si>
  <si>
    <t>CELG- Ref.SET de 2017, lançado na palnila prev.pagamento OUT de 2017</t>
  </si>
  <si>
    <t>DEZEMBRO</t>
  </si>
  <si>
    <t>OI - REF.DEZ 2017, LANÇADO NA PLANILHA DEZ 2017</t>
  </si>
  <si>
    <t>CELG Ref.OUT de 2017, lançado na palnila prev.pagamento NOV de 2017 R$ 10.941,95 E NOV/17 R$ 4.234,87 lançado na palnila prev.pagamento DEZ de 2017</t>
  </si>
  <si>
    <t>OI - ref.JAN de 2018, lançado na planilha prev.pagamento JAN de 2018.</t>
  </si>
  <si>
    <t>CELG- Ref.DEZ de 2017, lançado na palnila prev.pagamento JANde 2018</t>
  </si>
  <si>
    <t>OI - ref.FEV de 2018, lançado na planilha prev.pagamento FEV de 2018.</t>
  </si>
  <si>
    <t>CELG- Ref.JAN de 2018 lançado na palnila prev.pagamento FEVde 2018</t>
  </si>
  <si>
    <t>R$ 349.217,96 - PARTE DO VALOR CONFORME MEMORANDO Nº176/2018-SGPF/SES, COMPENSAÇÃO DE SALDO VISTO DISPONIBILIDADE DE SALDO FINANCEIRO NECESSÁRIO PARA ENCERRAMENTO  DO ANO  CONTÁBIL (TOTAL DE R$ 9.515.691,60).</t>
  </si>
  <si>
    <t>OI - ref.MAR de 2018, lançado na planilha prev.pagamento MAR de 2018.</t>
  </si>
  <si>
    <t>CELG- Ref.FEV de 2018 lançado na palnila prev.pagamento MAR de 2018</t>
  </si>
  <si>
    <t>R$ 1.421.074,50 - PARTE DO VALOR CONFORME MEMORANDO Nº176/2018-SGPF/SES, COMPENSAÇÃO DE SALDO VISTO DISPONIBILIDADE DE SALDO FINANCEIRO NECESSÁRIO PARA ENCERRAMENTO  DO ANO  CONTÁBIL (TOTAL DE R$ 9.515.691,60).</t>
  </si>
  <si>
    <t>Folha referência mês anterior, Lançado na Planilha de Previsão Mensal de Repasse - GEFIC</t>
  </si>
  <si>
    <t>OI - ref.ABR de 2018, lançado na planilha prev.pagamento ABR de 2018.</t>
  </si>
  <si>
    <t>CELG- Ref.MAR de 2018 lançado na palnila prev.pagamento ABR de 2018</t>
  </si>
  <si>
    <t>R$1.353.133,12 - PARTE DO VALOR CONFORME MEMORANDO Nº176/2018-SGPF/SES, COMPENSAÇÃO DE SALDO VISTO DISPONIBILIDADE DE SALDO FINANCEIRO NECESSÁRIO PARA ENCERRAMENTO  DO ANO  CONTÁBIL (TOTAL DE R$ 9.515.691,60).</t>
  </si>
  <si>
    <t>OI - Ref.MAI/2018, - lançado na planilha de previsão de repasse MAI/2018</t>
  </si>
  <si>
    <t>CELG - Ref.ABR/2018 - lançado na planilha de previsão de repasse MAI/2018</t>
  </si>
  <si>
    <t>R$ 1.333.883,94 - PARTE DO VALOR CONFORME MEMORANDO Nº176/2018-SGPF/SES, COMPENSAÇÃO DE SALDO VISTO DISPONIBILIDADE DE SALDO FINANCEIRO NECESSÁRIO PARA ENCERRAMENTO  DO ANO  CONTÁBIL (TOTAL DE R$ 9.515.691,60).</t>
  </si>
  <si>
    <t>OI - ref.JUNde 2018, lançado na planilha prev.pagamento JUN de 2018.</t>
  </si>
  <si>
    <t>CELG- Ref.MAI de 2018 lançado na palnila prev.pagamento JUN de 2018</t>
  </si>
  <si>
    <t>R$ 1.388.084,62 - PARTE DO VALOR CONFORME MEMORANDO Nº176/2018-SGPF/SES, COMPENSAÇÃO DE SALDO VISTO DISPONIBILIDADE DE SALDO FINANCEIRO NECESSÁRIO PARA ENCERRAMENTO  DO ANO  CONTÁBIL (TOTAL DE R$ 9.515.691,60).</t>
  </si>
  <si>
    <t>OI - ref.JULde 2018, lançado na planilha prev.pagamento JUL de 2018.</t>
  </si>
  <si>
    <t>CELG- Ref.JUN de 2018 lançado na palnila prev.pagamento JUL de 2018</t>
  </si>
  <si>
    <t>R$ 1.349.620,63 - PARTE DO VALOR CONFORME MEMORANDO Nº176/2018-SGPF/SES, COMPENSAÇÃO DE SALDO VISTO DISPONIBILIDADE DE SALDO FINANCEIRO NECESSÁRIO PARA ENCERRAMENTO  DO ANO  CONTÁBIL (TOTAL DE R$ 9.515.691,60).</t>
  </si>
  <si>
    <t>OI - ref.AGO de 2018, lançado na planilha prev.pagamento AGO de 2018.</t>
  </si>
  <si>
    <t>CELG- Ref.JUL de 2018 lançado na palnila prev.pagamento AGO de 2018</t>
  </si>
  <si>
    <t>R$ 1.366.753,16 - PARTE DO VALOR CONFORME MEMORANDO Nº176/2018-SGPF/SES, COMPENSAÇÃO DE SALDO VISTO DISPONIBILIDADE DE SALDO FINANCEIRO NECESSÁRIO PARA ENCERRAMENTO  DO ANO  CONTÁBIL (TOTAL DE R$ 9.515.691,60).</t>
  </si>
  <si>
    <t>OI - ref.SET de 2018, lançado na planilha prev.pagamento SET de 2018.</t>
  </si>
  <si>
    <t>CELG- Ref.AGO de 2018 lançado na palnila prev.pagamento SET de 2018</t>
  </si>
  <si>
    <t xml:space="preserve">R$ 953.923,67 - RESTANTE DO VALOR CONFORME MEMORANDO Nº176/2018-SGPF/SES, COMPENSAÇÃO DE SALDO VISTO DISPONIBILIDADE DE SALDO FINANCEIRO NECESSÁRIO PARA ENCERRAMENTO  DO ANO  CONTÁBIL (TOTAL DE R$ 9.515.691,60).
</t>
  </si>
  <si>
    <t>OI - ref.OUT de 2018, lançado na planilha prev.pagamento OUT de 2018.</t>
  </si>
  <si>
    <t>CELG- Ref.SET de 2018 lançado na palnila prev.pagamento OUT de 2018</t>
  </si>
  <si>
    <t>OI - ref.NOV de 2018, lançado na planilha prev.pagamento NOV de 2018.</t>
  </si>
  <si>
    <t>CELG- Ref.OUT de 2018 lançado na palnila prev.pagamento NOV de 2018</t>
  </si>
  <si>
    <t>OI - ref.DEZ de 2018, lançado na planilha prev.pagamento DEZ de 2018.</t>
  </si>
  <si>
    <t>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</si>
  <si>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</si>
  <si>
    <t>TELEFONIA FIXA -
REFERÊNCIA JAN19 - LANÇADO PLANILHA GEFIC EM JAN/19.........3.683,81
REFERÊNCIA MAR/19 - LANÇADO PLANILHA GEFIC EM MAR/19
(27 DIAS)..........3.748,95</t>
  </si>
  <si>
    <t>ENEL
* R$ 524,85 Diferença (nov/18) apurada referente a glosa efetuada a menor no mês de DEZ/18;
* R$ 14.053,01 DEZ/18.
.
LANÇADA PLANILHA DE MAR/19:
CELG -  REFERÊNCIA FEV/19...........14.513,15</t>
  </si>
  <si>
    <t>Diferença apurada referente a glosa de telefonia efetuada a maiorr - mês de DEZ/18 - PLANILHA DE PAGAMENTO GEFIC.</t>
  </si>
  <si>
    <t>TELEFONIA FIXA -REFERÊNCIA FEV/19 - LANÇADO PLANILHA GEFIC EM FEV/19</t>
  </si>
  <si>
    <t>REFERÊNCIA JAN/19 - LANÇADO PLANILHA GEFIC EM FEV/19</t>
  </si>
  <si>
    <t>TELEFONIA FIXA -
REFERÊNCIA ABR/19 - LANÇADO PLANILHA GEFIC EM ABR/19.........3.182,97
REFERÊNCIA MAR/19 - LANÇADO PLANILHA GEFIC EM MAR/19
(3 DIAS)..........374,89</t>
  </si>
  <si>
    <t>REFERÊNCIA MAR/19 - LANÇADO PLANILHA GEFIC EM ABR/19</t>
  </si>
  <si>
    <t>TELEFONIA FIXA -REFERÊNCIA MAI/19 - LANÇADO PLANILHA GEFIC EM MAI/19</t>
  </si>
  <si>
    <t>REFERÊNCIA ABR/19 - LANÇADO PLANILHA GEFIC EM MAI/19</t>
  </si>
  <si>
    <t>TELEFONIA JUN/19</t>
  </si>
  <si>
    <t>ENEL- Ref.MAI de 2019 lançado na palnila prev.pagamento JUN de 2019</t>
  </si>
  <si>
    <t>Valor estimado a menor da Folha referência mês anterior, foi ajustado ao valor Lançado na Planilha de Previsão Mensal de Repasse - GEFIC  e efetuado glosa da diferença no montante de R$ 31.500,47 na parcela de SET de 2019.</t>
  </si>
  <si>
    <t>TELEFONIA FIXA -REFERÊNCIA JUL/19 - LANÇADO PLANILHA GEFIC EM JUL/19</t>
  </si>
  <si>
    <t>CELG REFERÊNCIA JUN/19 - LANÇADO PLANILHA PAGAMENTO GEFIC EM JUL/19</t>
  </si>
  <si>
    <t>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t>
  </si>
  <si>
    <t>Glosa da diferença no montante de R$ 31.500,47 referente a folha de JUL de 2019, devido ao ajuste efetivado entre o valor aplicado e o lançada na planilha de previsão de pagamento - GEFIC da parcela de AGO de 2019.</t>
  </si>
  <si>
    <t>R$ 3.313,81 TELEFONIA FIXA -REFERÊNCIA AGO/19 - LANÇADO PLANILHA GEFIC EM AGO/19;
.
R$ 3.418,43TELEFONIA FIXA -REFERÊNCIA SET/19 - LANÇADO PLANILHA GEFIC EM SET/19.</t>
  </si>
  <si>
    <t>R$ 10.142,94 ENERGIA - REFERÊNCIA JUL/19 - LANÇADO PLANILHA PAGAMENTO GEFIC EM AGO/19;
.
R$ 12.211,93 ENERGIA - REFERÊNCIA AGO/19 - LANÇADO PLANILHA PAGAMENTO GEFIC EM SET19.</t>
  </si>
  <si>
    <t>Ajuste de folha  (RETIFICAÇÃO) Referência AGO/19 - Lançado na planilha de pagamento - GEFIC, parcela  OUT/19.</t>
  </si>
  <si>
    <t>TELEFONIA FIXA -REFERÊNCIA OUT/19 - LANÇADO PLANILHA GEFIC EM OUT/19</t>
  </si>
  <si>
    <t>ENERGIA - REFERÊNCIA SET/19 - LANÇADO PLANILHA PAGAMENTO GEFIC EM OUT/19</t>
  </si>
  <si>
    <t>R$ 17.974,65 PROC.201900010012752 - RESSARCIMENTO DE VALORES DESPENDIDOS COM ENCARGOS DAS RESCISÕES TRABALHISTAS DO HOSPITAL DE DERMATOLOGIA SANITÁRIA E REABILITAÇÃO SANTA MARTA-HDS/AGIR, REFERENTE A FEVEREIRO/2019.</t>
  </si>
  <si>
    <t>R$ 4.190,49 TELEFONIA FIXA -REFERÊNCIA NOV/19 - LANÇADO PLANILHA GEFIC EM NOV/19;
.
R$ 3.667,71 TELEFONIA FIXA -REFERÊNCIA DEZ/19 - LANÇADO PLANILHA GEFIC EM DEZ/19</t>
  </si>
  <si>
    <t>R$ 16.989,88 ENERGIA - REFERÊNCIA OUT/19 - LANÇADO PLANILHA PAGAMENTO GEFIC EM NOV/19;
.
R$ 14.736,89 ENERGIA - REFERÊNCIA NOV/19 - LANÇADO PLANILHA PAGAMENTO GEFIC EM DEZ/19</t>
  </si>
  <si>
    <t xml:space="preserve">
R$ 7.445,19 - DIFERENÇA DE VALORES DE RH REFERENTE AO MÊS DE OUT/19 LANÇADO NA PLANILHA DE PAGAMENTO/GAOS DEZ/19.</t>
  </si>
  <si>
    <t>PROCESSO SEI:201900010008642 - RESSARCIMENTO DE VALORES DESPENDIDOS COM ENCARGOS DAS RESCISÕES TRAB
ALHISTAS DO HOSPITAL DE DERMATOLOGIA SANITÁRIA E REABILITAÇÃO SANTA MARTA-HDS/AGIR, REFERENTE A JANEIRO/2019.</t>
  </si>
  <si>
    <t>TELEFONIA FIXA -REFERÊNCIA JAN/20 - LANÇADO PLANILHA GEFIC EM JAN/20</t>
  </si>
  <si>
    <t>ENERGIA - REFERÊNCIA DEZ/19 - LANÇADO PLANILHA PAGAMENTO GEFIC EM JAN/20</t>
  </si>
  <si>
    <t>ENEL- Ref.JAN de 2020 lançado na palnila prev.pagamento FEV de 2020</t>
  </si>
  <si>
    <t>ENERGIA - REFERÊNCIA FEV/20 - LANÇADO PLANILHA PAGAMENTO GEFIC EM MAR/20</t>
  </si>
  <si>
    <t>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t>
  </si>
  <si>
    <t>REFERÊNCIA MAR/20 - LANÇADO PLANILHA PAGAMENTO GEFIC EM ABR/20</t>
  </si>
  <si>
    <t>REFERÊNCIA ABR/20 - LANÇADO PLANILHA PAGAMENTO GEFIC EM MAI/20</t>
  </si>
  <si>
    <t>ENERGIA - REFERÊNCIA MAI/20 - LANÇADO PLANILHA PAGAMENTO GEFIC EM JUN/20</t>
  </si>
  <si>
    <t>OI - REFERÊNCIA JUL/20</t>
  </si>
  <si>
    <t>ENERGIA - REFERÊNCIA JUN/20</t>
  </si>
  <si>
    <t>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t>
  </si>
  <si>
    <t>OI - REFERÊNCIA AGO/20</t>
  </si>
  <si>
    <t>ENERGIA - REFERÊNCIA JUL/20</t>
  </si>
  <si>
    <t>OI - REFERÊNCIA SET/20</t>
  </si>
  <si>
    <t>ENERGIA - REFERÊNCIA AGO/20</t>
  </si>
  <si>
    <t>OI - REFERÊNCIA OUT/20 - LANÇADO PLANILHA PAGAMENTO GEFIC EM OUT/20
.
CONSOLIDADO INCLUINDO OS MESES DE FEV A JUN/20</t>
  </si>
  <si>
    <t>ENERGIA - REFERÊNCIA SET/20</t>
  </si>
  <si>
    <t>FOLHA - REFERÊNCIA OUT/20</t>
  </si>
  <si>
    <t>OI - REFERÊNCIA NOV/20</t>
  </si>
  <si>
    <t xml:space="preserve">ENERGIA - REFERÊNCIA OUT/20 </t>
  </si>
  <si>
    <t>OI - REFERÊNCIA DEZ/20</t>
  </si>
  <si>
    <t>ENERGIA - REFERÊNCIA NOV/20</t>
  </si>
  <si>
    <t>OI - REFERÊNCIA JAN/21 - LANÇADO PLANILHA PAGAMENTO GEFIC EM JAN/21</t>
  </si>
  <si>
    <t xml:space="preserve">OI - REFERÊNCIA FEV21 - LANÇADO PLANILHA PAGAMENTO GEFIC EM FEV/21
</t>
  </si>
  <si>
    <t xml:space="preserve">CELG JAN/21 LANÇADO NA PLANILHA DE FEV/21
</t>
  </si>
  <si>
    <t xml:space="preserve">OI - REFERÊNCIA MAR21 - LANÇADO PLANILHA PAGAMENTO GEFIC EM MAR/21
</t>
  </si>
  <si>
    <t xml:space="preserve">CELG FEV/21 LANÇADO NA PLANILHA DE MAR/21
</t>
  </si>
  <si>
    <t xml:space="preserve"> .R$ 247.971,39 - 28/03/2021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</si>
  <si>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</si>
  <si>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</si>
  <si>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</si>
  <si>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</si>
  <si>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</si>
  <si>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</si>
  <si>
    <t>HDS Total</t>
  </si>
  <si>
    <t>CRER</t>
  </si>
  <si>
    <t>(PROC.SOLICITAÇÃO 201700010007066) RESSARCIMENTO GASTO OPME SEM COBERTURA SUS - PAC.VALDEMAR ALVES DA COSTA.</t>
  </si>
  <si>
    <t>R$ 6.604.211,98  Custeio não serão repassada a parcela de set/2017 (R$ 8.669.680,82) devido compensação com os valores disponíveis em caixa da OS conf.memorando nº 259/2017 SEI - SGPF - 03079.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</si>
  <si>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</si>
  <si>
    <t xml:space="preserve">201800010001771 -OPME,ERINEUDA, LENILDA,RAIMUNDA, GESSICA, MARIA DE FAT, MARIZETE, VALDO FRANC. E JEOVA 02 A 09/17 </t>
  </si>
  <si>
    <t>CELG -  Referência OUT/17 R$ 166.774,57  Lançado na Planilha de Previsão Mensal de Repasse - GEFIC de NOV/17 e referência NOV/17 R$ 53.724,25 Lançado na Planilha de Previsão Mensal de Repasse - GEFIC de DEZ/17</t>
  </si>
  <si>
    <t>CELG- Ref.ABR de 2018 lançado na palnila prev.pagamento MAI de 2018</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</si>
  <si>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</si>
  <si>
    <t>RESSARCIMENTO OPME - referente a fornecimento de material/prótese especial, sem cobertura pela Tabela de Procedimentos, Medicamentos e OPM do SUS, utilizados no procedimento cirúrgico realizado na paciente DIONÍZIA XAVIER DE GODOY - Processo nº 201800010002513</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</si>
  <si>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</si>
  <si>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</si>
  <si>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</si>
  <si>
    <t>PROCESSO 201800010008082 RESSARCIMENTO -CRER, MEDIANTE A CT: 053/2018-SE ,DE MATERIAIS DE 
ALTO CUSTO NÃO COBERTOS PELA TABELA SUS</t>
  </si>
  <si>
    <t>Custeio não serão repassada a parcela de OUT/2018 (R$ 8..459.287,02) devido compensação com os valores disponíveis em caixa da OS de acordo com negociação feita entre a AGIR e a SGPF (Lucas) conforme planilha de valores encaminhadas pela OS.</t>
  </si>
  <si>
    <t>Custeio não serão repassada a parcela de NOV/2018 (R$ 396.491,08) devido compensação com os valores disponíveis em caixa da OS de acordo com negociação feita entre a AGIR e a SGPF (Lucas) conforme planilha de valores encaminhadas pela OS.</t>
  </si>
  <si>
    <t>Custeio não serão repassada a parcela de DEZ/2018 (R$ 8..451.660,21) devido compensação com os valores disponíveis em caixa da OS de acordo com negociação feita entre a AGIR e a SGPF (Lucas) conforme planilha de valores encaminhadas pela OS.</t>
  </si>
  <si>
    <t>ENEL :
* R$75.709,01 Diferença (NOV/18) apurada referente a glosa efetuada a menor - mês DEZ/18;
*  R$ 254.708,84 DEZ/18
.
LANÇADO NA PLANILHA DE PAGAMENTO/ MAR/19
ENEL FEV/19......................263.570,71</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</si>
  <si>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</si>
  <si>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REFERÊNCIA JUN/19 - LANÇADO PLANILHA PAGAMENTO GEFIC EM JUL/19</t>
  </si>
  <si>
    <t>R$ 210.838,98 ENERGIA - REFERÊNCIA JUL/19 - LANÇADO PLANILHA PAGAMENTO GEFIC EM AGO/19;
.
R$ 191.024,90 ENERGIA - REFERÊNCIA AGO/19 - LANÇADO PLANILHA PAGAMENTO GEFIC EM SET/19.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</si>
  <si>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t>
  </si>
  <si>
    <t>REFERÊNCIA SET/19 - LANÇADO PLANILHA PAGAMENTO GEFIC EM OUT/19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</si>
  <si>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</si>
  <si>
    <t>PROC.201900010008641 Ressarcimento encargos DAS RESCISÕES TRABALHISTAS CRER/AGIR,referente ao mês de janeiro de 2019.</t>
  </si>
  <si>
    <t>R$ 266.727,76 - ENERGIA - REFERÊNCIA OUT/19 - LANÇADO PLANILHA PAGAMENTO GEFIC EM NOV/19;
.
R$ 253.882,25-  ENERGIA - REFERÊNCIA NOV/19 - LANÇADO PLANILHA PAGAMENTO GEFIC EM DEZ/19</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</si>
  <si>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</si>
  <si>
    <t>Ajuste referente ao  ao convênio nº 11/2018  recurso de contratualização Municipal - FMS - Goiânia recebido pela AGIR/CRER no valor de R$ 3.500.000,00, lançado na planilha de repasse mensal /GAOS de DEZ/19.
referência NOV/19................................................................................R$ -56.537,85.</t>
  </si>
  <si>
    <t>PROCESSO SEI: 201900010006983: RESSARCIMENTO DE VALORES DESPENDIDOS COM ENCARGOS DAS RESCISÕES TRABALHISTAS DO CENTRO DE REABILITAÇÃO E READAPTAÇÃO DR HENRIQUE SANTILLO- CRER/AGIR, REFERENTE AOS MESES DE JAN A DEZ/18</t>
  </si>
  <si>
    <t>ENERGIA - REFERÊNCIA JAN/20 - LANÇADO PLANILHA PAGAMENTO GEFIC EM FEV/20</t>
  </si>
  <si>
    <t>RESSARCIMENTO DE VALORES DESPENDIDOS COM ENCARGOS DAS RESCISÕES TRABALHISTAS DO CENTRO ESTADUAL DE REAB
ILITAÇÃO E READAPTAÇÃO DR. HENRIQUE SANTILLO CRER, REFERENTE AOS MÊS DE FEVEREIRO DE 2019 PROCESSO SEI: 201900010012753.</t>
  </si>
  <si>
    <t>R$ 215.000,00 PARTE  CELG FEV/20, Lançado na planilha de MAR 2020 (TOTAL R$ 217.160,85)</t>
  </si>
  <si>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</si>
  <si>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</si>
  <si>
    <t xml:space="preserve"> R$ 2.160,85, restante CELG FEV 2020 Lançado na planilha MAR 2020 e R$ 190.012,88 - CELG MAR 2020, Lançado na planilha de ABR 2020</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</si>
  <si>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</si>
  <si>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</si>
  <si>
    <t>ENEL- Ref.MAI de 2020 lançado na palnila prev.pagamento JUN de 2020</t>
  </si>
  <si>
    <t>R$ 3.500,000,00 - 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</si>
  <si>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</si>
  <si>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-722.243,20 -Ajuste JUN-20 - LANÇADO PLANILHA JUL-20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</si>
  <si>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t>
  </si>
  <si>
    <t>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</si>
  <si>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AGO-19-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</si>
  <si>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SET-19-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</si>
  <si>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</si>
  <si>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ENERGIA - LANÇADO PLANILHA PAGAMENTO GEFIC EM DEZ/20
.
NOV/20..........................R$217.039,38
DEZ/20..........................R$ 227.033,12</t>
  </si>
  <si>
    <t>Ajuste NOV-20- LANÇADO PLANILHA DEZ-20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</si>
  <si>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</si>
  <si>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</si>
  <si>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</si>
  <si>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R$ 1.915.368,04 -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t>
  </si>
  <si>
    <t>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t>
  </si>
  <si>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</si>
  <si>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</si>
  <si>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</si>
  <si>
    <t>CRER Total</t>
  </si>
  <si>
    <t>FIDI</t>
  </si>
  <si>
    <t xml:space="preserve"> PROC.201700010016270 - refere-se ao dano ao erário na prestação de serviços no período de JAN a DEZ/12, conforme Tomada de Contas Especial.</t>
  </si>
  <si>
    <t>R$ 1.965.652,67 - PARTE DO VALOR CONFORME MEMORANDO Nº175/2018-SGPF/SES, COMPENSAÇÃO DE SALDO VISTO DISPONIBILIDADE DE SALDO FINANCEIRO NECESSÁRIO PARA ENCERRAMENTO  DO ANO  CONTÁBIL.</t>
  </si>
  <si>
    <t>AJUSTE FINANCEIRO POR NÃO CUMPRIMENTO DE METAS:
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</si>
  <si>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</si>
  <si>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</si>
  <si>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</si>
  <si>
    <t>ENEL- Ref.DEZ de 2018lançado na palnila prev.pagamento JAN de 2019</t>
  </si>
  <si>
    <t>Diferença apurada referente a glosa de energia elétrica efetuada a maior - mês DEZ/18, lançada na planilha de JAN de 2019</t>
  </si>
  <si>
    <t>Valor estimado a menor da Folha referência mês anterior, foi ajustado ao valor Lançado na Planilha de Previsão Mensal de Repasse - GEFIC  e efetuado glosa da diferença no montante de R$ 11.726,06 na parcela de ABR de 2019.</t>
  </si>
  <si>
    <t>Valor estimado a menor da Folha referência mês anterior, foi ajustado ao valor Lançado na Planilha de Previsão Mensal de Repasse - GEFIC  e efetuado glosa da diferença no montante de R$ 29.212,94 na parcela de MAI de 2019.</t>
  </si>
  <si>
    <t>Glosa da diferença no montante de R$ 11.726.06 referente a folha de FEV de 2019, devido ao ajuste efetivado entre o valor aplicado e o lançada na planilha de previsão de pagamento - GEFIC da parcela de MAR de 2019.</t>
  </si>
  <si>
    <t>REFERÊNCIA FEV/19 - LANÇADO PLANILHA GEFIC EM MAR19</t>
  </si>
  <si>
    <t>Glosa da diferença no montante de R$ 29.212,94  referente a folha de MAR de 2019, devido ao ajuste efetivado entre o valor aplicado e o lançada na planilha de previsão de pagamento - GEFIC da parcela de ABR de 2019.</t>
  </si>
  <si>
    <t>Valor estimado a menor da Folha referência mês anterior, foi ajustado ao valor Lançado na Planilha de Previsão Mensal de Repasse - GEFIC  e efetuado glosa da diferença no montante de R$  45.040,00na parcela de JUL de 2019.</t>
  </si>
  <si>
    <t>Valor estimado a menor da Folha referência mês anterior, foi ajustado ao valor Lançado na Planilha de Previsão Mensal de Repasse - GEFIC  e efetuado glosa da diferença no montante de R$ 47.371,26  na parcela de AGO  de 2019.</t>
  </si>
  <si>
    <t>Glosa da diferença no montante de R$ 45.040,00  referente a folha de MAI de 2019, devido ao ajuste efetivado entre o valor aplicado e o lançada na planilha de previsão de pagamento - GEFIC da parcela de JUN de 2019.</t>
  </si>
  <si>
    <t>REFERÊNCIA MAI/19 - LANÇADO PLANILHA PAGAMENTO GEFIC EM JUN/19</t>
  </si>
  <si>
    <t>Valor estimado a menor da Folha referência mês anterior, foi ajustado ao valor Lançado na Planilha de Previsão Mensal de Repasse - GEFIC  e efetuado glosa da diferença no montante de R$ 37.355,20 na parcela de SET de 2019.</t>
  </si>
  <si>
    <t>Glosa da diferença no montante de R$ 47.371,26  referente a folha de JUN de 2019, devido ao ajuste efetivado entre o valor aplicado e o lançada na planilha de previsão de pagamento - GEFIC da parcela de JUL de 2019.</t>
  </si>
  <si>
    <t>Glosa da diferença no montante de R$ 37.355,20  referente a folha de JUL de 2019, devido ao ajuste efetivado entre o valor aplicado e o lançada na planilha de previsão de pagamento - GEFIC da parcela de AGO de 2019.</t>
  </si>
  <si>
    <t>R$ 5.693,16 ENERGIA - REFERÊNCIA JUL/19 - LANÇADO PLANILHA PAGAMENTO GEFIC EM AGO/19;
.
R$ 5.765,78 ENERGIA - REFERÊNCIA AGO/19 - LANÇADO PLANILHA PAGAMENTO GEFIC EM SET/19</t>
  </si>
  <si>
    <t>Valor estimado a menor da Folha referência mês anterior, foi ajustado ao valor Lançado na Planilha de Previsão Mensal de Repasse - GEFIC  e efetuado glosa da diferença no montante de R$ 40.106,35  na parcela de DEZ de 2019.</t>
  </si>
  <si>
    <t>Glosa da diferença no montante de R$ 40.106,35  referente a folha de OUT de 2019, devido ao ajuste efetivado entre o valor aplicado e o lançada na planilha de previsão de pagamento - GEFIC da parcela de NOV de 2019.</t>
  </si>
  <si>
    <t>R$ 7.025,11 - ENERGIA - REFERÊNCIA OUT/19 - LANÇADO PLANILHA PAGAMENTO GEFIC EM NOV/19;
.
R$ 6.196,67 ENERGIA - REFERÊNCIA NOV/19 - LANÇADO PLANILHA PAGAMENTO GEFIC EM DEZ/19</t>
  </si>
  <si>
    <t>Folha  Lançado na Planilha de Previsão Mensal de Repasse - GAOS - JAN/20 $ 941.818,79  REFERÊNCIA DEZ LANÇADO NA PLANILHA/GAOS  ;
Folha  Lançado na Planilha de Previsão Mensal de Repasse - GAOS - JAN/20 COMLEMENTO: R$ 537.787,37 REFERÊNCIA JAN/19(FOLHA: HDT, HGG, HMI-HUAPA) e 
R$ 274.217,75 FOLHA DE PAGAMENTO HUGO (19 DIAS) REFERÊNCIA JAN/20 
OBS: FOI ENVIADO DUAS PLANILHA DE PAGAMETO PELA GAOS</t>
  </si>
  <si>
    <t>R$ 6.280,86 ENERGIA - REFERÊNCIA DEZ/19 - LANÇADO PLANILHA PAGAMENTO GEFIC EM JAN/20;
.
R$ 5.967,08 - REFERÊNCIA JAN/19 - LANÇADO PLANILHA PAGAMENTO GEFIC EM JAN/20;</t>
  </si>
  <si>
    <t>FIDI Total</t>
  </si>
  <si>
    <t>IDTECH</t>
  </si>
  <si>
    <t>HGG</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</si>
  <si>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</si>
  <si>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R$ 741.653,41, conforme Memorando nº: 74/2018 SEI - COGER- 06518 no  Processo nº 201700010019523.</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</si>
  <si>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R$ 664.625,09, conforme Memorando nº: 74/2018 SEI - COGER- 06518 no  Processo nº 201700010019523.</t>
  </si>
  <si>
    <t>PROC.201700010010630 - RESSARC.VERBAS RECISÓRIAS PAGAS EM 14 A 31/03/17 47.073,34, - ABR/17 43.196,02 E MAI/17 27.855,72</t>
  </si>
  <si>
    <t>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 RESSARCIMENTO MATERIAL  OPME PARA TRATAMENTO CIRURGICO  POR DECISÃO JUDICIAL A PACIENTE  LAILDE ROSÁRIO LOPES  NO PERÍODO DE 26/06 A 10/07/17 NO PROCESSO Nº201700010013584 R$ 39.400,00.</t>
  </si>
  <si>
    <t>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t>
  </si>
  <si>
    <t>CELG- R$ 51.461,48  Ref.OUT de 2017, lançado na palnila prev.pagamento NOVde 2017 e R$ 54.823,20 Ref.NOV de 2017, lançado na palnila prev.pagamento DEZ de 2017</t>
  </si>
  <si>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</si>
  <si>
    <t>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</si>
  <si>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</si>
  <si>
    <t>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</si>
  <si>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ressarcimento no valor de R$ 381.975,06 acerca dos pagamentos dos encargos das rescisões trabalhistas, referentes ao mês de  JUNHO A OUTUBRO de  2017 processo: 201700010026332.</t>
  </si>
  <si>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</si>
  <si>
    <t xml:space="preserve">AJUSTE FINANCEIRO POR NÃO CUMPRIMENTO DE METAS:
PROC.201700010027148 -PERIODO DE MAR/2016 A MAR/17 R$ 3.748.072,74 (DIVIDIDO EM 6 PARCELA DE R$ 624.678,79)  CONF.PARECER TÉCNICO Nº 049/2017 - COMACG/SES -GO E MEMO 2664/2018 SEI - SGPF - 03079 </t>
  </si>
  <si>
    <t>R$ 624.678,79 - AJUSTE FINANCEIRO POR NÃO CUMPRIMENTO DE METAS:
PROC.201700010027148 -PERIODO DE MAR/2016 A MAR/17 R$ 3.748.072,74 (DIVIDIDO EM 6 PARCELA DE R$ 624.678,79)  CONF.PARECER TÉCNICO Nº 049/2017 - COMACG/SES -GO E MEMO 2664/2018 SEI - SGPF - 03079 
.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</si>
  <si>
    <t xml:space="preserve">
 R$ 2.100.672,78 - RCONFORME MEMORANDO Nº178/2018-SGPF/SES, COMPENSAÇÃO DE SALDO VISTO DISPONIBILIDADE DE SALDO FINANCEIRO NECESSÁRIO PARA ENCERRAMENTO  DO ANO  CONTÁBIL.</t>
  </si>
  <si>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</si>
  <si>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</si>
  <si>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</si>
  <si>
    <t>R$ 624.678,79 - AJUSTE FINANCEIRO POR NÃO CUMPRIMENTO DE METAS:
PROC.201700010027148 -PERIODO DE MAR/2016 A MAR/17 R$ 3.748.072,74 (DIVIDIDO EM 6 PARCELA DE R$ 624.678,79)  CONF.PARECER TÉCNICO Nº 049/2017 - COMACG/SES -GO E MEMO 2664/2018 SEI - SGPF - 03079 
.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</si>
  <si>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t>
  </si>
  <si>
    <t>Energia elétrica, reembolso referente a juros e multas - faturas 12 2017 e 01 2018 proc.201800010036742, lançada na planilha de previsão de repasse JAN de 2019</t>
  </si>
  <si>
    <t>Valor estimado a menor da Folha referência mês anterior, foi ajustado ao valor Lançado na Planilha de Previsão Mensal de Repasse - GEFIC  e efetuado glosa da diferença no montante de R$ 2.669,38 na parcela de MAR de 2019.</t>
  </si>
  <si>
    <t xml:space="preserve">Glosa da diferença no montante de R$ 2.669,38  referente a folha de JAN de 2019, devido ao ajuste efetivado entre o valor aplicado e o lançada na planilha de previsão de pagamento - GEFIC da parcela de FEV de 2019.
</t>
  </si>
  <si>
    <t>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t>
  </si>
  <si>
    <t>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t>
  </si>
  <si>
    <t>ENERGIA - REFERÊNCIA JUN/19 - LANÇADO PLANILHA PAGAMENTO GEFIC EM JUL/19</t>
  </si>
  <si>
    <t>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t>
  </si>
  <si>
    <t xml:space="preserve">ENERGIA - 
R$ 117.978,73 REFERÊNCIA JUL/19 - LANÇADO PLANILHA PAGAMENTO GEFIC EM AGO/19;
.
R$ 131.601,17 REFERÊNCIA AGO/19 - LANÇADO PLANILHA PAGAMENTO GEFIC EM SET/19.
</t>
  </si>
  <si>
    <t xml:space="preserve">
R$ 6.029,02 AJUSTE DIFERENÇA FOLHA MÊS ANTERIOR, REFERÊNCIA SET/19 - LANÇADO PLANILHA PAGAMENTO GEFIC EM OUT/19, CONF.MEMO 409/19 - PROC.201900010033219</t>
  </si>
  <si>
    <t>RESSARCIMENTO DE VALORES PAGOS AOS PROFISSIONAIS DO HOSPITAL ESTADUAL GERAL DE GOIÂNIA DR. ALBERTO RASSI - HGG, REFERENTE AO MÊS DE AGOSTO DE 2018
.
R$ 12.864,08 PROCESSO 201800010032637 - RESSARCIMENTO DE VALORES COM ENCARGOS DE RESCISÕES TRABALHISTAS DO HGG, MÊS 07/2018</t>
  </si>
  <si>
    <t>RESSARCIMENTO DE VALORES DESPENDIDOS PARA A REALIZAÇÃO DE TRANSPLANTES DE RIM E FÍGADO NO HOSPITAL ESTADUAL GERAL DE GOIÂNIA DR. ALBERTO RASSI (HGG), REF. AO PERÍODO DE 01/08/2019 À 30/09/2019. PROCESSO SEI Nº201900010038188</t>
  </si>
  <si>
    <t xml:space="preserve">
R$ 154.699,81 - ENERGIA - REFERÊNCIA SET/19 - LANÇADO PLANILHA PAGAMENTO GEFIC EM OUT/19.
.
R$ 141.675,98 - ENERGIA - REFERÊNCIA NOV/19 - LANÇADO PLANILHA PAGAMENTO GEFIC EM DEZ/19</t>
  </si>
  <si>
    <t xml:space="preserve">
R$ 770.690,36 - ressarcimento de valores glosados da equipe de médicos transplantadores lotada no Hospital Estadual Geral de Goiânia Dr. Alberto Rassi (HGG),  referentes ao período de 13/03/2019 à 30/09/2019, Processo nº 201900010040989.</t>
  </si>
  <si>
    <t xml:space="preserve">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</si>
  <si>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</si>
  <si>
    <t>ENERGIA - REFERÊNCIA FEV20 - LANÇADO PLANILHA PAGAMENTO GEFIC EM MAR/20</t>
  </si>
  <si>
    <t>R$271.119,61 -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</si>
  <si>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Ref.MAR de 2020 lançado na palnila prev.pagamento ABR de 2020</t>
  </si>
  <si>
    <t xml:space="preserve"> R$44.196,27 -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</si>
  <si>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Ref.ABR de 2020 lançado na palnila prev.pagamento MAI de 2020</t>
  </si>
  <si>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</si>
  <si>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t>
  </si>
  <si>
    <t>ENEL- Ref.MAI de 2020 lançado na palnila prev.pagamento JUNde 2020</t>
  </si>
  <si>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</si>
  <si>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</si>
  <si>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</si>
  <si>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PROC.202000010003412 - AQUISIÇÃO DE 1 (UM) APARELHO DE MAMOGRAFIA E DE 1 (UMA) IMPRESSORA DRY, PARA HGG</t>
  </si>
  <si>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</si>
  <si>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PROCESSO: 202000010020001 . OBJETO: REPASSE DE RECURSOS FINANCEIROS À ORGANIZAÇÃO SOCIAL INSTITUTO DE DESENVOLVIMENTO TECNOLÓGICO E HUMANO - IDTECH, A TÍTULO DE INVESTIMENTO PARA AQUISIÇÃO DE 2 (DUAS) AMBULÂNCIAS</t>
  </si>
  <si>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</si>
  <si>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</si>
  <si>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ENERGIA - LANÇADO PLANILHA PAGAMENTO GEFIC EM DEZ/20
.
NOV/20..........................R$ 119.328,26
DEZ/20..........................R$ 138.208,11
</t>
  </si>
  <si>
    <t>.R$ 413.496,29 -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</si>
  <si>
    <t>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t>
  </si>
  <si>
    <t xml:space="preserve">RESTITUIÇÃO REF.A  GLOSA INDEVIDA ATINENTE A SERVIDORES QUE ATUAM NA C.ESTAD. NOTIFICAÇÃO, CAPTAÇÃO E DISTRIBUIÇÃO DE ORGÃOS DE GOIÁS (CNCDO-GO), CONFORME DESPACHO 203/2021 SGI - PROC.202000010019868 E DESPACHO 205/2021 SGI PROC.202000010019888
</t>
  </si>
  <si>
    <t>R$ 379.569,05 - PROCESSO: 202000010006118 - RESSARCIMENTO DE RECURSOS REFERENTE AO CUSTEIO DE TRANSPLANTES DO HOSPITAL GERAL DE GOIÂNIA DR.ALBERTO RASSI - HGG DE JANEIRO DE 2021.
DOCUMENTAÇÃO: REQUISIÇÃO DE DESPESA N° 115/2021 GAOS, DESPACHO Nº 2299/202
1 SGI, ANEXO II.</t>
  </si>
  <si>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</si>
  <si>
    <t xml:space="preserve">PROCESSO: 202000010006118 - RESSARCIMENTO DE RECURSOS REFERENTE AO CUSTEIO DE TRANSPLANTES DO HOSPITAL GERAL DE GOIÂNIA DR.ALBERTO RASSI - HGG DE FEVEREIRO DE 2021.................................R$ 499.175,08
DOCUMENTAÇÃO: REQUISIÇÃO DE DESPESA N° 115/2021 GAOS, DESPACHO Nº 2299/202
1 SGI, ANEXO II.
</t>
  </si>
  <si>
    <t>PROCESSO: 202000010006118 - RESSARCIMENTO DE RECURSOS REFERENTE AO CUSTEIO DE TRANSPLANTES DO HOSPITAL GERAL DE GOIÂNIA DR.ALBERTO RASSI - HGG DE 01 A 12/03 DE 2021.................................R$ 101.405,46</t>
  </si>
  <si>
    <t>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t>
  </si>
  <si>
    <t>R$ 7.896.238,31 - REGULARIZAÇÃO DE DESPESA PARA REPASSE DO CUSTEIO E REDIDÊNCIA MÉDICA PELO PERÍODO DE 13/03/2021 A 31/03/2021, RELATIVA AO 14º TERMO ADITIVO AO CONTRATO DE GESTÃO Nº 024/2012 - SES/GO A PARTIR DE 13/03/2021, A SER FIRMADO ENTRE O ESTADO DE GOIÁS, ATRAVÉS DA SECRETARIA DE ESTADO DA SAÚDE - SES/GO E O INSTITUTO DE DESENVOLVIMENTO TECNOLÓGICO E HUMANO - IDTECH, PARA O GERENCIAMENTO, OPERACIONALIZAÇÃO E EXECUÇÃO DAS AÇÕES NO HOSPITAL GERAL DE GOIÂNIA DR. ALBERTO RASSI  - HGG. . DOCUMENTOS:CONFORME REQUISIÇÃO DE DESPESA N° 67/2021 – SUPER, ANEXO II, DESPACHO Nº 1826/2021 - SGI , TERMO DE RECONHECIMENTO DE DÍVIDA, PROC.202100010014480
.
R$ 202.325,21 -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SGI..REPASSE - MARÇO 2021 (13/03/2021 a 31/03/2021)- TRANSPLANTES.PROC.202000010006118.</t>
  </si>
  <si>
    <t xml:space="preserve">R$ 2.909.140,43 - REGULARIZAÇÃO DE DESPESA PARA REPASSE DO CUSTEIO E REDIDÊNCIA MÉDICA PELO PERÍODO DE 13/03/2021 A 31/03/2021, proc.202100010014480
.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SGI..ABRIL/2021, TRANSPLANTES DE
RINS.............................R$ 591.516,24ABRIL/2021, TRANSPLANTES DE F
ÍGADO...........................R$ 202.945,89
</t>
  </si>
  <si>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PROC.202100010014480
.
.R$ 362.031,10 - REPASSE DE RECURSOS FINANCEIROS REFERENTE AO CUSTEIO DOS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HGG.REPASSE REG.DESPESA RES.MEDICA - HGG - PERÍODO DE 01/05/2021 A 31/05/2021.PROC.202100010014480
.
R$ 276.089,69 - REGULARIZAÇÃO DE DESPESA DESTINADOS AO INSTITUT
O DE DESENVOLVIMENTOTECNOLÓGICO E HUMANO - IDTECH, ORGANIZAÇÃO SOCIAL RESPONSÁVEL PELA GESTÃODO HOSPITAL GERAL DE GOIÂNIA DR.ALBERTO RASSI - HGG PARA RESSARCIMENTO DETRANSPLANTES DE RINS REFERENTE AO MÊS DE MAIO DE 2021.REGULARIZAÇÃO DE MAIO/2021.............R$ 276.089,69.DOCUMENTAÇÃO: REQUISIÇÃO DE DES
PESA 169/2021 - GAOS, DESPACHO Nº 3816/2021- SGI, DESPACHO Nº 1406/2021 - SUPER, DESPACHO Nº 3890/2021 - SGI.PROC.202100010025517
.
R$ 101.945,45 - REGULARIZAÇÃO DE DESPESA AO INSTITUTO DE DESENV
OLVIMENTO TECNOLÓGICO E HUMANO - IDTECH, ORGANIZAÇÃO SOCIAL RESPONSÁVEL PELA GESTÃO DO HOSPITAL GERAL DE GOIÂNIA DR.ALBERTO RASSI - HGG PARA RESSARCIMENTO DE TRANSPLANTES DE FÍGADO REFERENTE AO MÊS DE MAIO DE 2021. REGULARIZAÇÃO
DE MAIO/2021.....R$ 101.945,45.DOCUMENTOS: REQUISIÇÃO DE DESPESA Nº 170/2021 - GAOS, DESPACHO Nº 1410/2021-SUPER, DESPACHO Nº 3911/2021 - SGI, PROC.202100010025518.
</t>
  </si>
  <si>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t>
  </si>
  <si>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</si>
  <si>
    <t>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t>
  </si>
  <si>
    <t>.R$ 6.564.280,88 -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t>
  </si>
  <si>
    <t>HGG Total</t>
  </si>
  <si>
    <t>IGH</t>
  </si>
  <si>
    <t>HMI</t>
  </si>
  <si>
    <t>1ª MEDIÇÃO ABR/17 - OBRAS E CUSTEIO DE REFORMAS E ADEQUAÇÕES RECOMENDADAS PELO CORPO DE BOMBEIROS MILITAR DO ESTADO DE GOIÁS NO HMI E REFORMAS E ADEQUAÇÕES RECOMENDADAS PELO CORPO DE BOMBEIROS MILITAR DO ESTADO</t>
  </si>
  <si>
    <t>2ª MEDIÇÃO MAI/17 - OBRAS E CUSTEIO DE REFORMAS E ADEQUAÇÕES RECOMENDADAS PELO CORPO DE BOMBEIROS MILITAR DO ESTADO DE GOIÁS NO HMI E REFORMAS E ADEQUAÇÕES RECOMENDADAS PELO CORPO DE BOMBEIROS MILITAR DO ESTADO</t>
  </si>
  <si>
    <t xml:space="preserve">
3ª MEDIÇÃO JUN/17 - OBRAS E CUSTEIO DE REFORMAS E ADEQUAÇÕES RECOMENDADAS PELO CORPO DE BOMBEIROS MILITAR DO ESTADO DE GOIÁS NO HMI E REFORMAS E ADEQUAÇÕES RECOMENDADAS PELO CORPO DE BOMBEIROS MILITAR DO ESTADO</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</si>
  <si>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</si>
  <si>
    <t>4ª MEDIÇÃO JUL/17 - OBRAS E CUSTEIO DE REFORMAS E ADEQUAÇÕES RECOMENDADAS PELO CORPO DE BOMBEIROS MILITAR DO ESTADO DE GOIÁS NO HMI E REFORMAS E ADEQUAÇÕES RECOMENDADAS PELO CORPO DE BOMBEIROS MILITAR DO ESTADO</t>
  </si>
  <si>
    <t>GLOSA REF.AO FORNECIMENTO EM SET/17.</t>
  </si>
  <si>
    <t>GLOSA REF.AO FORNECIMENTO EM OUT/17.R$ 52.913,31 E NOV/17 12.433,26</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</si>
  <si>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</si>
  <si>
    <t>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</si>
  <si>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</si>
  <si>
    <t>R$ 35.500,00 INVESTIMENTO, PARA A AQUISIÇÃO DE 01 (UM) EQUIPAMENTO CÂMARA FRIA (PROCESSO 201700010025218) A SER DESTINADO AO CENTRO DE REFERÊNCIA 
PARA IMUNOBIOLÓGICOS ESPECIAIS- CRIE/ HMI</t>
  </si>
  <si>
    <t>PROC.201700010020682 DAS RESCISÕES TRABALHISTA 
S DO - HMI, REFERENTE AOS MESES DE MAIO E JUNHO DE 2017</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</si>
  <si>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</si>
  <si>
    <t>REDUÇÃO EFETUADA VISTO QUE NÃO HOUVE PRODUÇÃO NO MÊS DE SET/18 REFERENTE AO PROJETO SAÚDE PARA TODOS  OS GOIANOS CONFORME:
PROC. 201900010013494 - Memorando nº: 82/2019 - COGER- 06518</t>
  </si>
  <si>
    <t>R$ 240.228,64 REDUÇÃO EFETUADA VISTO QUE NÃO HOUVE PRODUÇÃO NO MÊS DE OUT/18 REFERENTE AO PROJETO SAÚDE PARA TODOS  OS GOIANOS CONFORME:
PROC. 201800010046837 - Despacho nº: 86/2019 - CER- 03099
.
R$ 1.316.895,75  GLOSA PELO NÃO CUMPRIMENTO DE METAS NO PERÍODO AVALIADO DE 01/07 A 31/12/18, CONF.PARECER COMFIC- 03854 Nº 3/2019 E Memorando nº: 1211/2019 - SGPF- 03079 NO PROC.201900010014042.</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</si>
  <si>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</si>
  <si>
    <t>REDUÇÃO EFETUADA VISTO QUE NÃO HOUVE PRODUÇÃO NO MÊS DE NOV/18 REFERENTE AO PROJETO SAÚDE PARA TODOS  OS GOIANOS CONFORME:
PROC. 201800010046837 - Despacho nº: 86/2019 - CER- 03099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</si>
  <si>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</si>
  <si>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
REDUÇÃO EFETUADA VISTO QUE NÃO HOUVE PRODUÇÃO NO MÊS DE DEZ/18 REFERENTE AO PROJETO SAÚDE PARA TODOS  OS GOIANOS CONFORME:
PROC. 201800010046837 - Despacho nº: 86/2019 - CER- 03099...............................................R$ 240.228,64
.
GLOSA DA DIFERENÇA NO VALOR DE R$ 858.048,68 ,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</si>
  <si>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</si>
  <si>
    <t>R$ 56.674,66 - CELG - REFERÊNCIA ABR/19 - LANÇADO PLANILHA GEFIC EM MAI/19;
.
R$ 53.241,86 CELG - REFERÊNCIA MAI/19 - LANÇADO PLANILHA GEFIC EM JUN/19</t>
  </si>
  <si>
    <t>Valor estimado a menor da Folha referência mês anterior, foi ajustado ao valor Lançado na Planilha de Previsão Mensal de Repasse - GEFIC  e efetuado glosa da diferença no montante de R$ 54.371,38  na parcela de SET de 2019.</t>
  </si>
  <si>
    <t>Glosa da diferença no montante de R$ R$ 54.371,38  referente a folha de JUL de 2019, devido ao ajuste efetivado entre o valor aplicado e o lançada na planilha de previsão de pagamento - GEFIC da parcela de AGO de 2019.</t>
  </si>
  <si>
    <t>ENEL- Ref.AGO de 2019 lançado na palnila prev.pagamento SET de 2019</t>
  </si>
  <si>
    <t>Valor estimado a menor da Folha referência mês anterior, foi ajustado ao valor Lançado na Planilha de Previsão Mensal de Repasse - GEFIC  e efetuado glosa da diferença no montante de R$ 111.330,88 na parcela de NOV de 2019.</t>
  </si>
  <si>
    <t>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
R$ 208.734,99 - RESSARCIMENTO DE VALORES DESPENDIDOS COM ENCARGOS DAS RESCISÕES TRABALHISTAS DO  HMI, DOS MESES DE outubro, novembro e dezembro de 2017, Processo nº 201800010012591.</t>
  </si>
  <si>
    <t>Glosa da diferença no montante de R$ 111.330,88  referente a folha de SET de 2019, devido ao ajuste efetivado entre o valor aplicado e o lançada na planilha de previsão de pagamento - GEFIC da parcela de OUT de 2019.</t>
  </si>
  <si>
    <t>R$ 157.523,06 - RESSARCIMENTO DE VALORES DESPENDIDOS COM ENCAR
GOS DAS RESCISÕES TRABALHISTAS DO HOSPITAL ESTADUAL MATERNO-INFANTIL DR. JURANDIR DO NASCIMENTO - HMI, REFERENTES AOS MESES DE OUTUBRO, NOVEMBRO E DEZEMBRO DE 2018, PROC: 201900010008042.</t>
  </si>
  <si>
    <t>R$ 63.125,15 - ENERGIA - REFERÊNCIA OUT/19 - LANÇADO PLANILHA PAGAMENTO GEFIC EM NOV/19
.
R$ 58.409,88 - ENERGIA - REFERÊNCIA NOV/19 - LANÇADO PLANILHA PAGAMENTO GEFIC EM DEZ/19
.
R$ 49.493,04
- ENERGIA - REFERÊNCIA DEZ/19 - LANÇADO PLANILHA PAGAMENTO GEFIC EM JAN/20</t>
  </si>
  <si>
    <t>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</si>
  <si>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</si>
  <si>
    <t>Valor estimado a menor da Folha referência mês anterior, foi ajustado ao valor Lançado na Planilha de Previsão Mensal de Repasse - GEFIC  e efetuado glosa da diferença no montante de R$ 184.698,79 na parcela de ABR de 2020.</t>
  </si>
  <si>
    <t>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t>
  </si>
  <si>
    <t>R$ 128.162,41 -  ENCARGOS DAS RESCISÕES TRABALHISTAS DO - HMI, REFERENTES AOS MESES DE JULHO A DE AGOSTO DE 2019. .  . .PROC 201900010037716.
.
R$ 80.976,25 - RESSARCIMENTO ENCARGOS DAS RESCISÕES TRABALHISTAS DO HOSPITAL ESTADUAL HMI, REFERENTES AO MÊS DE SETEMBRO DE 2019. . . .PROC 201900010041261.
.
R$ 141.100,52 - RESSARCIMENTO D ENCARGOS DAS RESCISÕES TRABALHISTAS DO HMI, DOS MESES DE JANEIRO A MARÇO DE 2019. . . PROC .201900010018404.
.
R$ 13.880,47 - R ENCARGOS DAS RESCISÕES TRABALHISTAS DO HHMI. . PARCELA UNICA: REFERENTE AO MÊS DE NOVEMBRO DE 2019.  . PROC 202000010002875.
.
R$ 208.688,33 - S RESCISÕES TRABALHISTAS DO HOSPITAL ESTADUAL MATERNO-INFANTIL DR. JURANDIR DO NASCIMENTO - HMI, . REFERENTES AO MÊS DE MAIO DE 2019. . . PROC 201900010024437.
.
R$ 355.279,30 - RESSARCIMENTO  RESCISÕES TRABALHISTAS DO  HMI, REFERENTES AO MÊS DE JUNHO DE 2019 . PROC 201900010028132
.
R$ 56.570,82 -  ENCARGOS DAS RES TRABALHISTAS DO HMI, REFERENTES AO MÊS DE ABRIL DE 2019. -PROC 201900010020360.
.
R$ 184.138,62 -  RESSARCIMENTO DE VALORES DESPENDIDOS COM ENCARGOS DAS RESCISÕES TRABALHISTAS DO -HMI, REFERENTE AO MÊS DE DEZEMBRO DE 2019. .0 . PROC 202000010002876</t>
  </si>
  <si>
    <t>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t>
  </si>
  <si>
    <t>Valor estimado a menor da Folha referência mês anterior, foi ajustado ao valor Lançado na Planilha de Previsão Mensal de Repasse - GEFIC  e efetuado glosa da diferença no montante de R$ 17.718,70 na parcela de MAI de 2020.</t>
  </si>
  <si>
    <t>R$ DIFERENÇA GLOSA DE FOLHA FEV/20 LANÇADA NA PLANILHA DE PREVISÃO DE PAGAMENTO MAR/20 DA GEFIC (O PAGAMENTO PASSOU A SER REALIZADO DENTRO DO MÊS DE REFERÊNCIA POR ISSO FOI LANÇADA GLOSA ESTIMADA PREVISTA NO CONTRATO DE GESTÃO)</t>
  </si>
  <si>
    <t>ENEL- Ref.MAR de 2019 lançado na palnila prev.pagamento ABR de 2019</t>
  </si>
  <si>
    <t>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t>
  </si>
  <si>
    <t>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t>
  </si>
  <si>
    <t>Valor estimado a menor da Folha referência mês anterior, foi ajustado ao valor Lançado na Planilha de Previsão Mensal de Repasse - GEFIC  e efetuado glosa da diferença no montante de R$ 60.272,88 na parcela de JUN de 2020.</t>
  </si>
  <si>
    <t>R$ DIFERENÇA GLOSA DE FOLHA MAR/20 LANÇADA NA PLANILHA DE PREVISÃO DE PAGAMENTO ABR/20 DA GEFIC (O PAGAMENTO PASSOU A SER REALIZADO DENTRO DO MÊS DE REFERÊNCIA POR ISSO FOI LANÇADA GLOSA ESTIMADA PREVISTA NO CONTRATO DE GESTÃO)</t>
  </si>
  <si>
    <t>Valor estimado a menor da Folha referência mês anterior, foi ajustado ao valor Lançado na Planilha de Previsão Mensal de Repasse - GEFIC  e efetuado glosa da diferença no montante de R$ 17.441,09 na parcela de JUL de 2020.</t>
  </si>
  <si>
    <t>R$ DIFERENÇA GLOSA DE FOLHA ABR/20 LANÇADA NA PLANILHA DE PREVISÃO DE PAGAMENTO MAI/20 DA GEFIC (O PAGAMENTO PASSOU A SER REALIZADO DENTRO DO MÊS DE REFERÊNCIA POR ISSO FOI LANÇADA GLOSA ESTIMADA PREVISTA NO CONTRATO DE GESTÃO)</t>
  </si>
  <si>
    <t>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</si>
  <si>
    <t>Valor estimado a menor da Folha referência mês anterior, foi ajustado ao valor Lançado na Planilha de Previsão Mensal de Repasse - GEFIC  e efetuado glosa da diferença no montante de R$ 79.116,42 na parcela de AGO de 2020.</t>
  </si>
  <si>
    <t>DIFERENÇA GLOSA DE FOLHA MAI/20 LANÇADA NA PLANILHA DE PREVISÃO DE PAGAMENTO JUN/20 DA GEFIC</t>
  </si>
  <si>
    <t>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</si>
  <si>
    <t>PROC.201900010046725 - ITENS 1Licença de Uso Perpétuas E 3 Implantação do Cloud HMI 
.</t>
  </si>
  <si>
    <t>Valor estimado a menor da Folha referência mês anterior, foi ajustado ao valor Lançado na Planilha de Previsão Mensal de Repasse - GEFIC  e efetuado glosa da diferença no montante de R$ 105.867,41 na parcela de SET de 2020.</t>
  </si>
  <si>
    <t xml:space="preserve">DIFERENÇA GLOSA DE FOLHA JUN/20 LANÇADA NA PLANILHA DE PREVISÃO DE PAGAMENTO JUL/20 DA GEFIC </t>
  </si>
  <si>
    <t xml:space="preserve">PROC 202000010024994 - RESCISÕES TRABALHISTAS - JUN-20 
</t>
  </si>
  <si>
    <t>Valor estimado a menor da Folha referência mês anterior, foi ajustado ao valor Lançado na Planilha de Previsão Mensal de Repasse - GEFIC  e efetuado glosa da diferença no montante de R$ 161.749,96 na parcela de OUT de 2020.</t>
  </si>
  <si>
    <t>DIFERENÇA GLOSA DE FOLHA JUL/20 LANÇADA NA PLANILHA DE PREVISÃO DE PAGAMENTO AGO/20 DA GEFIC</t>
  </si>
  <si>
    <t>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t>
  </si>
  <si>
    <t>Valor estimado a menor da Folha referência mês anterior, foi ajustado ao valor Lançado na Planilha de Previsão Mensal de Repasse - GEFIC  e efetuado glosa da diferença no montante de R$ 164.211,49 na parcela de NOV de 2020.</t>
  </si>
  <si>
    <t>DIFERENÇA GLOSA DE FOLHA AGO/20 LANÇADA NA PLANILHA DE PREVISÃO DE PAGAMENTO SET/20 DA GEFIC</t>
  </si>
  <si>
    <t>DIFERENÇA FOLHA - REFERÊNCIA SET/20 - LANÇADO PLANILHA PAGAMENTO GEFIC EM OUT/20 e O EFETUADO NO MÊS OUT/20.</t>
  </si>
  <si>
    <t>ENERGIA - LANÇADO PLANILHA PAGAMENTO GEFIC EM DEZ/20
.
NOV/20..........................R$48.361,29
DEZ/20..........................R$ 51.219,68</t>
  </si>
  <si>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</si>
  <si>
    <t xml:space="preserve">  R$ 3.135.307,84 - PARTE DA  FOLHA - REFERÊNCIA MAR/21 (R$ 3.180.367,82)- LANÇADO PLANILHA PAGAMENTO GEFIC EM ABR/21 foi aplicada na parcela de JUN/21.
</t>
  </si>
  <si>
    <t>CELG MAR/21 LANÇADO NA PLANILHA DE ABR/21</t>
  </si>
  <si>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</si>
  <si>
    <t>CELG ABR/21 LANÇADO NA PLANILHA DE MAI/21</t>
  </si>
  <si>
    <t xml:space="preserve">DIFERENÇA - FOLHA - REFERÊNCIA MAR/21- LANÇADO PLANILHA PAGAMENTO GEFIC EM ABR/21.
</t>
  </si>
  <si>
    <t xml:space="preserve">CELG MAI/21 LANÇADO NA PLANILHA DE JUN/21
</t>
  </si>
  <si>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</si>
  <si>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</si>
  <si>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t>
  </si>
  <si>
    <t>.R$ 10.881.681,83 -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t>
  </si>
  <si>
    <t>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t>
  </si>
  <si>
    <t>HMI Total</t>
  </si>
  <si>
    <t>MNSL</t>
  </si>
  <si>
    <t xml:space="preserve"> OI -JAN - 2017 R$ 2.695,29 e FEV - 2017 R$ 2.672,09 - LANÇADO NA PLANILHA MENSAL DE PREVISÃO DE REPASSE - GAOS</t>
  </si>
  <si>
    <t xml:space="preserve">OI MAR 2017, Lançado na Planilha de Previsão Mensal de Repasse - GEFIC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</si>
  <si>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</si>
  <si>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</si>
  <si>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</si>
  <si>
    <t>GLOSA REF.AO FORNECIMENTO EM SET/17, LANÇADA NA PLANILHA OUT 2017</t>
  </si>
  <si>
    <t>OI - REF.DEZ 2017, LANÇADO NA PLANILHA DEZ 201</t>
  </si>
  <si>
    <t>GLOSA REF.AO FORNECIMENTO EM OUT/17 R$ 12.655,68 E NOV/17 R$ 2.351,61.</t>
  </si>
  <si>
    <t>OI - ref.MAI de 2018, lançado na planilha prev.pagamento MAI de 2018.</t>
  </si>
  <si>
    <t>PROC.201800010008192 RESSARCIMENTO COM RESCISÕES TRABALHISTAS/MNSL OCORRIDAS MESES DE MAIO E JUNHO DE 2017</t>
  </si>
  <si>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</si>
  <si>
    <t>R$ 58.606,66 GLOSA REFERENTE AO RESSARCIMENTO AO ERÁRIO PELA IGH DOS VALORES SALARIAIS PERCEBIDOS ACIMA DO TETO CONSTITUCIONAL PELA FUNCIONÁRIA RITA DE CÁSSIA LEAL DE SOUZA, NO PERIODO DE JUN/2016 A MAR/19, CONFORME MEMO Nº1311/19 - SCAGES -3082 NO PROC.201700010020909.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</si>
  <si>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</si>
  <si>
    <t>ENEL:
* R$ 2.690,48 Diferença (NOV/18) apurada referente a glosa efetuada a menor - mês DEZ/18;
* R$ 12.880,60 DEZ/18.</t>
  </si>
  <si>
    <t>Diferença apurada referente a glosa de telefonia efetuada a maior - mês DEZ/18, lançadana planilha JAN de 2019</t>
  </si>
  <si>
    <t>TELEFONIA FIXA -REFERÊNCIA MAR/19 - LANÇADO PLANILHA GEFIC EM MAR/19</t>
  </si>
  <si>
    <t>TELEFONIA FIXA -REFERÊNCIA ABR/19 - LANÇADO PLANILHA GEFIC EM ABR/19</t>
  </si>
  <si>
    <t>R$ 2.155,72 TELEFONIA FIXA -REFERÊNCIA MAI/19 - LANÇADO PLANILHA GEFIC EM MAI/19
.
R$ 1.925,13 TELEFONIA FIXA -REFERÊNCIA JUN/19 - LANÇADO PLANILHA GEFIC EM JUN/19</t>
  </si>
  <si>
    <t>R$ 15.216,21 REFERÊNCIA ABR/19 - LANÇADO PLANILHA GEFIC EM MAI/19
.
R$ 13.907,84 REFERÊNCIA MAI19 - LANÇADO PLANILHA GEFIC EM JUN/19</t>
  </si>
  <si>
    <t>R$ 2.051,69 TELEFONIA FIXA -REFERÊNCIA JUL/19 - LANÇADO PLANILHA GEFIC EM JUL/19
.
R$ 206,26 TELEFONIA FIXA -REFERÊNCIA JUN/19 - LANÇADO PLANILHA GEFIC EM JUL/19</t>
  </si>
  <si>
    <t>R$ 12.337,70 REFERÊNCIA JUN/19 - LANÇADO PLANILHA GEFIC EM JUL/19</t>
  </si>
  <si>
    <t>R$ 1.767,25 TELEFONIA FIXA -REFERÊNCIA AGO/19 - LANÇADO PLANILHA GEFIC EM AGO/19;
.
R$ 1.890,07 TELEFONIA FIXA -REFERÊNCIA SET/19 - LANÇADO PLANILHA GEFIC EM SET/19.</t>
  </si>
  <si>
    <t>R$ 10.297,08 ENERGIA - REFERÊNCIA JUL/19 - LANÇADO PLANILHA PAGAMENTO GEFIC EM AGO/19;
.
R$ 13.210,86 ENERGIA - REFERÊNCIA AGO/19 - LANÇADO PLANILHA PAGAMENTO GEFIC EM SET/19</t>
  </si>
  <si>
    <t>Glosa da diferença no montante de R$ 1.240,62  referente a folha de AGO de 2019,  lançada na planilha de previsão de pagamento - GEFIC da parcela de OUT de 2019.</t>
  </si>
  <si>
    <t>R$ 105.452,87 - REFERENTE A ENCARGOS DE RESCISÕES TRABALHISTAS HEMNS, OCORRIDAS NOS MESES DE JULHO A DEZEMBRO DE 2017, DE ACORDO COM DESPACHO 203/2018 CAC/GEFIC, PROC.201800010012541.
.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</si>
  <si>
    <t>PROC.201700010014238 - RESSARCIMENTO DE VALORES DESPENDIDOS COM ENCARGOS DAS RESCISÕES TRABALHISTAS DO HOSPITAL ESTADUAL E MATERNIDADE NOSSA SENHORA DE LOURDES - HEMNSL, REFERENTE AOS MESES DE MARÇO A MAIO DE 2017.</t>
  </si>
  <si>
    <t>R$ 1.862,26 TELEFONIA FIXA -REFERÊNCIA NOV/19 - LANÇADO PLANILHA GEFIC EM NOV/19
.
R$ 1.412,05 (25 DIAS) TELEFONIA FIXA -REFERÊNCIA DEZ/19 - LANÇADO PLANILHA GEFIC EM DEZ/19.
.
R$ 282,41 - (5 DIAS) TELEFONIA FIXA -REFERÊNCIA DEZ/19 - LANÇADO PLANILHA GEFIC EM JAN/20.</t>
  </si>
  <si>
    <t>R$ 18.059,69- ENERGIA - REFERÊNCIA OUT/19 - LANÇADO PLANILHA PAGAMENTO GEFIC EM NOV/19;
.
R$ 17.522,38 -ENERGIA - REFERÊNCIA NOV/19 - LANÇADO PLANILHA PAGAMENTO GEFIC EM DEZ/19 
.
R$ 14.844,46 - ENERGIA - REFERÊNCIA DEZ/19 - LANÇADO PLANILHA PAGAMENTO GEFIC EM JAN/20</t>
  </si>
  <si>
    <t>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t>
  </si>
  <si>
    <t>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t>
  </si>
  <si>
    <t>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t>
  </si>
  <si>
    <t>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t>
  </si>
  <si>
    <t xml:space="preserve">R$ 7.857,92 - PROC 202000010015729-SEI - RESSARCIMENTO DE VALORES DESPENDIDOS COM ENCARGOS DAS RESCISÕES TRABALHISTAS DO HOSPITAL ESTADUAL MATERNIDADE NOSSA SENHORA DE LOURDES - HEMNSL, REFERENTES AO MÊS DE MARÇO DE 2020.NO VALOR DE R$7.857,92 . DOCUMENTO OF 151/2020-IGH. REQUISIÇÃO DE DESPESA N° 66/2020 - GAOS DESPACHO Nº 287/2020 - GAOS. DESPACHO Nº 1710/2020. DESPACHO Nº 00516/2020 . 
.
R$ 22.178,51 - PROC 202000010011677 - RESSARCIMENTO DE VALORES DESPENDIDOS COM ENCARGOS DAS RESCISÕES TRABALHISTAS DO HOSPITAL ESTADUAL E MATERNIDADE NOSSA SENHORA DE LOURDES - HEMNSL, REFERENTES AO PERÍODO DE FEVEREIRO DE 2020, NO VALOR DE R$ 22.178,51. . DOCUMENTOS OF 121/2020-IGH.DESPACHO Nº 260/2020 – GAOS. REQUISIÇÃO DE DESPESA N° 53/2020 – GAOS. DESPACHO Nº 1195/2020 - SGI . 
</t>
  </si>
  <si>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</si>
  <si>
    <t xml:space="preserve">PROC.201900010046725 - ITENS 1Licença de Uso Perpétuas E 
3 Implantação do Cloud HMI </t>
  </si>
  <si>
    <t xml:space="preserve">PROC 202000001024997 - RESSARCIMENTO TRABALHISTA - PERÍODO DE JUNHO DE 2020 - DA MNSL, CONFORME DESPACHO Nº 402/2020 - GAOS- 14421 e DESPACHO Nº 3209/2020 - SGI- 03079. 
</t>
  </si>
  <si>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t>
  </si>
  <si>
    <t xml:space="preserve">ENERGIA - LANÇADO PLANILHA PAGAMENTO GEFIC EM DEZ/20
.
NOV/20.......................... R$ 62.491,85
DEZ/20..........................R$ 58.929,91
</t>
  </si>
  <si>
    <t xml:space="preserve">OI - REFERÊNCIA JAN/21 - LANÇADO PLANILHA PAGAMENTO GEFIC EM JAN/21
</t>
  </si>
  <si>
    <t xml:space="preserve">OI - REFERÊNCIA FEV21 - LANÇADO PLANILHA PAGAMENTO GEFIC EM FEV/21
</t>
  </si>
  <si>
    <t xml:space="preserve">OI - REFERÊNCIA MAR21 - LANÇADO PLANILHA PAGAMENTO GEFIC EM MAR/21
</t>
  </si>
  <si>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
R$ 124.393,60 - AQUISIÇÃO DE EQUIPAMENTOS A SEREM DESTINADOS AO HOSPITAL ESTADUAL MATERNIDADE NOSSA SENHORA DE LOURDES - HEMNSL. . PROC 202000010015963, conf.DESPACHO Nº 52/2021 - GAOS- 14421 e DESPACHO Nº 110/2021 - GEAM- 11734 com parecer favorável
</t>
  </si>
  <si>
    <t xml:space="preserve">OI - REFERÊNCIA ABR/21 - LANÇADO PLANILHA PAGAMENTO GEFIC EM ABR/21
</t>
  </si>
  <si>
    <t xml:space="preserve">OI - REFERÊNCIA MAI/21 - LANÇADO PLANILHA PAGAMENTO GEFIC EM MAI/21
</t>
  </si>
  <si>
    <t>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t>
  </si>
  <si>
    <t>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t>
  </si>
  <si>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</si>
  <si>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</si>
  <si>
    <t>MNSL Total</t>
  </si>
  <si>
    <t>CEM</t>
  </si>
  <si>
    <t>HUTRIN-CEM</t>
  </si>
  <si>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</si>
  <si>
    <t>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</si>
  <si>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ENEL :
*R$ 1.118,45 Diferença (NOV/18) apurada referenta a glosa efetuada a menor - mês DEZ/18;
* R$ 35.620,57 DEZ/18</t>
  </si>
  <si>
    <t>Valor estimado a menor da Folha referência mês anterior, foi ajustado ao valor Lançado na Planilha de Previsão Mensal de Repasse - GEFIC  e efetuado glosa da diferença no montante de R$  3.812,22 na parcela de MAR de 2019.</t>
  </si>
  <si>
    <t>Valor estimado a menor da Folha referência mês anterior, foi ajustado ao valor Lançado na Planilha de Previsão Mensal de Repasse - GEFIC  e efetuado glosa da diferença no montante de R$ 5.897,06  na parcela de ABR de 2019.</t>
  </si>
  <si>
    <t>Glosa da diferença no montante de R$ 3.812,22  referente a folha de JAN de 2019, devido ao ajuste efetivado entre o valor aplicado e o lançada na planilha de previsão de pagamento - GEFIC da parcela de FEV de 2019.</t>
  </si>
  <si>
    <t>Valor estimado a menor da Folha referência mês anterior, foi ajustado ao valor Lançado na Planilha de Previsão Mensal de Repasse - GEFIC  e efetuado glosa da diferença no montante de R$ 5.796,67  na parcela de MAI de 2019.</t>
  </si>
  <si>
    <t>Glosa da diferença no montante de R$ 5.897,06  referente a folha de FEV de 2019, devido ao ajuste efetivado entre o valor aplicado e o lançada na planilha de previsão de pagamento - GEFIC da parcela de MAR de 2019.</t>
  </si>
  <si>
    <t xml:space="preserve">Glosa da diferença no montante de R$ R$ 5.796,67  referente a folha de MAR de 2019, devido ao ajuste efetivado entre o valor aplicado e o lançada na planilha de previsão de pagamento - GEFIC da parcela de ABR de 2019.
</t>
  </si>
  <si>
    <t>REFERÊNCIA MAR/19 - LANÇADO PLANILHA GEFIC EM ABR/19..........R$ 38.921,36
.
REFERÊNCIA ABR/19 - LANÇADO PLANILHA GEFIC EM MAI/19............R$ 38.687,04</t>
  </si>
  <si>
    <t>CUSTEIO PAGO A MAIOR EM NÃO CONFORMIDADE COM  A PARCELA LANÇADA NA PLANILHA DA GEFIC PARA RESTANTE DO MÊS DE MAIO/19, LANÇADA NA PLANILHA DE JUN/19 (REFERENTE AO 1º TERMO ADITIVO)</t>
  </si>
  <si>
    <t>Valor estimado a menor da Folha referência mês anterior, foi ajustado ao valor Lançado na Planilha de Previsão Mensal de Repasse - GEFIC  e efetuado glosa da diferença no montante de R$ 488,96 na parcela de JUL de 2019.</t>
  </si>
  <si>
    <t>Glosa da diferença no montante de R$ 488,96  referente a folha de MAI de 2019, devido ao ajuste efetivado entre o valor aplicado e o lançada na planilha de previsão de pagamento - GEFIC da parcela de JUN de 2019.</t>
  </si>
  <si>
    <t>REFERÊNCIA MAI/19 - LANÇADO PLANILHA GEFIC EM JUN/19............R$ 25.493,60</t>
  </si>
  <si>
    <t>R$ 23.668,37 - REFERÊNCIA JUN/19 - LANÇADO PLANILHA PAGAMENTO GEFIC EM JUL/19
.
R$ 20.104,60 - ENERGIA - REFERÊNCIA JUL/19 - LANÇADO PLANILHA PAGAMENTO GEFIC EM AGO/19</t>
  </si>
  <si>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</si>
  <si>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</si>
  <si>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t>
  </si>
  <si>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</si>
  <si>
    <t>R$ 704.217,00 - 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CAC, DESPACHO Nº 814/2020 - SUPER, Memorando nº: 917/2020 - GAOS, Memorando nº: 463/2020 - COMFIC, Memorando nº: 444/2020 - CAC, DESPACHO Nº 536/2020 - GAOS, Memorando nº: 947/2020 - DIPPAG, DESPACHO Nº 5420/2020 - SGI, Memorando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
.
R$ 30.317,92 - COMPLEMENTO DO ENCONTRO DE CONTAS.</t>
  </si>
  <si>
    <t>HUTRIN-CEM Total</t>
  </si>
  <si>
    <t>HUGOL</t>
  </si>
  <si>
    <t>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</si>
  <si>
    <t>Houve pagamento do liquido a maior no referido mês. Foi regularizado em  OUT/17  mediante glosa.</t>
  </si>
  <si>
    <t>R$ 3.612.330,89 Custeio não será repassado  devido compensação com os valores disponíveis em caixa da OS conf.memorando nº 259/2017 SEI - SGPF - 03079, R$ 7.205,87 Glosa de folha de pagamento Houve pagamento do liquido a maior no referido mês. Foi regularizado em  OUT/17  mediante glosa.</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</si>
  <si>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R$ 1.217,88, conforme Memorando nº: 74/2018 SEI - COGER- 06518 no  Processo nº 201700010019523.</t>
  </si>
  <si>
    <t>GLOSA REF.AO FORNECIMENTO EM OUT/17.R$ 249.874,09 E NOV/17 R$ 73.307,61</t>
  </si>
  <si>
    <t>TRANSFERÊNCIA DE RECURSOS FINANCEIROS FEDERAIS,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</si>
  <si>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</si>
  <si>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</si>
  <si>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t>
  </si>
  <si>
    <t>Custeio não serão repassada a parcela de DEZ/2018 (R$ 5.661.353,20) devido compensação com os valores disponíveis em caixa da OS de acordo com negociação feita entre a AGIR e a SGPF (Lucas) conforme planilha de valores encaminhadas pela OS.</t>
  </si>
  <si>
    <t>ENEL ;
* R$ 58.475,39 Diferença (NOV/18) apurada referente a glosa efetuada a menor - mês DEZ/18;
* R$ 320.374,97 DEZ/18</t>
  </si>
  <si>
    <t>REFERÊNCIA MAI/19 - LANÇADO PLANILHA GEFIC EM JUN/19</t>
  </si>
  <si>
    <t>R$ 255.871,82 CELG REFERÊNCIA JUL/19 - LANÇADO PLANILHA PAGAMENTO GEFIC EM AGO/19.
.
R$ 274.263,43 CELG REFERÊNCIA AGO/19 - LANÇADO PLANILHA PAGAMENTO GEFIC EM SET19.</t>
  </si>
  <si>
    <t xml:space="preserve"> CELG REFERÊNCIA SET/19 - LANÇADO PLANILHA PAGAMENTO GEFIC EM OUT19.</t>
  </si>
  <si>
    <t>PROC.201900010008644, Ressarcimento Rescisões Trabalhistas do HUGOL referente ao mês de janeiro de 2019.</t>
  </si>
  <si>
    <t>R$ 316.316,15 -  CELG REFERÊNCIA OUT/19 - LANÇADO PLANILHA PAGAMENTO GEFIC EM NOV/19.
.
R$ 281.196,93 - PARTE ENERGIA - REFERÊNCIA NOV/19 - LANÇADO PLANILHA PAGAMENTO GEFIC EM DEZ/19</t>
  </si>
  <si>
    <t>R$ 31.680,81 RESTANTE ENERGIA - REFERÊNCIA NOV/19 - LANÇADO PLANILHA PAGAMENTO GEFIC EM DEZ/19
.
R$ 299.531,57 ENERGIA - REFERÊNCIA DEZ/19 - LANÇADO PLANILHA PAGAMENTO GEFIC EM JAN/20</t>
  </si>
  <si>
    <t>ENERGIA - PARTE REFERÊNCIA JAN/20 - LANÇADO PLANILHA PAGAMENTO GEFIC EM FEV/20</t>
  </si>
  <si>
    <t>R$ 279.117,21 - RESSARCIMENTO DE VALORES DESPENDIDOS COM ENCARGOS DAS RESCISÕES TRABA- LHISTAS DO HOSPITAL ESTADUAL DE URGÊNCIAS DA REGIÃO NOROESTE DE GOIÂNIA GOVERNADOR OTÁVIO LAGE DE SIQUEIRA - HUGOL,  REFERENTES AO MÊS DE ABRIL DE 2019, PROCESSO SEI: 201900010022387.
.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</si>
  <si>
    <t>R$ 299.531,57 ENERGIA - REFERÊNCIA DEZ/19 - LANÇADO PLANILHA PAGAMENTO GEFIC EM JAN/20</t>
  </si>
  <si>
    <t>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</si>
  <si>
    <t xml:space="preserve">PROC.201900010049118 -ITEM 3 Implantação do Cloud HUGOL </t>
  </si>
  <si>
    <t xml:space="preserve">PROC.201900010006985 - Rescisões Trabalhistas - HUGOL - meses janeiro a dezembro de 2018. 
</t>
  </si>
  <si>
    <t>R$ 280.000,00 - PARTE DA ENERGIA - REFERÊNCIA AGO/20 - LANÇADO PLANILHA PAGAMENTO GEFIC EM SET/20 TOTAL R$ 309.792,94</t>
  </si>
  <si>
    <t>R$ 29.792,94 - RESTANTE DA ENERGIA - REFERÊNCIA AGO/20 - LANÇADO PLANILHA PAGAMENTO GEFIC EM SET/20 TOTAL R$ 309.792,94
. 
R$ 310.000,00  - ESTIMADO ENERIA SET/20</t>
  </si>
  <si>
    <t>RESTANTE - R$ 10.393,84 -ENERGIA - REFERÊNCIA SET/20 - LANÇADO PLANILHA PAGAMENTO GEFIC EM OUT/20.
.
PARTE - R$ 330.000,00 -ENERGIA - REFERÊNCIA OUT/20 - LANÇADO PLANILHA PAGAMENTO GEFIC EM NOV/20 (VALOR INFORMADO PELA GAOS 374.314,18) A DIFERENÇA FOI LANÇADA NO MÊS DE JAN/21.</t>
  </si>
  <si>
    <t>ENERGIA - REFERÊNCIA NOV/20 - LANÇADO PLANILHA PAGAMENTO GEFIC EM DEZ/20
PARTE DO VALOR R$ 330.000,00 (VALOR INFORMADO R$ 356.343,37)
.
O RESTANTE FOI LANÇADO NA PARCELA DE JANEIRO/21</t>
  </si>
  <si>
    <t xml:space="preserve">ENERGIA - LANÇADO PLANILHA PAGAMENTO GEFIC EM DEZ/20
.
NOV/20..........................RESTANTE R$ 26.343,37
DEZ/20..........................R$ 353.839,24
.
RESTANTE - R$ 44.314,18 -ENERGIA - REFERÊNCIA OUT/20 - LANÇADO PLANILHA PAGAMENTO GEFIC EM NOV/20 (VALOR INFORMADO PELA GAOS 374.314,18).
</t>
  </si>
  <si>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t>
  </si>
  <si>
    <t>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DESPACHO Nº 505/2020 - GAOS- 14421</t>
  </si>
  <si>
    <t>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</si>
  <si>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</si>
  <si>
    <t>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</si>
  <si>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</si>
  <si>
    <t>CELG JUN/21 LANÇADO NA PLANILHA DE JUL/21</t>
  </si>
  <si>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</si>
  <si>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</si>
  <si>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</si>
  <si>
    <t>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t>
  </si>
  <si>
    <t>HUGOL Total</t>
  </si>
  <si>
    <t>HAVER</t>
  </si>
  <si>
    <t>HUGO-HAVER</t>
  </si>
  <si>
    <t xml:space="preserve">R$ 4.182.504,00 - 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FOLHA SALARIAL E DEMAIS ENCARGOS TRABALHISTAS REFERENTES À 26 DIAS DO MÊS DE NOVEMBRO, EM COMPRIMENTO AÇÃO CIVIL PÚBLICA, AJUIZADA PELO MINISTÉRIO PÚBLICO DO TRABALHO, ACP 0012080-35.2017.5.18.0014, COM DETERMINAÇÃO JUDICIAL EXPEDIDA, CONFORME OFÍCIO OCD N.º 36/2018¿PROT .
</t>
  </si>
  <si>
    <t>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</si>
  <si>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ENEL - LANÇADO PLANILHA JAN 2019
* R$ 2.991,82 Diferença (4 dias) apurada referente a glosa efetuada a menor - no mês de dezembro;
* R$ 131.865,24 DEZ/18</t>
  </si>
  <si>
    <t>Diferença apurada referente a flosa de telefonia efetuada a maior - mês de dezembro/18, lançada na planilha de JAN de 2019, lançada na planilha de JAN de 2019</t>
  </si>
  <si>
    <t>Valor estimado a menor da Folha referência mês anterior, foi ajustado ao valor Lançado na Planilha de Previsão Mensal de Repasse - GEFIC  e efetuado glosa da diferença no montante de R$ 112.012,35 na parcela de ABR de 2019.</t>
  </si>
  <si>
    <t>Valor estimado a menor da Folha referência mês anterior, foi ajustado ao valor Lançado na Planilha de Previsão Mensal de Repasse - GEFIC  e efetuado glosa da diferença no montante de R$ 1.640,32  na parcela de MAI de 2019.</t>
  </si>
  <si>
    <t>Glosa da diferença no montante de R$ 112.012,35  referente a folha de FEV de 2019, devido ao ajuste efetivado entre o valor aplicado e o lançada na planilha de previsão de pagamento - GEFIC da parcela de MAR de 2019.</t>
  </si>
  <si>
    <t>Glosa da diferença no montante de R$ 1.640,32 referente a folha de MAR de 2019, devido ao ajuste efetivado entre o valor aplicado e o lançada na planilha de previsão de pagamento - GEFIC da parcela de ABR de 2019.</t>
  </si>
  <si>
    <t>TELEFONIA FIXA -REFERÊNCIA ABR/19 - LANÇADO PLANILHA GEFIC EM ABR/19............................R$ 9.246,49
.
TELEFONIA FIXA -REFERÊNCIA MAI/19 - LANÇADO PLANILHA GEFIC EM MAI/19.........................R$ 8.039,11</t>
  </si>
  <si>
    <t>REFERÊNCIA MAR/19 - LANÇADO PLANILHA GEFIC EM ABR/19........................R$ 132.743,82
.
REFERÊNCIA ABR/19 - LANÇADO PLANILHA GEFIC EM MAI/19.......................R$ 130.297,41</t>
  </si>
  <si>
    <t>Valor estimado a menor da Folha referência mês anterior, foi ajustado ao valor Lançado na Planilha de Previsão Mensal de Repasse - GEFIC  e efetuado glosa da diferença no montante de R$ 26.635,80 na parcela de AGO de 2019.</t>
  </si>
  <si>
    <t xml:space="preserve"> TELEFONIA JUN / 19...........R$ 9.423,26
 TELEFONIA MAI / 19............R$ 1.236,79</t>
  </si>
  <si>
    <t>CELG REFERÊNCIA MAI/19 - LANÇADO PLANILHA PAGAMENTO GEFIC EM JUN/19</t>
  </si>
  <si>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</si>
  <si>
    <t xml:space="preserve">Glosa da diferença no montante de R$ 26.635,80 referente a folha de JUN de 2019, devido ao ajuste efetivado entre o valor aplicado e o lançada na planilha de previsão de pagamento - GEFIC da parcela de JUL de 2019.
</t>
  </si>
  <si>
    <t>R$ 9.393,15 TELEFONIA FIXA -REFERÊNCIA JUL/19 - LANÇADO PLANILHA GEFIC EM JUL/19
.
R$ 7.372,00 TELEFONIA FIXA -REFERÊNCIA AGO/19  (24 DIAS)- LANÇADO PLANILHA GEFIC EM AGO/19</t>
  </si>
  <si>
    <t>R$ 119.255,65 REFERÊNCIA JUN/19 - LANÇADO PLANILHA PAGAMENTO GEFIC EM JUL/19
.
R$ 113.553,98 REFERÊNCIA JUL/19 (24 DIAS) - LANÇADO PLANILHA PAGAMENTO GEFIC EM  AGO/19</t>
  </si>
  <si>
    <t>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t>
  </si>
  <si>
    <t>R$ 1.843,00 TELEFONIA FIXA -REFERÊNCIA AGO/19  (6 DIAS)- LANÇADO PLANILHA GEFIC EM SET/19.
.
R$ 9.203,65 TELEFONIA FIXA -REFERÊNCIA SET/19  - LANÇADO PLANILHA GEFIC EM SET/19.</t>
  </si>
  <si>
    <t>R$ 113.553,98 REFERÊNCIA AGO/19  - LANÇADO PLANILHA PAGAMENTO GEFIC EM  SET/19</t>
  </si>
  <si>
    <t>R$ 9.008,72 TELEFONIA FIXA -REFERÊNCIA OUT/19  - LANÇADO PLANILHA GEFIC EM OUT/19</t>
  </si>
  <si>
    <t xml:space="preserve">R$ 142.028,82 REFERÊNCIA SET/19  - LANÇADO PLANILHA PAGAMENTO GEFIC EM  OUT/19
</t>
  </si>
  <si>
    <t>R$ 9.007,39 TELEFONIA FIXA -REFERÊNCIA NOV/19  - LANÇADO PLANILHA GEFIC EM NOV/19</t>
  </si>
  <si>
    <t>R$ 154.106,54 REFERÊNCIA OUT/19  - LANÇADO PLANILHA PAGAMENTO GEFIC EM  NOV/19
.
R$ 139.508,48 REFERÊNCIA NOV/19  - LANÇADO PLANILHA PAGAMENTO GEFIC ( RESERVADO PARA AJUSTE FINAL CONTRATO)</t>
  </si>
  <si>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</si>
  <si>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R$ 2.648.069,43 - RESSARCIMENTO VALOR DO ESTOQUE QUE PERMANECER NO HOSPITAL (HUGO) APÓS O EXAURIMENTO DA VIGÊNCIA DO CONTRATO, APURADO EM 30/11/2019 PELA COMISSÃO DE TRANSIÇÃO, REF PROC 201900003012310.</t>
  </si>
  <si>
    <t>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
R$ 104.010,00 - ressarcimento de valores despendidos com acordos judiciais efetivados no curso do Contrato de Gestão nº 106/2018 - SES/GO, relativos ao Hospital Estadual de Urgências de Goiânia Dr. Valdemiro Cruz (HUGO), PROC.201900010044586.</t>
  </si>
  <si>
    <t>HUGO-HAVER Total</t>
  </si>
  <si>
    <t>INTS</t>
  </si>
  <si>
    <t>HUGO-INTS</t>
  </si>
  <si>
    <t>R$ 8.589,79 TELEFONIA FIXA -REFERÊNCIA DEZ/19 - LANÇADO PLANILHA GEFIC EM DEZ/19</t>
  </si>
  <si>
    <t xml:space="preserve">
R$ 323.646,47 - DESCONTO INDEVIDO DE RH NOS MESES DE DEZ/19 A JAN/20 - MEMORANDO 2216/2020 COFP - LANÇADO NA PLANILHA DE PAGAMENTO/GAOS DE  MAR/20</t>
  </si>
  <si>
    <t>ENERGIA - REFERÊNCIA ABR/20 - LANÇADO PLANILHA PAGAMENTO GEFIC EM MAI/20</t>
  </si>
  <si>
    <t>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</si>
  <si>
    <t xml:space="preserve">PROC 201900010048615-INVESTIMENTO, ITENS 1 HSM (equipamento) e 2
Sistema de integração </t>
  </si>
  <si>
    <t>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t>
  </si>
  <si>
    <t>Valor estimado a menor da Folha referência mês anterior, foi ajustado ao valor Lançado na Planilha de Previsão Mensal de Repasse - GEFIC  e efetuado glosa da diferença no montante de R$ 129.701,65 na parcela de NOV de 2020.</t>
  </si>
  <si>
    <t xml:space="preserve">RESTITUIÇÃO REFERENTE A SERVIDORES, REMOVIDOS, EXONERADOS, AFASTADOS POR LICENÇA PARA TRATAR DE ASSUNTOS PARTICULARES OU QUE FORAM A ÓBITO, LANÇADO NA PLANILHA DE PAGAMENTO - GAOS OUTUBRO/20
</t>
  </si>
  <si>
    <t>INVESTIMENTO, PARA ADOÇÃO EM SEUS SISTEMAS DE GESTÃO HOSPITALAR DOS PADRÕES DE INTEROPERABILIDADE BASEADOS NA TECNOLOGIA HTML5, EM ATENDIMENTO À PORTARIA Nº 1046/2019 – SES. PARA SER EMPENHADO NO CONTRATO DE GESTÃO REFERENTE AO PROCESSO 201900010048614</t>
  </si>
  <si>
    <t>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t>
  </si>
  <si>
    <t xml:space="preserve">ENERGIA - LANÇADO PLANILHA PAGAMENTO GEFIC EM DEZ/20
.
NOV/20.......................... R$ 124.350,78
DEZ/20..........................R$ 131.382,90
</t>
  </si>
  <si>
    <t>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t>
  </si>
  <si>
    <t>OI - REFERÊNCIA FEV21 - LANÇADO PLANILHA PAGAMENTO GEFIC EM FEV/21</t>
  </si>
  <si>
    <t>OI - REFERÊNCIA MAR21 - LANÇADO PLANILHA PAGAMENTO GEFIC EM MAR/21</t>
  </si>
  <si>
    <t>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
R$ 635.750,00 -INVESTIMENTO, PARA AQUISIÇÃO DE 10 (DEZ) MESAS CIRÚRGICAS - 202000010035909 - 
DESPACHO Nº 38/2021 - GAOS- 14421área técnica pertinente avaliou a solicitação e emitiu o Despacho nº 100/2021 - GEAM (v. 000018076674),  com a avaliação técnica FAVORÁVEL ao pleito, aprovando a aquisição no valor de R$ 635.750,00;                                                                                                                                                                           
.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</si>
  <si>
    <t>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</si>
  <si>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INVESTIMENTO, PARA AQUISIÇÃO DE INSTRUMENTAIS CIRÚRGICOS DESTINADOS AO HOSPITAL ESTADUAL DE URGÊNCIAS DE GOIÂNIA DR. VALDEMIRO CRUZ – HUGO, PROCESSO 202000010035933
</t>
  </si>
  <si>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</si>
  <si>
    <t>OI - REFERÊNCIA MAI/21 - LANÇADO PLANILHA PAGAMENTO GEFIC EM MAI/21</t>
  </si>
  <si>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</si>
  <si>
    <t>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</si>
  <si>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t>
  </si>
  <si>
    <t>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</si>
  <si>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</si>
  <si>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CELG JUN/21 LANÇADO NA PLANILHA DE JUL/21
</t>
  </si>
  <si>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</si>
  <si>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</si>
  <si>
    <t xml:space="preserve">CELG JUL/21 LANÇADO NA PLANILHA DE AGO/21
</t>
  </si>
  <si>
    <t>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</si>
  <si>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VALOR ESTIMADO</t>
  </si>
  <si>
    <t>HUGO-INTS Total</t>
  </si>
  <si>
    <t>HUAPA</t>
  </si>
  <si>
    <t>R$ 269.083,79 GLOSA FOLHA PLANILHA PAGAMENTO/GEFIC - FEV/17;
R$ 1.123.233,89 RETIFICAÇÃO GLOSA FOLHA PLANILHA PAGAMENTO/GEFIC - FEV/17 DIFERENÇA GLOSA DE FOLHA (ACRÉSCIMO FOLHA DE PESSOAL 1º T.ADITIVO).</t>
  </si>
  <si>
    <t>OI - Lançado na Planilha de Previsão Mensal de Repasse - GEFIC, JAN/17....................R$ 4.683,83 e FEV/17....................R$ 4.697,06</t>
  </si>
  <si>
    <t>R$ 291.809,83  GLOSA FOLHA PLANILHA PAGAMENTO/GEFIC - MAR/17;
R$ 1.242.898,98  RETIFICAÇÃO GLOSA FOLHA PLANILHA PAGAMENTO/GEFIC - MAR/17 DIFERENÇA GLOSA DE FOLHA (ACRÉSCIMO FOLHA DE PESSOAL 1º T.ADITIVO).-</t>
  </si>
  <si>
    <t>OI MAR 2017, Lançado na Planilha de Previsão Mensal de Repasse - GEFIC</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</si>
  <si>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</si>
  <si>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 xml:space="preserve">PROC.201700010012658 - RESSARCIMENTO DE ÓRTESE E PRÓTESE PACIENTE SEBASTIÃO RODRIGUES DA SILVA PROCEDIMENTO CIRÚRGICO. </t>
  </si>
  <si>
    <t>PROC.201700010014024 - RESSARCIMENTO ÓRTESE/PRÓTESE PAC.RAIMUNDA PEREIRA DE OLIVEIRA PROCEDIMENTO CIRÚRGICO EM 30/006/17 , DE ACORDO COM A PREVISÃO ANEXO TÉCNICO I, ITEM 1.7, DAS ESPECIFICAÇÕES TÉCNICAS, DO PRIMEIRO TERMO ADITIVO AO CONTRATO DE GESTÃO Nº096/2016 - SES/GO.</t>
  </si>
  <si>
    <t>GLOSA REF.AO FORNECIMENTO EM SET/17, LANÇADO NA PLANILHA DE PAGAMENTO OUT DE 2017</t>
  </si>
  <si>
    <t>GLOSA REF.AO FORNECIMENTO EM OUT/17.R$ 43.029,16E NOV/17 R$ 24.022,77 PLANILHA DEZ 2017</t>
  </si>
  <si>
    <t xml:space="preserve">R$ 2406,00 - RESSARCIMENTO OPME - PACIENTE  DORI DE ARAÚJO SOARES UTILIZADA EM 06/09/17  NO HUAPA PROC.201700010015136.
R$ 6.944,49 - PROC.201800010001166 - RESSARC.OPME PAC.MARIA SOLONY LEITE MARTINS EM MAR/18 </t>
  </si>
  <si>
    <t>RESSARCIMENTO OPME, PARA PACIENTE JOSÉ DA SILVA EM SET/17 PROC.20170001001629</t>
  </si>
  <si>
    <t>AJUSTE FINANCEIRO POR NÃO CUMPRIMENTO DE METAS:
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</si>
  <si>
    <t>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t>
  </si>
  <si>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</si>
  <si>
    <t>OP 2015.2850.080.00064.003 - Empenho e Contrato da MNSL - FOI CRÉDITADA NA CONTA DO HUAPA INDEVIDAMENTE.
LIQUIDAÇÃO: IGH -MNSL - JULHO/15</t>
  </si>
  <si>
    <t>ENEL - DEZ/18, LANÇADO PLANILHA JAN 2019</t>
  </si>
  <si>
    <t>TELEFONIA FIXA -REFERÊNCIA JUN/19 - LANÇADO PLANILHA GEFIC EM JUN/19</t>
  </si>
  <si>
    <t>R$ 3.388,48 TELEFONIA FIXA -REFERÊNCIA AGO/19 - LANÇADO PLANILHA GEFIC EM AGO/19;
.
R$ 3.416,04 TELEFONIA FIXA -REFERÊNCIA SET/19 - LANÇADO PLANILHA GEFIC EM SET/19</t>
  </si>
  <si>
    <t>R$ 45.353,15 ENERGIA - REFERÊNCIA JUL/19 - LANÇADO PLANILHA PAGAMENTO GEFIC EM AGO/19;
.
R$ 47.762,24 ENERGIA - REFERÊNCIA AGO/19 - LANÇADO PLANILHA PAGAMENTO GEFIC EM SET/19.</t>
  </si>
  <si>
    <t>R$ 329.796,92 RESSARCIMENTO DE VALORES DESPENDIDOS COM ENCARGOS DAS RESCISÕES TRABALHISTAS DO HOSPITAL ESTADUAL DE URGÊNCIAS DE APARECIDA DE GOIÂNIA CAIRO LOUZADA - HUAPA, REFERENTE AOS MESES DE MAIO A DEZEMBRO DE 2017, Processo nº 201800010012561.
.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</si>
  <si>
    <t>R$ 3.094,62 TELEFONIA FIXA -REFERÊNCIA OUT/19 - LANÇADO PLANILHA GEFIC EM OUT/19;
.
R$ 2.536,70 (24 DIAS) TELEFONIA FIXA -REFERÊNCIA NOV/19 - LANÇADO PLANILHA GEFIC EM NOV/19</t>
  </si>
  <si>
    <t>R$ 63.998,82 - ENERGIA - REFERÊNCIA SET/19 - LANÇADO PLANILHA PAGAMENTO GEFIC EM OUT/19;
.
R$ 68.181,18 - ENERGIA - REFERÊNCIA OUT/19 - LANÇADO PLANILHA PAGAMENTO GEFIC EM NOV/19
.
R$ 53.059,01 - PARTE ( 24 DIAS) ENERGIA - REFERÊNCIA NOV/19 - LANÇADO PLANILHA PAGAMENTO GEFIC EM DEZ/19
.
R$ 13.264,75 - PARTE ( 6 DIAS) ENERGIA - REFERÊNCIA NOV/19 - LANÇADO PLANILHA PAGAMENTO GEFIC EM DEZ/19</t>
  </si>
  <si>
    <t>Processo nº 201800010046584 - RESSARCIMENTO DE VALORES DESPENDIDOS COM ENCAR
GOS DAS RESCISÕES TRABALHISTAS DO HOSPITAL ESTADUAL DE URGÊNCIAS DE APARECID
A DE GOIÂNIA CAIRO LOUZADA - HUAPA, REFERENTE AOS MESES DE JULHO, AGOSTO E S
ETEMBRO DE 2018.</t>
  </si>
  <si>
    <t>R$ 528,48 (6 DIAS) PARTE TELEFONIA FIXA -REFERÊNCIA NOV/19 - LANÇADO PLANILHA GEFIC EM DEZ/19 (PLANILHA DEZ/19 FOI RETIFICADA- ALTERANDO O VALOR PARA 650,04.
.
R$ 3.250,19 TELEFONIA FIXA -REFERÊNCIA DEZ/19 - LANÇADO PLANILHA GEFIC EM DEZ/19</t>
  </si>
  <si>
    <t>R$ 121,56 (6 DIAS) RESTANTE TELEFONIA FIXA -REFERÊNCIA NOV/19 - LANÇADO PLANILHA GEFIC EM DEZ/19 (PLANILHA DEZ/19 FOI RETIFICADA- ALTERANDO O VALOR PARA 650,04.
.
TELEFONIA FIXA -REFERÊNCIA JAN/20 - LANÇADO PLANILHA GEFIC EM JAN/20</t>
  </si>
  <si>
    <t>R$ 34.845,41 - RESSARCIMENTO DE VALORES DESPENDIDOS COM ENCAR GOS DAS RESCISÕES TRABALHISTAS DO HOSPITAL ESTADUAL DE URGÊNCIAS DE APARECID A DE GOIÂNIA CAIRO LOUZADA - HUAPA, REFERENTE AO MÊS DE AGOSTO DE 2019, 201900010037720.
.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</si>
  <si>
    <t>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t>
  </si>
  <si>
    <t>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t>
  </si>
  <si>
    <t xml:space="preserve">R$ 31.521,55 - PROCES-SO 202000010015602 - RESSARCIMENTO RESCISÕES TRABALHISTAS MÊS MARÇO DE 2020 - UNIDADE HUAPA 
.
R$ 240.055,35 - PROC Nº 201900010028124 - RESSARCIMENTO RESCISÕES TRABALHISTAS - REF.AOS MESES DE MAIO A JUNHO DE 2019 - UNIDADE HUAPA 
</t>
  </si>
  <si>
    <t xml:space="preserve">INVESTIMENTO PARA ADEQUAÇÃO DAS INSTALAÇÕES DE PREVENÇÃO E COM-BATE A INCÊNDIO. COMPONDO, INCLUSIVE, EXIGÊNCIA DA SECRE-TARIA DE REGULAÇÃO URBANA E RURAL DIRETORIA DE FISCALIZA-ÇÃO DA PREFEITURA DE APARECIDA DE GOIÂNIA. (PROCESSO SEI 201900010031407 )
</t>
  </si>
  <si>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</si>
  <si>
    <t xml:space="preserve">PROC.201900010046725 - ITENS 1Licença de Uso Perpétuas E 
3 Implantação do Cloud HUAPA </t>
  </si>
  <si>
    <t xml:space="preserve"> PROCESSO SEI 201900010043751 . AQUISIÇÃO DE MOBILIÁRIOS E EQUIPAMENTOS HOSPITALARES DESTINADOS AO HOSPITAL ESTADUAL DE URGÊNCIAS DE APARECIDA DE GOIÂNIA CAIO LOUZADA – HUAPA
</t>
  </si>
  <si>
    <t>R$ 1.500,08 - 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t>
  </si>
  <si>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</si>
  <si>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</si>
  <si>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</si>
  <si>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</si>
  <si>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</si>
  <si>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</si>
  <si>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</si>
  <si>
    <t>HUAPA Total</t>
  </si>
  <si>
    <t>ISG</t>
  </si>
  <si>
    <t>HDT</t>
  </si>
  <si>
    <t>OI OI JAN 2017 - R$  6.461,05 e OI FEV 2017 - R$ 6.952,95,  LANÇADO NA PLANILHA MENSAL DE PREVISÃO DE REPASSE - GAOS</t>
  </si>
  <si>
    <t>OI MAR 2017, LANÇADO NA PLANILHA MENSAL DE PREVISÃO DE REPASSE - GAOS</t>
  </si>
  <si>
    <t>Penalidade aplicada a Unidade pelo não cumplimento de metas no período de  18/06/12 A 31/12/12 PROCESSO 201300010015102 no montante de 939.400,00 em 4 parcelas de 234.850,00 (parcelamento efetuado Conforme determinação  da SGPF).</t>
  </si>
  <si>
    <t>OI - ref.MAI de 2017, lançado na planilha prev.pagamento MAI de 207</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</si>
  <si>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</si>
  <si>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</si>
  <si>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PROC. 201700010018332 - RESSARCIMENTO RESCISÕES TRABALHISTA DE MARÇO A SETEMBRO DE 2017.</t>
  </si>
  <si>
    <t>parte da suspensão glosa folha no montante de 4.012.019,91, conf.documentos proc.201700010005020 Despacho 3267 GAB ses autorizando a restituição.</t>
  </si>
  <si>
    <t>OI - ref.DEZ de 2017, lançado na planilha prev.pagamento DEZ de 2017.</t>
  </si>
  <si>
    <t>GLOSA REF.AO FORNECIMENTO EM OUT/17.</t>
  </si>
  <si>
    <t>parte da suspensão glosa folha no montante de 4.012.019,91 conf.documentos proc.201700010005020.Despacho 3267 GAB ses autorizando a restituição.</t>
  </si>
  <si>
    <t>Restante da suspensão glosa folha no montante de 4.012.019,91 conf.documentos proc.201700010005020.Despacho 3267 GAB .lançada na planilha de previsão de repasse JAN de 2018, o valor de R$ 672.236,05</t>
  </si>
  <si>
    <t>OI FEV/18</t>
  </si>
  <si>
    <t>NVESTIMENTO, PARA AQUISIÇÃO DE EQUIPAMENTO MÉDICO-HOSPITALAR , VISANDO A AQUISIÇÃO DE (02) TERMODESINFECTADORES PARA O HOSPITAL ESTADUAL DE DOENÇAS TROPICAIS DR. ANUAR AUAD ¿ HDT. PROC.201700010027195</t>
  </si>
  <si>
    <t>CELG LANÇADA NA PLANILHA DE ABR/18:</t>
  </si>
  <si>
    <t xml:space="preserve">PROC. 201700010018332 - RESSARCIMENTO RESCISÕES TRABALHISTA DE MARÇO A SETEMBRO DE 2017. </t>
  </si>
  <si>
    <t>AJUSTE FINANCEIRO POR NÃO CUMPRIMENTO DE METAS:
PROC.201700010027807 - PERIODO DE JULHO A DEZ/16 721.812,73  (DIVIDIDO EM 6 PARCELA DE R$ 120.302,12)  CONF.PARECER TÉCNICO Nº 025/2017 - COMACG/SES -GO E MEMO 2667/2018 SEI - SGPF - 03079</t>
  </si>
  <si>
    <t>AJUSTE FINANCEIRO POR NÃO CUMPRIMENTO DE METAS:
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 CONFORME ABAIXO:
.
REFERENCIA......VALOR PREVISTO............VALOR REALIZADO............VALOR DIFERENÇA/GLOSA
OUT/18.................173.514,37...........................14.170,34.................................159.344,03</t>
  </si>
  <si>
    <t>AJUSTE FINANCEIRO POR NÃO CUMPRIMENTO DE METAS:
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</si>
  <si>
    <t>AJUSTE FINANCEIRO POR NÃO CUMPRIMENTO DE METAS:R$ 120.302,12
PROC.201700010027807 - PERIODO DE JULHO A DEZ/16 721.812,73  (DIVIDIDO EM 6 PARCELA DE R$ 120.302,12)  CONF.PARECER TÉCNICO Nº 025/2017 - COMACG/SES -GO E MEMO 2667/2018 SEI - SGPF - 03079
.NO ENCONTRO DE CONTAS SALDO A SER GLOSADO DA OS..................R$ 432.309,46)
.
R$ 28.801,00 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
R$ 432.309,46: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t>
  </si>
  <si>
    <t>R$ 7.223,55 TELEFONIA FIXA -REFERÊNCIA MAI/19 - LANÇADO PLANILHA GEFIC EM MAI/19;
.
R$ 5.833,96 TELEFONIA FIXA -REFERÊNCIA JUN/19 - LANÇADO PLANILHA GEFIC EM JUL/19</t>
  </si>
  <si>
    <t>R$ 49.909,78 REFERÊNCIA ABR/19 - LANÇADO PLANILHA GEFIC EM MAI/19:
.
R$ 48.380,95 REFERÊNCIA MAI/19 - LANÇADO PLANILHA GEFIC EM JUN/19</t>
  </si>
  <si>
    <t>TELEFONIA FIXA -LANÇADO PLANILHA GEFIC EM JUL/19;
.
REFERÊNCIA JUN/19 (3 DIAS)........................R$    648,22
REFERÊNCIA JUL/19.........................................R$ 6.289,87
TOTAL................................................................R$ 6.938,09</t>
  </si>
  <si>
    <t>R$ 40.358,86 - CELG REFERÊNCIA JUN/19 - LANÇADO PLANILHA GEFIC EM JUL/19:</t>
  </si>
  <si>
    <t>R$ 6.603,39 TELEFONIA FIXA -REFERÊNCIA AGO/19 - LANÇADO PLANILHA GEFIC EM AGO/19;
.
R$ 6.750,22 TELEFONIA FIXA -REFERÊNCIA SET/19 - LANÇADO PLANILHA GEFIC EM SET/19.</t>
  </si>
  <si>
    <t>R$37.211,41 ENERGIA - REFERÊNCIA JUL/19 - LANÇADO PLANILHA PAGAMENTO GEFIC EM AGO/19;
.
R$ 45.129,14 ENERGIA - REFERÊNCIA AGO/19 - LANÇADO PLANILHA PAGAMENTO GEFIC EM SET/19.</t>
  </si>
  <si>
    <t xml:space="preserve">
R$ 4.367,24 AJUSTE DIFERENÇA FOLHA MÊS ANTERIOR, REFERÊNCIA SET/19 - LANÇADO PLANILHA PAGAMENTO GEFIC EM OUT/19, CONF.MEMO 409/2019 PROC.201900010033219</t>
  </si>
  <si>
    <t>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t>
  </si>
  <si>
    <t>R$ 6.820,15 - TELEFONIA FIXA -REFERÊNCIA NOV/19 - LANÇADO PLANILHA GEFIC EM NOV/19
.
R$ 4.854,42 (24 DIAS)  TELEFONIA FIXA -REFERÊNCIA DEZ/19 - LANÇADO PLANILHA GEFIC EM DEZ/19
.
R$ 1.213,61 (6 dias) TELEFONIA FIXA -REFERÊNCIA DEZ/19- LANÇADO PLANILHA GEFIC EM JAN/20</t>
  </si>
  <si>
    <t>R$ 52.987,59 ENERGIA - REFERÊNCIA OUT/19 - LANÇADO PLANILHA PAGAMENTO GEFIC EM NOVT/19;
.
R$ 54.597,27 - ENERGIA - REFERÊNCIA NOV/19 - LANÇADO PLANILHA PAGAMENTO GEFIC EM DEZ/19 
.
R$ 44.433,95
 - ENERGIA - REFERÊNCIA DEZ/19 - LANÇADO PLANILHA PAGAMENTO GEFIC EM JAN/20</t>
  </si>
  <si>
    <t>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t>
  </si>
  <si>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</si>
  <si>
    <t>R$ 219.005,00 - RESSARCIMENTO DE VALORES DESPENDIDOS COM ENCARGOS DAS RESCISÕES TRABALHISTAS DO HOSPITAL ESTADUAL DE DOENÇAS TROPICAIS DR. ANUAR AUAD (HDT), REFERENTES AOS MESES DE JUNHO A AGOSTO DE 2019, REFERENTE AO PROCESSO 201900010035258.
.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</si>
  <si>
    <t>AQUISIÇÃO DE APARELHO DE TOMOGRAFIA COMPUTADORIZADA PARA O HOSPITAL ESTADUAL DE DOENÇAS TROPICAIS DR. ANUAR AUAD - HDT, CONFORME PREVISTO NA PORTARIA Nº 253/2020 – SES/GO, PROCESSO 20200001001551</t>
  </si>
  <si>
    <t>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</si>
  <si>
    <t xml:space="preserve">PROC.202000010017277 - RESSARCIMENTO DE VALORES DESPENDIDOS COM ENCARGOS DAS RESCISÕES TRABALHISTAS DO HOSPITAL ESTADUAL DE DOENÇAS TROPICAIS DR. ANUAR AUAD (HDT), REFERENTES AO PERÍODO DE FEVEREIRO A ABRIL DE 2020
</t>
  </si>
  <si>
    <t>AQUISIÇÃO DE APARELHO DE AR CONDICIONADO PARA O DESENVOLVIMENTO E EXECUÇÃO DOS SERVIÇOS DE SAÚDE DO HOSPITAL ESTADUAL DE DOENÇAS TROPICAIS ANUAR AUAD-HDT DO PROCESSO 202000010000822.</t>
  </si>
  <si>
    <t xml:space="preserve">PROCESSO 201900010049590, AQUISIÇÃO DE 257 COMPUTADORES, PARA O HDT, DESPACHO Nº 380/2020 - GAOS- 14421 e DESPACHO Nº 2753/2020 - SGI- 03079. </t>
  </si>
  <si>
    <t>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t>
  </si>
  <si>
    <t>INVESTIMENTO, PARA AQUISIÇÃO 3 MEDIDORES DE CUFF CUFFÔMETROS) DESTINADOS AO HOSPITAL ESTADUAL DE DOENÇAS TROPICAIS DR. ANUAR AUAD (HDT), RELATIVO AO PROCESSO 202000010024076.</t>
  </si>
  <si>
    <t xml:space="preserve">RESSARCIMENTO DE VALORES DESPENDIDOS COM ENCARGOS DAS RESCISÕES TRABALHISTAS DO HOSPITAL ESTADUAL DE DOENÇAS TROPICAIS ANUAR AUAD (HDT), REFERENTE AO PERÍODO DE MAIO A OUTUBRO DE 2020, PROCESSO 202000010034078
</t>
  </si>
  <si>
    <t xml:space="preserve">RESTITUIÇÃO GLOSA INDEVIDA, LANÇAD NA PLANILHA DE JAN/21:
.
-SERVIDORA MARIA ROZA DOS SANTOS - CONF.DESPACHO 78/2021-SGI PROC.202000010030591.............R$ 3.185,83
.
-SERVIDOR WANDESIO LUIZ CORREIA - CONF.DESPACHO 63/2021 - SGI PROC.202000010043158.............R$ 10.388,50
</t>
  </si>
  <si>
    <t xml:space="preserve">R$ 826.827,70 - REPASSE DE RECURSOS FINANCEIROS PARA EFETIVAÇÃO DO CUSTEIO REFERENTE À REGULARIZAÇÃO DE DESPESAS CUSTEIO PELO PERÍODO DE 01 A 31/01/2021, RELATIVA A CONTRATAÇÃO DE 10 (DEZ) LEITOS CRÍTICOS DO 13º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DESPACHO Nº 100/2021 - SUPER- 03082, REQUISIÇÃO DE DESPESA N° 23/2021 - SUPER , ANEXO II DESPACHO Nº 089/2021 , DESPACHO Nº444 /2021 – SGI . PROC.202100010003600
</t>
  </si>
  <si>
    <t xml:space="preserve">R$ 641.714,91 - 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</si>
  <si>
    <t xml:space="preserve">R$ 1.096.997,22 - 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</si>
  <si>
    <t>CELG FEV/21 LANÇADO NA PLANILHA DE MAR/21</t>
  </si>
  <si>
    <t xml:space="preserve">R$ 1.612.247,54 - REGULARIZAÇÃO DE DESPESA PARCIAL PELO PERÍODO DE 25/06/2021 A 30/06/2021,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R$ 1.612.247,54
.DOCUMENTAÇÃO:DESPACHO Nº 1422/2021 - SUPER, REQUISIÇÃO DE DESPESA N° 110/2021 – SUPER, ANEXO II DESPACHO Nº 01448/2021, DESPACHO Nº 3952/2021 - SGI. PROC.202100010028618.
</t>
  </si>
  <si>
    <t xml:space="preserve">
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Nº4188/2021-SGI.PROC.202100010028618.
.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</si>
  <si>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PROCESSO 202100010028618.
.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</si>
  <si>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</si>
  <si>
    <t>HDT Total</t>
  </si>
  <si>
    <t>COND.SOL</t>
  </si>
  <si>
    <t>OI - JAN 2017 - R$ 826,02 e OI - FEV 2017 - R$ 864,30,  LANÇADO NA PLANILHA MENSAL DE PREVISÃO DE REPASSE - GAOS</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</si>
  <si>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</si>
  <si>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</si>
  <si>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CELG-GLOSA REF.AO FORNECIMENTO EM SET/17, LANÇADO NA PLANILHA DE OUT 2017</t>
  </si>
  <si>
    <t>GLOSA REF.AO FORNECIMENTO EM OUT/17 R$ 5.849,05 E NOV/17 1.251,85.</t>
  </si>
  <si>
    <t>VALOR FOI LIQUIDADO A MAIOR E PAGO  COMO CUSTEIO  - HOUVE DEDUÇÃO COMO GLOSA NA PARCELA DO MÊS DE MARÇO/18</t>
  </si>
  <si>
    <t>PROC.201700010012378 - AQUISIÇÃO DE 33 AR CONDICIONADO VISANDO ADEQUAÇÃO DAS ENFERMARIAS DA ALA  DE  INTERNAÇÃO.</t>
  </si>
  <si>
    <t>VALOR FOI LIQUIDADO A MAIOR E PAGO  COMO CUSTEIO  - HOUVE DEDUÇÃO COMO GLOSA NO MÊS DE MARÇO/18</t>
  </si>
  <si>
    <t>R$ 480.679,84 - PARTE DO VALOR CONFORME MEMORANDO Nº174/2018-SGPF/SES, COMPENSAÇÃO DE SALDO VISTO DISPONIBILIDADE DE SALDO FINANCEIRO NECESSÁRIO PARA ENCERRAMENTO  DO ANO  CONTÁBIL(VALOR TOTAL R$ 1.216.458,41).</t>
  </si>
  <si>
    <t>AJUSTE FINANCEIRO POR NÃO CUMPRIMENTO DE METAS: PROC.201700010027162-PERIODO DE JAN A JUN/17 R$ 2.579.931,00 (DIVIDIDO EM 6 PARCELA DE R$ 429.988,50)  CONF.PARECER TÉCNICO Nº 043/2017 - COMACG/SES -GO E MEMO 2663/2018 SEI - SGPF - 03079</t>
  </si>
  <si>
    <t>R$ 259.367,68 - PARTE DO VALOR CONFORME MEMORANDO Nº174/2018-SGPF/SES, COMPENSAÇÃO DE SALDO VISTO DISPONIBILIDADE DE SALDO FINANCEIRO NECESSÁRIO PARA ENCERRAMENTO  DO ANO  CONTÁBIL(VALOR TOTAL R$ 1.216.458,41).</t>
  </si>
  <si>
    <t>R$ 476.410,89 -RESTANTE DO  VALOR CONFORME MEMORANDO Nº174/2018-SGPF/SES, COMPENSAÇÃO DE SALDO VISTO DISPONIBILIDADE DE SALDO FINANCEIRO NECESSÁRIO PARA ENCERRAMENTO  DO ANO  CONTÁBIL(VALOR TOTAL R$ 1.216.458,41).</t>
  </si>
  <si>
    <t>TEFEFONIA FIXA:
*R$ 41,25  Diferença (DEZ/18) apurada referente a glosa efetuada a menor - mês DEZ/18;
* R$ 1.200,92 Telefonia Fixa.</t>
  </si>
  <si>
    <t>ENEL :
* R$ 1.076,19 Diferença (NOV/18) apurada referente a glosa efetuada a menor - mês DEZ/18;
* R$ 8.082,06 DEZ/18</t>
  </si>
  <si>
    <t>R$ 1.265,49 TELEFONIA FIXA -REFERÊNCIA MAI/19 - LANÇADO PLANILHA GEFIC EM MAI/19
.
R$ 1.103,70 TELEFONIA FIXA -REFERÊNCIA JUN/19 - LANÇADO PLANILHA GEFIC EM JUN/19</t>
  </si>
  <si>
    <t>R$ 12.236,56 REFERÊNCIA ABR/19 - LANÇADO PLANILHA GEFIC EM MAI/19.
.
R$ 8.249,84 REFERÊNCIA MAI/19 - LANÇADO PLANILHA GEFIC EM JUN/19</t>
  </si>
  <si>
    <t>TELEFONIA FIXA -
REFERÊNCIA JUN/19 - LANÇADO PLANILHA GEFIC EM JUL/19 ( 3 DIAS)...........R$ 122,63
REFERÊNCIA JUL/19 - LANÇADO PLANILHA GEFIC EM JUL/19........................................R$ 1.367,32</t>
  </si>
  <si>
    <t>CELG REFERÊNCIA JUN/19 - LANÇADO PLANILHA GEFIC EM JUL/19</t>
  </si>
  <si>
    <t>R$ 1.199,26 TELEFONIA FIXA -REFERÊNCIA AGO/19 - LANÇADO PLANILHA GEFIC EM AGO/19;
.
R$ 1.532,89 TELEFONIA FIXA -REFERÊNCIA SET/19 - LANÇADO PLANILHA GEFIC EM SET/19.</t>
  </si>
  <si>
    <t>R$ 6.031,22ENERGIA - REFERÊNCIA JUL/19 - LANÇADO PLANILHA PAGAMENTO GEFIC EM AGO/19;
.
R$ 7.343,93 ENERGIA - REFERÊNCIA AGO/19 - LANÇADO PLANILHA PAGAMENTO GEFIC EM SET/19.</t>
  </si>
  <si>
    <t>Valor estimado a menor da Folha referência mês anterior, foi ajustado ao valor Lançado na Planilha de Previsão Mensal de Repasse - GEFIC  e efetuado glosa da diferença no montante de R$  23.590,18 na parcela de NOV de 2019.</t>
  </si>
  <si>
    <t>R$ 326.550,53  RESSARCIMENTO DE VALORES DESPENDIDOS COM ENCARGOS DAS RESCISÕES TRABALHISTAS - COND.SOL - DE  JANEIRO/2016 A DEZEMBRO/2017, RELATIVO AO PROC. 201800010000244.
.
R$ 153.857,37  RESSARCIMENTO DE VALORES DESPENDIDOS COM ENCARGOS DAS RESCISÕES TRABALHISTAS - COND.SOL - DE  JULHO A SETEMBRO DE 2018, RELATIVO AO PROC. 201800010041749.</t>
  </si>
  <si>
    <t>Glosa da diferença no montante de R$ 23.590,18 referente a folha de SET de 2019, devido ao ajuste efetivado entre o valor aplicado e o lançada na planilha de previsão de pagamento - GEFIC da parcela de OUT de 2019.</t>
  </si>
  <si>
    <t>R$ 1.428,88 - TELEFONIA FIXA -REFERÊNCIA NOV/19 - LANÇADO PLANILHA GEFIC EM NOV/19;
.
R$ 1.217,82- (24 DIAS) TELEFONIA FIXA -REFERÊNCIA DEZ/19 - LANÇADO PLANILHA GEFIC EM DEZ/19;</t>
  </si>
  <si>
    <t>R$ 10.314,77 - ENERGIA - REFERÊNCIA OUT/19 - LANÇADO PLANILHA PAGAMENTO GEFIC EM NOV/19;
.
R$ 9.295,41- ENERGIA - REFERÊNCIA NOV/19 - LANÇADO PLANILHA PAGAMENTO GEFIC EM DEZ/19;
.
R$ 8.541,89 - Estimativa ENERGIA - REFERÊNCIA DEZ/19.</t>
  </si>
  <si>
    <t>R$ 304,46- (6 DIAS) TELEFONIA FIXA -REFERÊNCIA DEZ/19 - LANÇADO PLANILHA GEFIC EM JAN/20;
.
R$ 1.298,35 - TELEFONIA FIXA -REFERÊNCIA JAN/20 - LANÇADO PLANILHA GEFIC EM JAN/20</t>
  </si>
  <si>
    <t>R$ 2.014,38 - RESSARCIMENTO DE VALORES DESPENDIDOS COM ENCARGOS DAS RESCISÕES TRABALHISTAS DO CENTRO ESTADUAL DE ATENÇÃO PROLONGADA E CASA DE APOIO CONDOMÍNIO SOLIDARIEDADE – CEAP-SOL, REFERENTE AOS REFERENTE AOS MESES DE JANEIRO A MARÇO DE 2019, PROCESSO 201900010013781.
.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</si>
  <si>
    <t xml:space="preserve">ENERGIA - LANÇADO PLANILHA PAGAMENTO GEFIC EM DEZ/20
.
NOV/20.......................... R$ 11.838,46
DEZ/20..........................R$ 10.682,45
</t>
  </si>
  <si>
    <t xml:space="preserve">RESSARCIMENTO DOS VALORES DES PENDIDOS COM ENCARGOS DAS RESCISÕES TRABALHISTAS, RELATIVOS À CASA DE APOIOCONDOMÍNIO SOLIDARIEDADE  (CEAP-SOL)PERÍODO DE novembro de 2019 a novembro de 2020, PROC.202000010043910..............R$ 343.399,41  .DOCUMENTAÇÃO:MEMOR
ANDO Nº: 25/2021 – CAC, MEMORANDO Nº: 153/2021 – SUPER, REQUISIÇÃO DE DESPE
SA N° 126/2021 – GAOS, ANEXO II DESPACHO Nº 00634/2021, DESPACHO Nº 367/2021
 - GAOS, DESPACHO Nº 2767/2021 - SGI.
</t>
  </si>
  <si>
    <t>R$ 354.599,45 -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JUN/21.</t>
  </si>
  <si>
    <t>R$ 1.772.997,28 -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JUL/21.</t>
  </si>
  <si>
    <t>R$ 590.999,09 -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</si>
  <si>
    <t>.R$ 886.498,64 -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t>
  </si>
  <si>
    <t>COND.SOL Total</t>
  </si>
  <si>
    <t>FASA</t>
  </si>
  <si>
    <t>HUANA-FASA</t>
  </si>
  <si>
    <t>Valor retido para que seja efetuado o pagamento de débitos da unidade com a CELG, referente ao mês 12/16</t>
  </si>
  <si>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t>
  </si>
  <si>
    <t>GLOSA REF.AO FORNECIMENTO EM OUT/17.R$ 40.973,58 E NOV/17 R$ 45.898,44</t>
  </si>
  <si>
    <t>ENCARGOS DE RESCISÕES TRABALHISTAS DO 
HOSPITAL ESTADUAL DE URGÊNCIA DE ANÁPOLIS DR. HENRIQUE SANTILLO - HUANA, REFERENTE AO MÊS DE JANEIRO DE 2018  - PROCESSO-SEI 201800010007177</t>
  </si>
  <si>
    <t>CELG - JAN E JUN A SET/17  172.382,15 E MAR/18 41.946,59</t>
  </si>
  <si>
    <t xml:space="preserve">RESSARCIMENTO DE VALORES COM ENCARGOS DAS RESCISÕES TRABALHISTAS DO HOSPITAL - HUANA, RE </t>
  </si>
  <si>
    <t>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t>
  </si>
  <si>
    <t>CELG-NOV/18....................48.969,58 - 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</si>
  <si>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</si>
  <si>
    <t xml:space="preserve">Glosa da diferença no montante de R$ 1.188,46 referente a folha de JANde 2019, devido ao ajuste efetivado entre o valor aplicado e o lançada na planilha de previsão de pagamento - GEFIC da parcela de FEV de 2019.
</t>
  </si>
  <si>
    <t>ENEL :
* R$ 13.450,09 Diferença (NOV/18) apurada referente a glosa efetuada a menor - mês DEZ/18;
* R$ 60.157,42  DEZ/18</t>
  </si>
  <si>
    <t>Valor estimado a menor da Folha referência mês anterior, foi ajustado ao valor Lançado na Planilha de Previsão Mensal de Repasse - GEFIC  e efetuado glosa da diferença no montante de R$  1.188,46 na parcela de JAN de 2019.</t>
  </si>
  <si>
    <t>Valor estimado a menor da Folha referência mês anterior, foi ajustado ao valor Lançado na Planilha de Previsão Mensal de Repasse - GEFIC  e efetuado glosa da diferença no montante de R$ 6.226,20  na parcela deABR de 2019.</t>
  </si>
  <si>
    <t>Valor estimado a menor da Folha referência mês anterior, foi ajustado ao valor Lançado na Planilha de Previsão Mensal de Repasse - GEFIC  e efetuado glosa da diferença no montante de R$ 1.063,58  na parcela de MAI de 2019.</t>
  </si>
  <si>
    <t>Glosa da diferença no montante de R$ 6.226,20 referente a folha de FEV de 2019, devido ao ajuste efetivado entre o valor aplicado e o lançada na planilha de previsão de pagamento - GEFIC da parcela de MAR de 2019.</t>
  </si>
  <si>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</si>
  <si>
    <t xml:space="preserve">Glosa da diferença no montante de R$ 1.063,58 referente a folha de MAR de 2019, devido ao ajuste efetivado entre o valor aplicado e o lançada na planilha de previsão de pagamento - GEFIC da parcela de ABR de 2019.
</t>
  </si>
  <si>
    <t>REFERÊNCIA MAR/19 - LANÇADO PLANILHA GEFIC EM ABR/19........R$ 63.695,25
.
REFERÊNCIA ABR/19 - LANÇADO PLANILHA GEFIC EM MAI/19..........R$ 99.444,38</t>
  </si>
  <si>
    <t xml:space="preserve">PROC.201800010046817RESCISÕES TRABALHISTAS REFERENTE AO MÊS DE OUTUBRO DE 2018. </t>
  </si>
  <si>
    <t>CELG REFERÊNCIA 
JUN/19 - LANÇADO PLANILHA PAGAMENTO GEFIC EM JUL/19 - 54.015,10
  R$ 48.101,71 - ENERGIA - REFERÊNCIA JUL/19 - LANÇADO PLANILHA PAGAMENTO GEFIC EM AGO/19</t>
  </si>
  <si>
    <t>R$ 60.016,28 ENERGIA - REFERÊNCIA SET/19 - LANÇADO PLANILHA PAGAMENTO GEFIC EM OUT/19;
.
R$ 55.070,21  - ENERGIA - REFERÊNCIA OUT/19 - LANÇADO PLANILHA PAGAMENTO GEFIC EM NOV/19
.
R$ 31.579,80 - ENERGIA - REFERÊNCIA NOV/19  (17 DIAS)</t>
  </si>
  <si>
    <t xml:space="preserve">
R$ 7.337,74 DIFERENÇA GLOSA DE FOLHA OUT/19 LANÇADA NA PLANILHA DE PREVISÃO DE PAGAMENTO NOV/19 DA GEFIC (O PAGAMENTO PASSOU A SER REALIZADO DENTRO DO MÊS DE REFERÊNCIA POR ISSO FOI LANÇADA GLOSA ESTIMADA PREVISTA NO CONTRATO DE GESTÃO)</t>
  </si>
  <si>
    <t>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</si>
  <si>
    <t>HUANA-FASA Total</t>
  </si>
  <si>
    <t>FUNEV</t>
  </si>
  <si>
    <t>HUANA-FUNEV</t>
  </si>
  <si>
    <t>13 dias da folha de NOV 2019, lançada na planilha de previsão de pagamento DEZ 2019</t>
  </si>
  <si>
    <t>CELG NOV/19 LANÇADO NA PLANILHA DE DEZ/19</t>
  </si>
  <si>
    <t>folha de DEZ 2019, lançada na planilha de JAN 2020</t>
  </si>
  <si>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</si>
  <si>
    <t xml:space="preserve">ENERGIA - REFERÊNCIA JAN/20 - LANÇADO PLANILHA PAGAMENTO GEFIC EM FEV/20
</t>
  </si>
  <si>
    <t>R$ 10.045,49 - PARTE DA GLOSA DE FOLHA FEV/20 (R$ 19.018,28) LANÇADA NA PLANILHA DE PREVISÃO DE PAGAMENTO MAR/20 DA GAOS, DIFERENÇÃO FOI EFETIVADA NA PARCELA DE ABR/21</t>
  </si>
  <si>
    <t xml:space="preserve">ENERGIA - REFERÊNCIA FEV20 - LANÇADO PLANILHA PAGAMENTO GEFIC EM MAR/20
</t>
  </si>
  <si>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</si>
  <si>
    <t>R$ 8.972,79 -  RESTANTE DA  GLOSA DE FOLHA FEV/20 LANÇADA NA PLANILHA DE PREVISÃO DE PAGAMENTO MAR/20 DA GEFIC</t>
  </si>
  <si>
    <t xml:space="preserve">REFERÊNCIA MAR/20 - LANÇADO PLANILHA PAGAMENTO GEFIC EM ABR/20
</t>
  </si>
  <si>
    <t>R$ 6.526,73 - PARTE DA GLOSA DE FOLHA ABR/20 (R$ 7.009,54) LANÇADA NA PLANILHA DE PREVISÃO DE PAGAMENTO MAI/20 DA GAOS, DIFERENÇÃO FOI EFETIVADA NA PARCELA DE JUN/21</t>
  </si>
  <si>
    <t xml:space="preserve">REFERÊNCIA ABR/20 - LANÇADO PLANILHA PAGAMENTO GEFIC EM MAI/20
</t>
  </si>
  <si>
    <t xml:space="preserve">R$1.626,85  - PARTE DA GLOSA DE FOLHA MAIO/20 (12.369,40) LANÇADA NA PLANILHA DE PREVISÃO DE PAGAMENTO JUN/20 DA GAOS, RESTANTE FOI EFETIVADO NA PARCELA DE JUL/21
</t>
  </si>
  <si>
    <t>R$ 482,81 - DIFERENÇA DA GLOSA DE FOLHA ABR/20 (R$ 7.009,54) LANÇADA NA PLANILHA DE PREVISÃO DE PAGAMENTO MAI/20 DA GAOS, DIFERENÇÃO FOI EFETIVADA NA PARCELA DE JUN/21</t>
  </si>
  <si>
    <t xml:space="preserve">ENERGIA - REFERÊNCIA MAI/20 - LANÇADO PLANILHA PAGAMENTO GEFIC EM JUN/20
</t>
  </si>
  <si>
    <t>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t>
  </si>
  <si>
    <t xml:space="preserve">R$ 7.099,56 FOLHA - REFERÊNCIA JUN/20 - LANÇADO PLANILHA PAGAMENTO GEFIC EM JUL/20.
.
R$ 270,00 DIFERENÇA FOLHA - REFERÊNCIA MAI/20 - LANÇADO PLANILHA PAGAMENTO GEFIC EM JUL/20.
</t>
  </si>
  <si>
    <t xml:space="preserve">R$ 10.742,55 -  RESTANTE DA GLOSA DE FOLHA MAI/20 LANÇADA NA PLANILHA DE PREVISÃO DE PAGAMENTO JUN/20 DA GEFIC
</t>
  </si>
  <si>
    <t xml:space="preserve">ENERGIA - REFERÊNCIA JUN/20 - LANÇADO PLANILHA PAGAMENTO GEFIC EM JUL/20
</t>
  </si>
  <si>
    <t xml:space="preserve">R$ 7.687,03 - FOLHA - REFERÊNCIA JUL/20 - LANÇADO PLANILHA PAGAMENTO GEFIC EM AGO/20.
</t>
  </si>
  <si>
    <t xml:space="preserve">ENERGIA - REFERÊNCIA JUL/20 - LANÇADO PLANILHA PAGAMENTO GEFIC EM AGO/20
</t>
  </si>
  <si>
    <t xml:space="preserve">ENERGIA - REFERÊNCIA AGO/20 - LANÇADO PLANILHA PAGAMENTO GEFIC EM SET/20
</t>
  </si>
  <si>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</si>
  <si>
    <t xml:space="preserve">R$ 2.528,40 - PARTE FOLHA - REFERÊNCIA SET/20 (7.595,37) - LANÇADO PLANILHA PAGAMENTO GEFIC EM OUT/20 , RESTANTE FOI EFETIVADO NA PARCELA DE NOV/20
</t>
  </si>
  <si>
    <t xml:space="preserve">ENERGIA - REFERÊNCIA SET/20 - LANÇADO PLANILHA PAGAMENTO GEFIC EM OUT/20
</t>
  </si>
  <si>
    <t xml:space="preserve">R$ 5.066,97 -  RESTANTE DA GLOSA DE FOLHA SET/20 LANÇADA NA PLANILHA DE PREVISÃO DE PAGAMENTO OUT/20 DA GEFIC
</t>
  </si>
  <si>
    <t>ENERGIA - REFERÊNCIA OUT/20 - LANÇADO PLANILHA PAGAMENTO GEFIC EM NOV/20
.
PARTE...................................R$ 54.244,08 (VALOR INFORMADO 65.378,53)
RESTANTE FOI LANÇADO NA PARCELA DE JAN/21</t>
  </si>
  <si>
    <t>Difeença CELG REFERÊNCIA OUT/20 LANÇADO NA PLANILHA DE REPASSE MENSAL DA GAOS NOV/20..................R$ 11.134,45 (VALOR INFORMADO (65.378,53)
.
ENERGIA -- LANÇADO PLANILHA PAGAMENTO GEFIC EM DEZ/20
NOV/20...............................R$ 38.823,34
 VALOR INFORMADO (58.005,37)
RESTANTE LANÇADO NA PLANILHA DE JAN/21</t>
  </si>
  <si>
    <t xml:space="preserve">
ENERGIA -- LANÇADO PLANILHA PAGAMENTO GEFIC EM DEZ/20
NOV/20...............................RESTANTE R$ 19.182,03
 (VALOR INFORMADO NA PLANILHA DE DEZ/20 58.005,37)
DEZ/20................................R$ 61.565,20</t>
  </si>
  <si>
    <t>R$ 615.514,02 - REPASSE DE RECURSOS FINANCEIROS PARA EFETIVAÇÃO DO CUSTEIO REF À REGULARIZAÇÃO DE DESPESAS PARCIAL PELO PERÍODO DE 16/01/2021 A 31/01/2021, PARA O CONTRATO DE GESTÃO N. 066/2019-SES/GO (000010361058) , QUE FOI CELEBRADO ENTRE O ESTADO DE GOIÁS, POR INTERMÉDIO DA SES/GO, COM A FUNEV, TENDO COMO OBJETO O GER, A OPERACIONALIZAÇÃO E A EXE DAS AÇÕES E SERV DE SAÚDE NO HUANA, COM VIGÊNCIA ATÉ 17/11/2023. . DOCUMENTAÇÃO: REQUISIÇÃO DE DESPESA 024/2021, ANEXO II 090/2021.PROC.202100010003601</t>
  </si>
  <si>
    <t>CELG JAN/21 LANÇADO NA PLANILHA DE FEV/21</t>
  </si>
  <si>
    <t xml:space="preserve"> R$ 1.231.028,04- REGULARIZAÇÃO DE DESPESAS PARCIAL PELO PERÍODO DE 01/02/2021 a 28/02/2021,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PROC.202100010003601</t>
  </si>
  <si>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</si>
  <si>
    <t>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t>
  </si>
  <si>
    <t xml:space="preserve">CELG ABR/21 LANÇADO NA PLANILHA DE MAI/21
</t>
  </si>
  <si>
    <t xml:space="preserve">CELG MA/21 LANÇADO NA PLANILHA DE JUN/21
</t>
  </si>
  <si>
    <t>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FOI FEITO GUIA DE RECOLHIMENTO PARA DEVOLUÇÃO DO SALDO REMANESCENTE DE R$ 31.038,42</t>
  </si>
  <si>
    <t xml:space="preserve">R$ 123.102,80 - GLOSA REFERENTE AO VALOR REPASSADO A MAIOR NA PARCELA  DE ABRIL/2021 REFERENTE AO 2º TERMO ADITIVO, POR UM EQUIVOCO FOI CALCULADO COM  ATA INICIAL DA VIGÊNCIA DE 23/04/21, SENDO QUE O CORRETO  É 26/04/21
</t>
  </si>
  <si>
    <t>HUANA-FUNEV Total</t>
  </si>
  <si>
    <t>IBGH</t>
  </si>
  <si>
    <t>HEELJ-IBGH</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</si>
  <si>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</si>
  <si>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</si>
  <si>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R$ 718.895,45, conforme Memorando nº: 74/2018 SEI - COGER- 06518 no  Processo nº 201700010019523.</t>
  </si>
  <si>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</si>
  <si>
    <t>CELG - REFERÊNCIA OUT/17.........R$10.316,64
CELG - REFERÊNCIA NOV/17.........R$ 2.629,25</t>
  </si>
  <si>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</si>
  <si>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R$ 491.829,37
 - PARTE DO VALOR CONFORME MEMORANDO Nº177/2018-SGPF/SES, COMPENSAÇÃO DE SALDO VISTO DISPONIBILIDADE DE SALDO FINANCEIRO NECESSÁRIO PARA ENCERRAMENTO  DO ANO  CONTÁBIL (TOTAL DE R$ 4.783.655,95).</t>
  </si>
  <si>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</si>
  <si>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R$ 2.613.722,61- PARTE DO VALOR CONFORME MEMORANDO Nº177/2018-SGPF/SES, COMPENSAÇÃO DE SALDO VISTO DISPONIBILIDADE DE SALDO FINANCEIRO NECESSÁRIO PARA ENCERRAMENTO  DO ANO  CONTÁBIL (TOTAL DE R$ 4.783.655,95).</t>
  </si>
  <si>
    <t>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</si>
  <si>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R$ 1.678.103,97 - RESTANTE DO VALOR CONFORME MEMORANDO Nº177/2018-SGPF/SES, COMPENSAÇÃO DE SALDO VISTO DISPONIBILIDADE DE SALDO FINANCEIRO NECESSÁRIO PARA ENCERRAMENTO  DO ANO  CONTÁBIL (TOTAL DE R$ 4.783.655,95).</t>
  </si>
  <si>
    <t>.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</si>
  <si>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</si>
  <si>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</si>
  <si>
    <t xml:space="preserve">
R$ 50.000,00 - Repassado a maior como diferença de folha de JAN/19, ajuste com o valor lançado na planilha de pagamento FEV/19 GEFIC, foi efetivada a glosa junto a parcela mensal de JUN de 2020.</t>
  </si>
  <si>
    <t>R$ 13.835,71 REFERÊNCIA JUN/19 - LANÇADO PLANILHA PAGAMENTO GEFIC EM JUL/19
.
R$ 12.308,40 - ENERGIA - REFERÊNCIA JUL/19 - LANÇADO PLANILHA PAGAMENTO GEFIC EM AGO/19</t>
  </si>
  <si>
    <t>Valor estimado a menor da Folha referência mês anterior, foi ajustado ao valor Lançado na Planilha de Previsão Mensal de Repasse - GEFIC  e efetuado glosa da diferença no montante de R$ 4.450,39  na parcela de NOV de 2019.</t>
  </si>
  <si>
    <t>Valor estimado a menor da Folha referência mês anterior, foi ajustado ao valor Lançado na Planilha de Previsão Mensal de Repasse - GEFIC  e efetuado glosa da diferença no montante de R$ 10.629,80 na parcela de NOV de 2019.</t>
  </si>
  <si>
    <t xml:space="preserve"> REFERÊNCIA SET/19 - LANÇADO PLANILHA PAGAMENTO GEFIC EM OUT/19</t>
  </si>
  <si>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</si>
  <si>
    <t>Glosa da diferença no montante de R$ 4.450,39 referente a folha de AGO de 2019, devido ao ajuste efetivado entre o valor aplicado e o lançada na planilha de previsão de pagamento - GEFIC da parcela de SET de 2019.
.
Glosa da diferença no montante de R$ 10.629,80 referente a folha de SET de 2019, devido ao ajuste efetivado entre o valor aplicado e o lançada na planilha de previsão de pagamento - GEFIC da parcela de OUT de 2019.</t>
  </si>
  <si>
    <t>R$ 15.495,90  - PARTE ENERGIA - REFERÊNCIA OUT/19 - LANÇADO PLANILHA PAGAMENTO GEFIC EM NOV/19;</t>
  </si>
  <si>
    <t>R$ 7.358,13 - RESTANTE ENERGIA - REFERÊNCIA OUT/19 - LANÇADO PLANILHA PAGAMENTO GEFIC EM NOV/19;
.
R$ 20.149,15 ENERGIA - REFERÊNCIA NOV/19 - LANÇADO PLANILHA PAGAMENTO GEFIC EM DEZ/19
.</t>
  </si>
  <si>
    <t>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t>
  </si>
  <si>
    <t>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t>
  </si>
  <si>
    <t>Valor estimado a menor da Folha referência mês anterior, foi ajustado ao valor Lançado na Planilha de Previsão Mensal de Repasse - GEFIC  e efetuado glosa da diferença no montante de R$ 4.488,69 na parcela de MAI de 2020.</t>
  </si>
  <si>
    <t>R$ 45.960,00 - 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t>
  </si>
  <si>
    <t>GLOSA R$ 50.000,00 - Repassado a maior como diferença de folha de JAN/19 lançada na planilha de pagamento FEV/19 GEFIC, foi efetivada a glosa junto a parcela mensal de -</t>
  </si>
  <si>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</si>
  <si>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</si>
  <si>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ENERGIA - LANÇADO PLANILHA PAGAMENTO GEFIC EM DEZ/20
.
NOV/20..........................R$18.907,35
DEZ/20..........................R$ 19473,47</t>
  </si>
  <si>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</si>
  <si>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</si>
  <si>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</si>
  <si>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</si>
  <si>
    <t>HEELJ-IBGH Total</t>
  </si>
  <si>
    <t>HEELJ-FUNEV</t>
  </si>
  <si>
    <t>R$ 1.319.015,40 - REPASSE DE RECURSOS FINANCEIROS PARA EFETIVAÇÃO DO CUSTEIO REFERENTE À REGULARIZAÇÃO DE DESPESAS PELO PERÍODO DE 26/01/2021 A 30/01/2021, REL AO CT DE GESTÃO EMERGENCIAL A SER FIRMADO ENTRE O ESTADO DE GOIÁS, SECRETARIA DE ESTADO DA SAÚDE - SES/GO E A ORG SOCIAL FUN UNIVERSITÁRIA UNIEVANGÉLICA FUNEV, PARA O GERENCIAMENTO, OPERACIONALIZAÇÃO E EXECUÇÃO DAS AÇÕES NO HOS PITAL ESTADUAL ERNESTINA LOPES JAIME (HEELJ). . DOCUMENTOS: DESP Nº 125/2021. REQ DE DES N° 28/2021 SUPER. DESP Nº 18/20 21 . ANEXO II 2021 . CERTIDÕES.TERMO DE RECONHECIMENTO DE DÍVIDA. NOS MOLDES DA NOTA TÉCNICA Nº 01/2012 DA PROCURADORIA GERAL DO ESTADO E NOTA TÉCNICA 0 02/2013 ADSET/GAB - SES-GO. PROC.202100010005139
.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t>
  </si>
  <si>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MARÇO 2021..DOCUMENTOS: REQUISIÇÃO DE DESPESA N° 109/2021 – SUPER. DESPACHO Nº 3908/2021 – SGI.ANEXO II 2021. TERMO DE RECONHECIMENTO DE DIVIDA..VALORES / DIFERENÇA RELATIVA AO MESES E VALORES:.FEVEREIRO 2021.PROC.202100010005139
</t>
  </si>
  <si>
    <t>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PROC.202100010005139.
.
R$ 86.777,33 - DIA 22/03/21 - REGULARIZAÇÃO DE DESPESAS PARCIAL DO DIA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
.
R$ 25.454,76. - REGULARICAÇÃO DE DESPESA, PARA EFETIVAÇÃO DO CUSTEIO HOSPITALESTADUAL ERNESTINA LOPES JAIME (HEELJ), NO MÊS DE MARÇO 2021..DOCUMENTOS: REQUISIÇÃO DE DESPESA N° 109/2021 – SUPER. DESPACHO Nº 3908/2021 – SGI.ANEXO II 2021. TERMO DE RECONHECIMENTO DE DIVIDA..VALORES / DIFERENÇA RELATIVA AO MESES E VALORES:.MARÇO /2021, PROC.202100010005139.</t>
  </si>
  <si>
    <t xml:space="preserve">CELG LANÇADA NA PLANILHA DE MAR/21:
.
DIAS VIGENTES DE JAN/21.......................R$ 2.676,73
FEVEREIRO/21..................................................R$ 17.051,67
.
CELG ABR/21 LANÇADO NA PLANILHA DE MAI/21.............................R$ 16.779,21
</t>
  </si>
  <si>
    <t>CELG JUL/21 LANÇADO NA PLANILHA DE AGO/21</t>
  </si>
  <si>
    <t xml:space="preserve"> HEELJ-FUNEV  Total</t>
  </si>
  <si>
    <t>COMUNIDADE LUZ</t>
  </si>
  <si>
    <t>CREDEQ</t>
  </si>
  <si>
    <t>Valor reduzido na planilha de previsão de repasse  do mês de referência - GEFICo, repasse total de 2.700.000,00 está vinculado ao cumprimento da Proposta Técnica do 1º TA.</t>
  </si>
  <si>
    <t>CELG - Referência MAR-2017 - Lançado na Planilha de Previsão de Repasse mensal - GEFIC</t>
  </si>
  <si>
    <t>INVESTIMENTO PARA AQUISIÇÃO DE BENS MÓVEIS A SEREM UTILI- 
ZADOS NO ATENDIMENTO AO PACIENTE NAS ÁREAS DE: AMBULATÓRIO E TERAPIAS NO CENTRO DE REFERÊNCIA E EXCELÊNCIA EM DEPENDÊNCIA QUÍMICA-CREDEQ PROC.201700010012480.</t>
  </si>
  <si>
    <t>PROC.201800010004376 -RESCISÕES TRABALHISTAS DO CREDEQ PERÍ
ODO DE AGOSTO A DEZEMBRO DE 2017</t>
  </si>
  <si>
    <t>PROCESSO: 201700010016731
OBJETO: REPASSE DE RECURSOS FIN. À ORGANIZAÇÃO SOCIAL COMUNIDADE LUZ DA VIDA
, A TÍTULO DE INVESTIMENTO, PARA AQUIS. DE SISTEMAS ESPECIAIS DE COMUNICAÇÃO
 SENDO: SISTEMA DE CONTROLE DE ACESSO, E SISTEMA DE SONORIZAÇÃO E INTERCOMUN
ICAÇÃO.</t>
  </si>
  <si>
    <t>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t>
  </si>
  <si>
    <t>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</si>
  <si>
    <t>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t>
  </si>
  <si>
    <t>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
* R$ 27.931,10 - 2º T.A - NUCLEO DE ODONTOLOGIA ( ESTÁ EM FASE DE IMPLANTAÇÃO) REDUÇÃO INSERIDA NA PLANILHA REPASSE/GEFIC OUT/18.</t>
  </si>
  <si>
    <t>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NUCLEO DE ODONTOLOGIA PREVISTO NO 2º T.ADITIVO EM FASE DE IMPLANTAÇÃO - R$ 27.931,10 (LANÇADO NA PLANILHA DE PAGAMENTO GEFIC DO MES DE NOV/18)</t>
  </si>
  <si>
    <t>PROC.201700010012328 RESSARCIMENTO DE VALORES DESPENDIDOS COM ENC 
ARGOS DAS RESCISÕES TRABALHISTAS DO CREDEQ- CENTRO DE REFERÊNCIA E EXCELÊNCI 
A EM DEPENDÊNCIA QUÍMICA, REFERENTES AO ANO DE 2017.</t>
  </si>
  <si>
    <t xml:space="preserve">Valor do núcleo de odontologia em fase de implantaççao  2º Termo Aditivo, deduzido na planilha de previsão de repasse do mês de referência - GEFIC - </t>
  </si>
  <si>
    <t>Diferença apurada referente a glosa de telefonia efetuada a maior - mês DEZ/18</t>
  </si>
  <si>
    <t>R$ 28.364,60 CELG REFERÊNCIA JUN/19 - LANÇADO PLANILHA PAGAMENTO GEFIC EM JUL/19.
.
R$ 23.344,91 CELG REFERÊNCIA JUL/19 - LANÇADO PLANILHA PAGAMENTO GEFIC EM AGO/19.</t>
  </si>
  <si>
    <t>R$ 26.493,96 CELG REFERÊNCIA AGO/19 - LANÇADO PLANILHA PAGAMENTO GEFIC EM SET/19.</t>
  </si>
  <si>
    <t>RESSARCIMENTO DE VALORES DESPENDIDOS COM ENCARGOS DAS RESCISÕES TRABALHISTAS DO CREDEQ, REFERENTE AO PRIMEIRO SEMESTRE DE 2018, Processo nº 201800010036558.</t>
  </si>
  <si>
    <t>CELG REFERÊNCIA SET/19 - LANÇADO PLANILHA PAGAMENTO GEFIC EM OUT/19.</t>
  </si>
  <si>
    <t>R$ 29.541,66 - CELG REFERÊNCIA OUT/19 - LANÇADO PLANILHA PAGAMENTO GEFIC EM NOV/19.
.
R$ 28.330,60 - ENERGIA - REFERÊNCIA NOV/19 - LANÇADO PLANILHA PAGAMENTO GEFIC EM DEZ/19</t>
  </si>
  <si>
    <t>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</si>
  <si>
    <t>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t>
  </si>
  <si>
    <t>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t>
  </si>
  <si>
    <t>R$ 26.818,37 - ENERGIA - REFERÊNCIA DEZ/20 - LANÇADO PLANILHA PAGAMENTO GEFIC EM DEZ20
.
R$ 22.290,75- ENERGIA REFERÊNCIA  JAN/21, INFORMADA NO Processo nº 201700010019675 PELA GAOS</t>
  </si>
  <si>
    <t>R$ 292.942,19 -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t>
  </si>
  <si>
    <t xml:space="preserve">R$ 2.023.964,19 -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</si>
  <si>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proc.201900010048662</t>
  </si>
  <si>
    <t xml:space="preserve">R$ 674.432,81 -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</si>
  <si>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</si>
  <si>
    <t>R$ 286.636,64 - 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t>
  </si>
  <si>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</si>
  <si>
    <t>R$ 258.510,55 - 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t>
  </si>
  <si>
    <t>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R$ 674.654,73, proc.202100010034067.
.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 a 31/08/202 . ESTIMATIVA MENSAL:................R$2.023.964,19 . . PROCESSO: 202100010034067</t>
  </si>
  <si>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</si>
  <si>
    <t>CREDEQ Total</t>
  </si>
  <si>
    <t>HURSO-IBGH</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</si>
  <si>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</si>
  <si>
    <t xml:space="preserve">R$ 9.485,16 - PROCESSO 201800010016079 - RESSARCIMENTO DE VALORES 
PAGOS AOS PROFISSIONAIS DO HOSPITAL ESTADUAL DE URGÊNCIAS DA REGIÃO SUDOESTE 
DR. ALBANIR FALEIROS MACHADO (HURSO), REFERENTE À RESCISÕES TRABALHISTAS 
OCORRIDAS NOS MESES DE DEZ/17 A MAR/18. 
</t>
  </si>
  <si>
    <t>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t>
  </si>
  <si>
    <t>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t>
  </si>
  <si>
    <t>ENEL:
* R$ 13.847,02 Diferença (referência NOV/18) apuradareferente a glosa efetuada a menor no mês de DEZ/18;
* R$ 52.581,51  DEZ/18.</t>
  </si>
  <si>
    <t>REFERÊNCIA MAI19 - LANÇADO PLANILHA GEFIC EM JUN/19</t>
  </si>
  <si>
    <t>R$ 45.953,77 ENERGIA - REFERÊNCIA JUL/19 - LANÇADO PLANILHA PAGAMENTO GEFIC EM AGO/19;
.
R$ 41.374,15 ENERGIA - REFERÊNCIA AGO/19 - LANÇADO PLANILHA PAGAMENTO GEFIC EM SET/19.</t>
  </si>
  <si>
    <t>R$ 63.644,27 - ENERGIA - REFERÊNCIA OUT/19 - LANÇADO PLANILHA PAGAMENTO GEFIC EM NOV/19
.
R$ 58.735,86 ENERGIA - REFERÊNCIA NOV/19 - LANÇADO PLANILHA PAGAMENTO GEFIC EM DEZ/19</t>
  </si>
  <si>
    <t>R$ 83.024,20 - RESSARCIMENTO DE VALORES DESPENDIDOS COM ENCARGOS DAS RESCISÕES TRABALHISTAS DO HOSPITAL ESTADUAL DE URGÊNCIAS DA REGIÃO SUDOESTE DR. ALBANIR FALEIROS/HURSO REFERENTES AO PERÍODO DE PERÍODO DE JANEIRO A OUTUBRO DE 2019, PROCESSO SEI: 201900010046948.</t>
  </si>
  <si>
    <t>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t>
  </si>
  <si>
    <t>PROC.201900010046940, RESSARCIMENTO DE VALORES DESPENDIDOS COM ENCARGOS DAS RESCISÕES TRABALHISTAS DO HOSPITAL ESTADUAL DE URGÊNCIAS DA REGIÃO SUDOESTE DR. ALBANIR FALEIROS/HURSO REFERENTES AO PERÍODO DE PERÍODO DE JANEIRO A DEZEMBRO DE 2018</t>
  </si>
  <si>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</si>
  <si>
    <t xml:space="preserve">PROCESSO 201800010042829 - AQUISIÇÃO DE 11 APARELHOS DE AR CONDICIONADO - PARA HURSO IBGH </t>
  </si>
  <si>
    <t>PROC.201900010048832 -INVESTIMENTO,SISTEMAS DE GESTÃO HOSPITALAR 
3-Implantação do Cloud - HURSO</t>
  </si>
  <si>
    <t xml:space="preserve">ENERGIA - LANÇADO PLANILHA PAGAMENTO GEFIC EM DEZ/20
.
NOV/20..........................R$24.602,09
DEZ/20..........................R$ 57.678,13
</t>
  </si>
  <si>
    <t>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t>
  </si>
  <si>
    <t xml:space="preserve">valor referente ao periodo de 26 a 31/01/21, periodo em que o IBGH já se encontrava ausente da unidade, uma vez que sua permanencia se deu até 25/01/21
</t>
  </si>
  <si>
    <t>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t>
  </si>
  <si>
    <t>HURSO-IBGH Total</t>
  </si>
  <si>
    <t>IPGSE</t>
  </si>
  <si>
    <t>HURSO-IPGSE</t>
  </si>
  <si>
    <t xml:space="preserve">R$ 2.486.636,70 - 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</si>
  <si>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R$ 2.983.964,04 - 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</si>
  <si>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(HURSO). DOCUMENTAÇÃO:CONFORME: REQUISIÇÃO DE DESPESA N° 88/2021 SUPER - 03082,DESPACHO Nº 1085/
2021 -SUPER-03082, DESPACHO Nº 370/2021 - GERINT- 1834, DESPACHO Nº2865/2021 - SGI- 03079, ANEXO II, DESPACHO Nº 00650/2021, PROC.202100010005142
.
R$ 49.216,00 -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VALORHURSO/UTI-COVID/11/03/2021 a 13/03/2021.PROC.202100010005142
.
R$243.278,00 - REGULARIZAÇÃO DE DESPESA REFERENTE AO PERÍODO COMPREENDIDO ENTRE/14/03/2021 a 22/03/2021 DESTINADO À ORGANIZAÇÃO SOCIAL INSTITUTO DE PLANEJAMENTO E GESTÃO DE SERVIÇOS ESPECIALIZADOS - IPSGE, PARA EFETIVAÇÃO DO CUSTEIO
DE LEITOS UTI COVID DO HOSPITAL DE URGÊNCIA DA REGIÃO SUDOESTE DR. ALBANIRFALEIROS MACHADO (HURSO). HURSO/UTI-COVID..PROC.202100010005142
.
R$243.278,00 - REGULARIZAÇÃO DE DESPESA REFERENTE AO PERÍODO COMPREENDIDO ENTRE11/03/2021 A 30/06/2021 DESTINADO À ORGANIZAÇÃO SOCIAL INSTITUTO DE PLANEJAMENTO E GESTÃO DE SERVIÇOS ESPECIALIZADOS - IPSGE, PARA EFETIVAÇÃO DO CUSTEIO
DE LEITOS UTI COVID DO HOSPITAL DE URGÊNCIA DA REGIÃO SUDOESTE DR.ALBANIRFALEIROS MACHADO (HURSO). ...VALOR HURSO/UTI-COVID/23/03/2021 a 31/03/2021..PROC.202100010005142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</si>
  <si>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.REFERENCIA...HURSO/UTI-COVID/01/04/2021 a 30/04/2021............PROC.202100010005142
</t>
  </si>
  <si>
    <t xml:space="preserve">CELG LANÇADA NA PLANILHA DE MAR/21:
.
DIAS VIGENTES DE JAN/21.......................R$ 10.223,05
FEVEREIRO/21..................................................R$ 48.629,16
.
CELG ABR/21 LANÇADO NA PLANILHA DE MAI/21.............................R$ 53.525,66
</t>
  </si>
  <si>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</si>
  <si>
    <t xml:space="preserve">R$797.004,00 - REGULARIZAÇÃO DE DESPESA REFERENTE AO PERÍODO COMPREENDIDO ENTRE11/03/2021 A 30/06/2021 DESTINADO À ORGANIZAÇÃO SOCIAL INSTITUTO DE PLANEJAMENTO E GESTÃO DE SERVIÇOS ESPECIALIZADOS - IPSGE, PARA EFETIVAÇÃO DO CUSTEIODE LEITOS UTI COVID DO HOSPITAL DE URGÊNCIA DA REGIÃO SUDOESTE DR. ALBANIRFALEIROS MACHADO (HURSO). .REFERENCIA.......................................
HURSO/UTI-COVID/01/05/2021 a 31/05/2021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</si>
  <si>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.REFERENCIA......HURSO/UTI-COVID/01/06/2021 a 30/06/2021, PROC.202100010005142
</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</si>
  <si>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</si>
  <si>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</si>
  <si>
    <t>HURSO-IPGSE Total</t>
  </si>
  <si>
    <t>HEJA-IBGH</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</si>
  <si>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</si>
  <si>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</si>
  <si>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</si>
  <si>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</si>
  <si>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INVESTIMENTO, REFERENTE AO PROCESSO 201900010027948, PARA AQUISIÇÃO DE (03) TRÊS UNIDADES DO EQUIPAMENTO MÉDICO HOSPITALAR - FOCO CIRÚRGICO DE TETO.</t>
  </si>
  <si>
    <t>Valor estimado a menor da Folha referência mês anterior, foi ajustado ao valor Lançado na Planilha de Previsão Mensal de Repasse - GEFIC  e efetuado glosa da diferença no montante de R$ 1.008,88 na parcela de MAR de 2020.</t>
  </si>
  <si>
    <t>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</si>
  <si>
    <t>R$ DIFERENÇA GLOSA DE FOLHA JAN/20 LANÇADA NA PLANILHA DE PREVISÃO DE PAGAMENTO FEV/20 DA GEFIC (O PAGAMENTO PASSOU A SER REALIZADO DENTRO DO MÊS DE REFERÊNCIA POR ISSO FOI LANÇADA GLOSA ESTIMADA PREVISTA NO CONTRATO DE GESTÃO)</t>
  </si>
  <si>
    <t>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t>
  </si>
  <si>
    <t>Valor estimado a menor da Folha referência mês anterior, foi ajustado ao valor Lançado na Planilha de Previsão Mensal de Repasse - GEFIC  e efetuado glosa da diferença no montante de R$ 309,42 na parcela de MAI de 2020.</t>
  </si>
  <si>
    <t>Valor estimado a menor da Folha referência mês anterior, foi ajustado ao valor Lançado na Planilha de Previsão Mensal de Repasse - GEFIC  e efetuado glosa da diferença no montante de R$ 262,74 na parcela de JUN de 2020.</t>
  </si>
  <si>
    <t>Valor estimado a menor da Folha referência mês anterior, foi ajustado ao valor Lançado na Planilha de Previsão Mensal de Repasse - GEFIC  e efetuado glosa da diferença no montante de R$ 5.459,18 na parcela de JUL de 2020.</t>
  </si>
  <si>
    <t xml:space="preserve">Diferença de glosa da parcela de MAI 2020 ref.a  Folha referência ABR 2020, r Lançado na Planilha de Previsão Mensal de Repasse - GEFIC  MAI 2020  glosa da diferença no montante de R$ 262,74 </t>
  </si>
  <si>
    <t>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t>
  </si>
  <si>
    <t>Valor estimado a menor da Folha referência mês anterior, foi ajustado ao valor Lançado na Planilha de Previsão Mensal de Repasse - GEFIC  e efetuado glosa da diferença no montante de R$ 382,76 na parcela de AGO de 2020.</t>
  </si>
  <si>
    <t>DIFERENÇA FOLHA - REFERÊNCIA MAI/20 LANÇADO PLANILHA PAGAMENTO GEFIC EM JUN/20 e O EFETUADO NO MÊS JUN/20.</t>
  </si>
  <si>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</si>
  <si>
    <t>DIFERENÇA FOLHA - REFERÊNCIA JUN/20 - LANÇADO PLANILHA PAGAMENTO GEFIC EM JUL/20 e O EFETUADO NO MÊS JUL/20.</t>
  </si>
  <si>
    <t>R$ 8.533,16 - ENERGIA - REFERÊNCIA JUN/20 - LANÇADO PLANILHA PAGAMENTO GEFIC EM JUL/20
.
R$ 9.182,62 - ENERGIA - REFERÊNCIA JUL/20 - LANÇADO PLANILHA PAGAMENTO GEFIC EM AGO/20</t>
  </si>
  <si>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</si>
  <si>
    <t>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t>
  </si>
  <si>
    <t>ENERGIA - LANÇADO PLANILHA PAGAMENTO GEFIC EM DEZ/20
.
ENERGIA - REFERÊNCIA NOV20 ..............................R$ 11.493,10
ENERGIA - REFERÊNCIA NOV20 .............................R$ 10.898,44</t>
  </si>
  <si>
    <t>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</si>
  <si>
    <t>HEJA-IBGH Total</t>
  </si>
  <si>
    <t>HEJA-CEM</t>
  </si>
  <si>
    <t xml:space="preserve">R$ 1.101.564,00 -  REPASSE DE RECURSOS FINANCEIROS PARA EFETIVAÇÃO DO CUSTEIO REFERENTE À REGULARIZAÇÃO DE DESPESAS PARCIAL PELO PERÍODO DE 01 A 10/02/2021, RELATIVA AO CONTRATO DE GESTÃO EMERGENCIAL A SER FIRMADO ENTRE O ESTADO DE GOIÁS, ATRAVÉS DA SES/GO E A O.S. CEM, PARA O GERENCIAMENTO, OPERACIONALIZAÇÃO E EXECUÇÃO DAS AÇÕES NO HOSPITAL ESTADUAL DE JARAGUÁ DR. SANDINO DE AMORIN (HEJA). . DOCUMENTOS: REQUISIÇÃO DE DESPESA 027/2021, DESPACHO 124/2021-SUPER, ANEXO II 117/2021., PROC.202100010005133.
.
 R$ 1.321.876,80 - REPASSE DE RECURSOS FINANCEIROS PARA EFETIVAÇÃO DO CUSTEIO REFE-RENTE À REGULARIZAÇÃO DE DESPESAS PARCIAL PELO PERÍODO DE 11/02/2021 A 28/02/2021, RELATIVA AO CONTRATO DE GESTÃO EMERGENCIAL A SER FIRMADO ENTRE O ESTADO DE GOIÁS, ATRAVÉS DA SECRETARIA DE ESTADO DA SAÚDE - SES/GO E A ORGANIZAÇÃO SOCIAL INSTITUTO CEM, PARA O GERENCIAMENTO, OPER. E EXECUÇÃO DAS AÇÕES NO HEJA. . DOCUMENTOS: REQUISIÇÃO DE DESPESA Nº 32/2021 - GAOS, DESP. Nº 20/2021 - SUPCRS, DESP Nº 959/2021 - SGI E ANEXO II DESPACHO Nº 223/2021., PROC.202100010005133.
</t>
  </si>
  <si>
    <t xml:space="preserve">R$ 1.689.064,90 - REGULARIZAÇÃO DE DESPESAS PAC PELO PERÍODO DE 01/03/2021 A 24/03/2021,,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PROC.202100010005133.
</t>
  </si>
  <si>
    <t>CELG LANÇADA NA PLANILHA DE MAR/21:
.
DIAS VIGENTES DE JAN/21.......................R$ 2.365,40
FEVEREIRO/21..................................................R$ 12.120,31
.
CELG MAR/21 LANÇADO NA PLANILHA DE ABR/21............R$ 12.365,34</t>
  </si>
  <si>
    <t>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t>
  </si>
  <si>
    <t>HEJA-CEM Total</t>
  </si>
  <si>
    <t>HEMOCENTRO</t>
  </si>
  <si>
    <t>Folha OUT/18 - R$ 644.862,57 e 
Folha NOV/18 - R$ 1.637.629,49, ambos Lançado na Planilha de Previsão Mensal de Repasse - GEFIC de DEZ de 2018</t>
  </si>
  <si>
    <t>OI DEZ/18 - R$ 2.491,14
SANEAGO  DEZ/18 - R$ 2.221,74
GALAE - AGUA 20 L - DEZ/18  - R$ 535,20
LANÇADOS NA PLANILHA DE PAGAMENTODO MÊS DE DEZ/18/GEFI</t>
  </si>
  <si>
    <t>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t>
  </si>
  <si>
    <t>* R$ 2.399,12  OI BR TELECOM JAN/19;
* R$ 428,16 Água Mineral DEZ/18;
* R$ 129,34 - Água Mineral Diferença (OUT e NOV/18) apurada referente a glosa efetuada a menor - mês DEZ/18;
* R$ 24,16 - Saneamento Básico - Diferença apurada referente a flosa efetuada a menor - mês DEZ/18.</t>
  </si>
  <si>
    <t>ENEL:
* R$ 746,79 OUT/18;
* R$ 29.129,88 NOV/18
* R$ 649,27 Diferença (DEZ/18) apurada referente a  glosa efetuada a menor - mês DEZ/18</t>
  </si>
  <si>
    <t>Diferença apurada referente a glosa de Telefonia efetuada a maior - mês de DEZ/18.</t>
  </si>
  <si>
    <t>Valor estimado a menor da Folha referência mês anterior, foi ajustado ao valor Lançado na Planilha de Previsão Mensal de Repasse - GEFIC  e efetuado glosa da diferença no montante de R$ 96.229,54  na parcela de MAR de 2019.</t>
  </si>
  <si>
    <t>Valor estimado a menor da Folha referência mês anterior, foi ajustado ao valor Lançado na Planilha de Previsão Mensal de Repasse - GEFIC  e efetuado glosa da diferença no montante de R$  119.367,70 na parcela de ABR de 2019.</t>
  </si>
  <si>
    <t>Glosa da diferença no montante de R$ 96.229,54  referente a folha de JAN de 2019, devido ao ajuste efetivado entre o valor aplicado e o lançada na planilha de previsão de pagamento - GEFIC da parcela de FEV de 2019.</t>
  </si>
  <si>
    <t>LANÇADO PLANILHA GEFIC EM FEV/19:
.
TELEFONIA FIXA -REFERÊNCIA FEV/19..2.200,23 
.
AGUA MINERAL- REFERÊNCIA JAN/19....450,46</t>
  </si>
  <si>
    <t>LANÇADO PLANILHA GEFIC EM FEV/19:
CELG - JAN/19:
HEMOG - GOIÂNIA.......24.107,81
HEMOG- RIO VERDE.....6.453,96
.
SANEAGO:
HEMOG-GOIÂNIA PARTE...............476,83
HEMOG-RIO VERDE...........528,96</t>
  </si>
  <si>
    <t>Valor estimado a menor da Folha referência mês anterior, foi ajustado ao valor Lançado na Planilha de Previsão Mensal de Repasse - GEFIC  e efetuado glosa da diferença no montante de R$ 41.766,25 na parcela de MAI de 2019.</t>
  </si>
  <si>
    <t>Glosa da diferença no montante de R$ 119.367,70  referente a folha de FEV de 2019, devido ao ajuste efetivado entre o valor aplicado e o lançada na planilha de previsão de pagamento - GEFIC da parcela de MAR de 2019.</t>
  </si>
  <si>
    <t>LANÇADO PLANILHA GEFIC EM MAR/19:
.
TELEFONIA FIXA -REFERÊNCIA MAR/19..2.421,65 
.
AGUA MINERAL- REFERÊNCIA FEV/19....633,32
.
TECNOLOGIA - GTI:
HEMO RIO VERDE - 3.577,74
HEMO CATALÃO - 4.088,80
HEMO JATAI - 3.577,74
HEMO CERES - 4.543,14
HEMO GYN - 2.072,55</t>
  </si>
  <si>
    <t>LANÇADO PLANILHA GEFIC EM MAR19:
.
FORNECIMENTO ENERGIA - ENEL - FEV/19:
HEMO - GYN - 22.695,09
HEMO - RIO VERDE - 5.665,88
.
SANEAGO - FEV/19:
HEMO - GYN - 656,43
HEMO - RIO VERDE - 853,99
.</t>
  </si>
  <si>
    <t>Glosa da diferença no montante de R$ 41.766,25  referente a folha de MAR de 2019, devido ao ajuste efetivado entre o valor aplicado e o lançada na planilha de previsão de pagamento - GEFIC da parcela de ABR de 2019.</t>
  </si>
  <si>
    <t>LANÇADO PLANILHA GEFIC EM ABR/19:
.
TELEFONIA FIXA -REFERÊNCIA ABR/19..2.259,19 
.
AGUA MINERAL- REFERÊNCIA MAR/19....468,30</t>
  </si>
  <si>
    <t>LANÇADO PLANILHA GEFIC EM ABR/9:
.
FORNECIMENTO ENERGIA - ENEL -MAR/19:
HEMO - GYN - 20.741,90
HEMO - RIO VERDE - 5.550,58
.
SANEAGO - MAR19:
HEMO - GYN - 692,35
HEMO - RIO VERDE - 692,35</t>
  </si>
  <si>
    <t>LANÇADO PLANILHA GEFIC EM ABR/19:
.
TELEFONIA FIXA -REFERÊNCIA MAI/19..2.522,77 
.
AGUA MINERAL- REFERÊNCIA ABR/19....477,22
.
TECNOLOGIA - GTI:ABR e MAI/19
HEMO RIO VERDE - 1.316,96
HEMO CATALÃO - 1.505,08
HEMO JATAI - 1.316,96
HEMO CERES - 1.672,32
HEMO GYN - 762,90</t>
  </si>
  <si>
    <t>LANÇADO PLANILHA GEFIC EM ABR/9:
.
FORNECIMENTO ENERGIA - ENEL -ABR/19:
HEMO - GYN - 21.189,23
HEMO - RIO VERDE - 5.154,37
.
SANEAGO - ABR19:
HEMO - GYN - 871,95
HEMO - RIO VERDE - 997,67</t>
  </si>
  <si>
    <t>LANÇADO PLANILHA GEFIC EM JUN/19:
.
TELEFONIA FIXA -REFERÊNCIA MAI/19..2.187,75</t>
  </si>
  <si>
    <t>LANÇADO PLANILHA GEFIC EM JUN/9:
.
FORNECIMENTO ENERGIA - ENEL -JUN19:
HEMO - GYN - 21.189,23
HEMO - RIO VERDE - 5.154,37
.
SANEAGO - JUN/19:
HEMO - GYN - 871,95
HEMO - RIO VERDE - 997,67</t>
  </si>
  <si>
    <t>LANÇADO PLANILHA GEFIC EM JULHO/19:
.
TELEFONIA FIXA -REFERÊNCIA JUL/19..2.073,84
.
AGUA MINERAL 115 GARROFÕES - REFERÊNCIA JUN/19....512,90</t>
  </si>
  <si>
    <t>LANÇADO PLANILHA GEFIC EM JUL/9:
.
FORNECIMENTO ENERGIA - ENEL -JUN19:
HEMO - GYN - 20.667,06
HEMO - RIO VERDE - 4.614,30
.
SANEAGO - JUN/19:
HEMO - GYN - 3.224,71
HEMO - RIO VERDE - 979,71</t>
  </si>
  <si>
    <t>LANÇADO PLANILHA GEFIC EM AGO/19:
.
TELEFONIA FIXA -REFERÊNCIA AGO/19..2.019,55
AGUA MINERAL 115 GARROFÕES - REFERÊNCIA JUL/19....459,38
.
LANÇADO PLANILHA GEFIC EM SET/19:
.
TELEFONIA FIXA -REFERÊNCIA SET/19..2.167,72
AGUA MINERAL 115 GARROFÕES - REFERÊNCIA AGO/19....347,88</t>
  </si>
  <si>
    <t>LANÇADO PLANILHA GEFIC EM AGO/9:
.
FORNECIMENTO ENERGIA - ENEL -JUL19:
HEMO - GYN - 21.385,91
HEMO - RIO VERDE - 4.528,02
.
SANEAGO - JUL/19:
HEMO - GYN - 3.368,39
HEMO - RIO VERDE - 749,73
.
LANÇADO PLANILHA GEFIC EM SET/9:
.
FORNECIMENTO ENERGIA - ENEL -AGO19:
HEMO - GYN - 25.302,38
HEMO - RIO VERDE - 5.214,91
.
SANEAGO - AGO/19:
HEMO - GYN -4.000,45
HEMO - RIO VERDE - 989,97</t>
  </si>
  <si>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</si>
  <si>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</si>
  <si>
    <t xml:space="preserve">R$ 8.253,40 - RESSARCIMENTO DE VALORES DESPENDIDOS COM DÉBITOS TRIBUTÁRIOS PARA EXPEDIÇÃO DE ALVARÁ SANITÁRIO DO HEMOCENTRO COORDENADOR, REFERENTES AOS ANOS DE 2015 À 14 DE AGOSTO DE 2018, PROC.201900010030346
</t>
  </si>
  <si>
    <t>LANÇADO PLANILHA GEFIC EM OUT/19:
.
TELEFONIA FIXA -REFERÊNCIA OUT/19..2.456,57
.
ABASTECIMENTO VEICULAR (GYN,CATALÃO,JATAÍ) - REFERÊNCIA SET/19....3.692,62
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</si>
  <si>
    <t>LANÇADO PLANILHA GEFIC EM OUT/9:
.
FORNECIMENTO ENERGIA - ENEL -SET19:
HEMO - GYN - 27.876,61
HEMO - RIO VERDE - 6.359,13
.
SANEAGO - SET/19:
HEMO - GYN - 3.791,45
HEMO - RIO VERDE - 971,49</t>
  </si>
  <si>
    <t>LANÇADO PLANILHA GEFIC EM NOV/19:
.
TELEFONIA FIXA -REFERÊNCIA NOV/19..R$ 2.212,44
.
ABASTECIMENTO VEICULAR (GYN,CATALÃO,JATAÍ) - REFERÊNCIA OUT/19....R$ 1.482,62
REPOGRAFIA (LOCAÇÃO DE UMA MULTIFUNCIONAL)- REFERÊNCIA SET/19....R$ 44,21
IMPRESSÕES E LOCAÇÃO DE EQUIPAMENTOS - GETEC - PROC.201900010039451 - OUT/18 A SET/19.............R$ 28.701,56
.
LANÇADO PLANILHA GEFIC EM DEZ/19:
.
TELEFONIA FIXA -REFERÊNCIA DEZ/19..R$ 2.113,84
.
ABASTECIMENTO VEICULAR (GYN,CATALÃO,JATAÍ) - REFERÊNCIA NOV/19....R$ 283,53
.
LINKS DE DADOS (RIO VERDE, CATALÃO, JATAÍ, CERES E GOIÂNIA) GERÊNCIA DE TECNOLOGIA PROC.201900010007773 .....................R$ 29.583,99</t>
  </si>
  <si>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</si>
  <si>
    <t>LANÇADO PLANILHA GAOS EM JAN/20:
.
TELEFONIA FIXA -REFERÊNCIA JAN/120.R$ 2.040,36;
.
ABASTECIMENTO VEICULAR (GYN,CATALÃO,JATAÍ) - REFERÊNCIA DEZ/19....R$ 991,30;
.
CONTRATO Nº067/2016 - COPYSYSTEMS-T0 - PROC.202000010000033 .....................R$ 2.116,95</t>
  </si>
  <si>
    <t>LANÇADO PLANILHA GEFIC EM JAN/20:
.
FORNECIMENTO ENERGIA - ENEL -DEZ/19:
HEMO - GYN - 21.385,25
HEMO - RIO VERDE - 4.102,54
.
SANEAGO - DEZ/19:
HEMO - GYN - 4.912,45
HEMO - RIO VERDE - 779,97</t>
  </si>
  <si>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</si>
  <si>
    <t>LANÇADO PLANILHA GAOS EM FEV/20:
.
TELEFONIA FIXA -REFERÊNCIA FEV/120.R$ 0,00;
.
ABASTECIMENTO VEICULAR (GYN) - REFERÊNCIA JAN/20....R$ 394,36;
.
CONTRATO Nº067/2016 - COPYSYSTEMS-T0 - PROC.202000010005473 DEZ/2019 A JAN/2020.....................R$ 3.979,94</t>
  </si>
  <si>
    <t>LANÇADO PLANILHA GEFIC EM FEV/20:
.
FORNECIMENTO ENERGIA - ENEL -JAN/20:
HEMO - GYN - 19.891,97
HEMO - RIO VERDE - 3.850,39
.
SANEAGO - JAN/20:
HEMO - GYN - 3.373,45
HEMO - RIO VERDE - 601,89</t>
  </si>
  <si>
    <t>LANÇADO PLANILHA MAR-20:
ABASTECIMENTO VEICULAR FEV/20 : 809,96
.
COPYSISTEMS DEZ/19 A JAN/20 : 587,40</t>
  </si>
  <si>
    <t>LANÇADO PLANILHA MAR-20:
CELG - FEV/20:
21.792,21 
3846,99
.
SANEAGO FEV/20:
3.126,45
879,09</t>
  </si>
  <si>
    <t xml:space="preserve">LANÇADO PLANILHA ABR-20:
ABASTECIMENTO VEICULAR MAR/20 </t>
  </si>
  <si>
    <t xml:space="preserve">LANÇADO PLANILHA ABR-20:
CELG - MAR/20:
18.496,26
3.831,17
.
SANEAGO MAR/20:
1.739,45
910,55
</t>
  </si>
  <si>
    <t>Abastecimento veicular ref. ABR 2020, lançado na planilha de MAI 2020</t>
  </si>
  <si>
    <t>LANÇADO PLANILHA MAI-20:
CELG - ABR/20:
19.030,42
4.650,99
.
SANEAGO ABR/20:
3.202,45
916,05</t>
  </si>
  <si>
    <t>Link de dados instalados na unidade período de jan a mai 2020, memorando 96-20 GETEC, lançado na planilha de pagamento -  JUN - 2020 - GAOS</t>
  </si>
  <si>
    <t xml:space="preserve">LANÇADO PLANILHA JUN-20:
CELG - MAI/20:
18.438,55
3.747,00
.
SANEAGO MAI/20:
1.302,45
712,77
</t>
  </si>
  <si>
    <t>LANÇADO PLANILHA JUL-20:
CELG - JUN/20:
18.169,90
3.485,99
.
SANEAGO JUN/20:
1.320,45
786,69</t>
  </si>
  <si>
    <t>LANÇADO PLANILHA AGO-20:
CELG - JUL/20:
UC-12751110.....................R$ 18.958,75
UC-630214943.................................R$ 3.195,10
.
SANEAGO JUL/20:...........................R$ 897,57</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</si>
  <si>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</si>
  <si>
    <t xml:space="preserve">.LANÇADO PLANILHA SET-20:
CELG - AGO/20:
UC-12751110.....................R$ 18.794,61
UC-630214943.................................R$ 3.624,25
.
SANEAGO AGO/20:...........................R$ 934,53
</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</si>
  <si>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t>
  </si>
  <si>
    <t xml:space="preserve"> REFERÊNCIA SET/20 - LANÇADO PLANILHA PAGAMENTO GEFIC EM OUT/20:
.
R$ 20.238,65- ENERGIA UC (12751110)
R$ 3.246,29- ENERGIA UC (630214943)</t>
  </si>
  <si>
    <t xml:space="preserve"> REFERÊNCIA OUT/20 - LANÇADO PLANILHA PAGAMENTO GEFIC EM NOV/20:
.
R$ 21.077,60- ENERGIA UC (12751110)
R$ 1.929,84- ENERGIA UC (630214943)</t>
  </si>
  <si>
    <t xml:space="preserve">ENERGIA - LANÇADO PLANILHA PAGAMENTO GEFIC EM DEZ/20
.
CELG :
UC-12751110-NOV/20.....................R$ 18.997,23
UC-12751110-DEZ/20.....................R$ 22.474,90
UC-630214943-NOV/20.................R$ 1.434,81
UC-630214943-DEZ-20.................R$ 3.861,78
</t>
  </si>
  <si>
    <t>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</si>
  <si>
    <t>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t>
  </si>
  <si>
    <t>RESTITUIÇÃO REFERENTE A GLOSA INDEVIDA (SERVIDORES ELIANE GUTHIERRES ALVES VIEIRA E JAIME PEREIRA SANTIAGO) - CONF.DESPACHO 70/2021 SGI PROC.202000010019990 E DESPACHO 206/2021 SGI PROC.202000010019997</t>
  </si>
  <si>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</si>
  <si>
    <t>CELG FEV/21 LANÇADO NA PLANILHA DE MAR/21
UC -12751110............R$ 19.143,69
UC -630214943............R$ 5.058,22</t>
  </si>
  <si>
    <t>UC -12751110............R$ 19.143,69</t>
  </si>
  <si>
    <t>CELG MAR/21 LANÇADO NA PLANILHA DE ABR/21
UC -12751110............R$ 18.899,30
UC -630214943............R$ 4702,29</t>
  </si>
  <si>
    <t>UC -630214943............R$ 5.058,22</t>
  </si>
  <si>
    <t>CELG ABR/21 LANÇADO NA PLANILHA DE MAI/21
UC -12751110............R$ 21.340,01
UC -630214943............R$ 4.565,29</t>
  </si>
  <si>
    <t>CELG MAI/21 LANÇADO NA PLANILHA DE JUN/21
UC -12751110............R$  21.597,67
UC -630214943............R$ 4.166,26</t>
  </si>
  <si>
    <t>FOLHA - REFERÊNCIA JUN/21- LANÇADO PLANILHA PAGAMENTO GEFIC EM JUL
/21.
R$ 443.114,91 FOLHA - HEMOCENTRO GOIÁS;
R$ 22.611,17 HEMO CERES;
R$ 9.829,55 HEMO JATAÍ;
R$ 125.544,41 HEMO RIO VERDE
R$ 85.662,15 HEMO CATALÃO
,</t>
  </si>
  <si>
    <t>CELG JUN/21 LANÇADO NA PLANILHA DE JUL/21
UC -12751110............R$  24.259,35
UC -630214943............R$ 4.886,00</t>
  </si>
  <si>
    <t xml:space="preserve">FOLHA - REFERÊNCIA JUL/21- LANÇADO PLANILHA PAGAMENTO GEFIC EM AGO
/21.
R$ 447.183,02 FOLHA - HEMOCENTRO GOIÁS;
R$ 22.366,72 HEMO CERES;
R$ 10.892,31 HEMO JATAÍ;
R$ 126.391,47 HEMO RIO VERDE
R$ 88.472,65 HEMO CATALÃO
</t>
  </si>
  <si>
    <t>CELG JUL/21 LANÇADO NA PLANILHA DE AGO/21
UC -12751110............R$  24.943,57
UC -630214943............R$ 4.286,71</t>
  </si>
  <si>
    <t>HEMOCENTRO Total</t>
  </si>
  <si>
    <t>IGPR</t>
  </si>
  <si>
    <t>COMPL.REG.</t>
  </si>
  <si>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</si>
  <si>
    <t>Valor estimado a menor da Folha referência mês anterior, foi ajustado ao valor Lançado na Planilha de Previsão Mensal de Repasse - GEFIC  e efetuado glosa da diferença no montante de R$  70.872,56 na parcela de MAR de 2019.</t>
  </si>
  <si>
    <t>Valor estimado a menor da Folha referência mês anterior, foi ajustado ao valor Lançado na Planilha de Previsão Mensal de Repasse - GEFIC  e efetuado glosa da diferença no montante de R$ 106.450,21  na parcela de ABR de 2019.</t>
  </si>
  <si>
    <t>Glosa da diferença no montante de R$ 70.872,56  referente a folha de JAN de 2019, devido ao ajuste efetivado entre o valor aplicado e o lançada na planilha de previsão de pagamento - GEFIC da parcela de FEV de 2019.</t>
  </si>
  <si>
    <t>LANÇADO PLANILHA GEFIC EM FEV/19:
.
TELEFONIA FIXA:
DEZ/18 (DIAS 11/30)............279.,98
JAN/19..............................866,35
FEV/19..............................792,74
.
TELEFONIA MÓVEL:
NOV/18 (24/30 DIA).....................56,00
DEZ/18......................................70,00
JAN/19......................................56,45</t>
  </si>
  <si>
    <t xml:space="preserve"> LANÇADO PLANILHA GEFIC EM FEV/19:
.
CELG:
NOV/18................2.058,21
DEZ/18................3.522,85
JAN/19................4.071,38
.
SANEAGO: 
NOV/18.................161,51
DEZ/18.................457,75
JAN/19.................354,39</t>
  </si>
  <si>
    <t>Valor estimado a menor da Folha referência mês anterior, foi ajustado ao valor Lançado na Planilha de Previsão Mensal de Repasse - GEFIC  e efetuado glosa da diferença no montante de R$ 54.449,73 na parcela de MAI de 2019.</t>
  </si>
  <si>
    <t>Glosa da diferença no montante de R$ 106.450,21  referente a folha de FEV de 2019, devido ao ajuste efetivado entre o valor aplicado e o lançada na planilha de previsão de pagamento - GEFIC da parcela de MAR de 2019.</t>
  </si>
  <si>
    <t xml:space="preserve"> LANÇADO PLANILHA GEFIC EM FEV/19:
.
CELG:
FEV/19................4.739,98
.
SANEAGO: 
FEV/19................428,22</t>
  </si>
  <si>
    <t>Valor estimado a menor da Folha referência mês anterior, foi ajustado ao valor Lançado na Planilha de Previsão Mensal de Repasse - GEFIC  e efetuado glosa da diferença no montante de R$ 18.778,88 na parcela de JUN de 2019.</t>
  </si>
  <si>
    <t>Glosa da diferença no montante de R$ 54.449,73  referente a folha de MAR de 2019, devido ao ajuste efetivado entre o valor aplicado e o lançada na planilha de previsão de pagamento - GEFIC da parcela de ABR de 2019.</t>
  </si>
  <si>
    <t xml:space="preserve"> LANÇADO PLANILHA GEFIC EM MAR/19:
.
CELG:
MAR/19................4.197,63
.
SANEAGO: 
MAR/19................295,33</t>
  </si>
  <si>
    <t>Valor estimado a menor da Folha referência mês anterior, foi ajustado ao valor Lançado na Planilha de Previsão Mensal de Repasse - GEFIC  e efetuado glosa da diferença no montante de R$ 2.034,81 na parcela de JUL de 2019.</t>
  </si>
  <si>
    <t>Glosa da diferença no montante de R$ 18.778,88 referente a folha de ABR de 2019, devido ao ajuste efetivado entre o valor aplicado e o lançada na planilha de previsão de pagamento - GEFIC da parcela de MAI de 2019.</t>
  </si>
  <si>
    <t xml:space="preserve"> LANÇADO PLANILHA GEFIC EM MAI/19:
.
CELG:
ABR/19................4.018,60
.
SANEAGO: 
ABR/19................265,80</t>
  </si>
  <si>
    <t>Valor estimado a menor da Folha referência mês anterior, foi ajustado ao valor Lançado na Planilha de Previsão Mensal de Repasse - GEFIC  e efetuado glosa da diferença no montante de R$ 16.848,18 na parcela de AGO de 2019.</t>
  </si>
  <si>
    <t>Glosa da diferença no montante de R$ 2.034,81 referente a folha de MAI de 2019, devido ao ajuste efetivado entre o valor aplicado e o lançada na planilha de previsão de pagamento - GEFIC da parcela de JUN de 2019.</t>
  </si>
  <si>
    <t>TELEFONIA JUNHO/19</t>
  </si>
  <si>
    <t>ENERGIA  MAIO/19 3.809,89
SANEAGO MAIO/19 251,04</t>
  </si>
  <si>
    <t>Valor estimado a menor da Folha referência mês anterior, foi ajustado ao valor Lançado na Planilha de Previsão Mensal de Repasse - GEFIC  e efetuado glosa da diferença no montante de R$ 46.000,99  na parcela de SET de 2019.</t>
  </si>
  <si>
    <t>Glosa da diferença no montante de R$ 16.848,18 referente a folha de JUN de 2019, devido ao ajuste efetivado entre o valor aplicado e o lançada na planilha de previsão de pagamento - GEFIC da parcela de JUL de 2019.</t>
  </si>
  <si>
    <t>REFERÊNCIA JUN/19 - LANÇADO PLANILHA PAGAMENTO GEFIC EM JUL/19
- ENERGIA  JUN/19........R$ 3.298,99
- SANEAGO JUN/19.......R$ 280,57</t>
  </si>
  <si>
    <t>Glosa da diferença no montante de R$ 46.000,99 referente a folha de JUL de 2019, devido ao ajuste efetivado entre o valor aplicado e o lançada na planilha de previsão de pagamento - GEFIC da parcela de AGO de 2019.</t>
  </si>
  <si>
    <t>R$ 365,11 TELEFONIA FIXA -REFERÊNCIA AGO/19 - LANÇADO PLANILHA GEFIC EM AGO/19;
.
R$ 368,03TELEFONIA FIXA -REFERÊNCIA SET/19 - LANÇADO PLANILHA GEFIC EM SET/19</t>
  </si>
  <si>
    <t>REFERÊNCIA JUL/19 - LANÇADO PLANILHA PAGAMENTO GEFIC EM AGO/19
- ENERGIA  JUL/19........R$ 3.032,19
- SANEAGO JUL/19.......R$ 234,36
.
REFERÊNCIA AGO/19 - LANÇADO PLANILHA PAGAMENTO GEFIC EM SET/19
- ENERGIA  AGO/19........R$ 3.723,96
- SANEAGO AGO/19.......R$ 265,60</t>
  </si>
  <si>
    <t>Valor estimado a menor da Folha referência mês anterior, foi ajustado ao valor Lançado na Planilha de Previsão Mensal de Repasse - GEFIC  e efetuado glosa da diferença no montante de R$ 63.493,84 na parcela de NOV de 2019.</t>
  </si>
  <si>
    <t>Valor estimado a menor da Folha referência mês anterior, foi ajustado ao valor Lançado na Planilha de Previsão Mensal de Repasse - GEFIC  e efetuado glosa da diferença no montante de R$ 40.546,39  na parcela de DEZ de 2019.</t>
  </si>
  <si>
    <t>Glosa da diferença no montante de R$ 63.493,84 referente a folha de SET de 2019, devido ao ajuste efetivado entre o valor aplicado e o lançada na planilha de previsão de pagamento - GEFIC da parcela de OUT de 2019.</t>
  </si>
  <si>
    <t>REFERÊNCIA SET/19 - LANÇADO PLANILHA PAGAMENTO GEFIC EM OUT/19
- ENERGIA  SET/19........R$ 4.966,41
- SANEAGO SET/19.......R$ 531,15</t>
  </si>
  <si>
    <t>Valor estimado a menor da Folha referência mês anterior, foi ajustado ao valor Lançado na Planilha de Previsão Mensal de Repasse - GEFIC  e efetuado glosa da diferença no montante de R$ 18.006,06 na parcela de JAN de 2020.</t>
  </si>
  <si>
    <t>Glosa da diferença no montante de R$ 40.546,39 referente a folha de OUT de 2019, devido ao ajuste efetivado entre o valor aplicado e o lançada na planilha de previsão de pagamento - GEFIC da parcela de NOV de 2019.</t>
  </si>
  <si>
    <t>R$ 365,11 - TELEFONIA FIXA -REFERÊNCIA NOV/19 - LANÇADO PLANILHA GEFIC EM NOV/19;
.
R$ 2.213,27 - IMPRESSÃO E LOCAÇÃO DE EQUIPAMENTOS - GETEC - REFERÊNCIA NOV/18 A SET/19 - LANÇADO PLANILHA GAOS NOV/19
.
R$ 365,11 - TELEFONIA FIXA -REFERÊNCIA DEZ/19 - LANÇADO PLANILHA GEFIC EM DEZ/19</t>
  </si>
  <si>
    <t>REFERÊNCIA OUT/19 - LANÇADO PLANILHA PAGAMENTO GEFIC EM NOV/19
- ENERGIA  OUT/19........R$ 4.752,80
- SANEAGO OUT/19.......R$ 640,49
.
REFERÊNCIA NOV/19 - LANÇADO PLANILHA PAGAMENTO GEFIC EM DEZ/19
- ENERGIA  NOV/19........R$ 4.169,49
- SANEAGO NOV/19.......R$ 749,84</t>
  </si>
  <si>
    <t>Valor estimado a menor da Folha referência mês anterior, foi ajustado ao valor Lançado na Planilha de Previsão Mensal de Repasse - GEFIC  e efetuado glosa da diferença no montante de R$ 19.773,99 na parcela de FEV de 2020.</t>
  </si>
  <si>
    <t>R$ DIFERENÇA GLOSA DE FOLHANOV/19 LANÇADA NA PLANILHA DE PREVISÃO DE PAGAMENTO DEZ/19 DA GEFIC (O PAGAMENTO PASSOU A SER REALIZADO DENTRO DO MÊS DE REFERÊNCIA POR ISSO FOI LANÇADA GLOSA ESTIMADA PREVISTA NO CONTRATO DE GESTÃO)</t>
  </si>
  <si>
    <t>REFERÊNCIA NOV/19 - LANÇADO PLANILHA PAGAMENTO GEFIC EM DEZ/19:
.
VIGILÃNCIA - VIP - PROC.201900010006615
07/11 A 12/18..................R$ 41.468,00
01/01 A 21/02/19..............R$ 39.164,23
.
LIMPEZA E CONSERVAÇÃO - GARRA FORTE - PROC.201900010006615
07/11 A 12/2018........................R$ 41.899,09
01/01 A 21/02/2019...................R$ 40.685,42
.
TELEFONIA FIXA -REFERÊNCIA JAN/20 - LANÇADO PLANILHA GEFIC EM JAN/20...R$ 365,11</t>
  </si>
  <si>
    <t>REFERÊNCIA DEZ/19 - LANÇADO PLANILHA PAGAMENTO GEFIC EM JAN/20
- ENERGIA  DEZ/19........R$ 3.552,71
- SANEAGO DEZ/19.......R$ 328,08</t>
  </si>
  <si>
    <t>R$ DIFERENÇA GLOSA DE FOLHA DEZ/19 LANÇADA NA PLANILHA DE PREVISÃO DE PAGAMENTO JAN/20 DA GEFIC (O PAGAMENTO PASSOU A SER REALIZADO DENTRO DO MÊS DE REFERÊNCIA POR ISSO FOI LANÇADA GLOSA ESTIMADA PREVISTA NO CONTRATO DE GESTÃO)</t>
  </si>
  <si>
    <t>REFERÊNCIA JAN/20 - LANÇADO PLANILHA PAGAMENTO GEFIC EM FEV/20
- ENERGIA  JAN/20........R$ 3.710,08
- SANEAGO JAN/20.......R$ 484,29</t>
  </si>
  <si>
    <t>Valor estimado a menor da Folha referência mês anterior, foi ajustado ao valor Lançado na Planilha de Previsão Mensal de Repasse - GEFIC  e efetuado glosa da diferença no montante de R$ 2.700,49 na parcela de MAI de 2020.</t>
  </si>
  <si>
    <t>R$ 3.515,62 - ENERGIA - REFERÊNCIA MAR-20 - LANÇADO PLANILHA PAGAMENTO GEFIC EM ABR/20
.
R$ 1.454,68 - SANEAGO</t>
  </si>
  <si>
    <t>R$ 3.374,04 - ENERGIA - REFERÊNCIA MAR-20 - LANÇADO PLANILHA PAGAMENTO GEFIC EM ABR/20</t>
  </si>
  <si>
    <t>Valor estimado a menor da Folha referência mês anterior, foi ajustado ao valor Lançado na Planilha de Previsão Mensal de Repasse - GEFIC  e efetuado glosa da diferença no montante de R$ 181,03na parcela de JUL de 2020.</t>
  </si>
  <si>
    <t xml:space="preserve"> REFERÊNCIA MAI-20 - LANÇADO PLANILHA PAGAMENTO GEFIC EM JUN/20:
.
R$ 3.096,31 - ENERGIA 
R$ 796,19- SANEAGO</t>
  </si>
  <si>
    <t>Valor estimado a menor da Folha referência mês anterior, foi ajustado ao valor Lançado na Planilha de Previsão Mensal de Repasse - GEFIC  e efetuado glosa da diferença no montante de R$ 1.315.,86 na parcela de AGO de 2020.</t>
  </si>
  <si>
    <t>R$ 1.514,88- SANEAGO</t>
  </si>
  <si>
    <t>Valor estimado a menor da Folha referência mês anterior, foi ajustado ao valor Lançado na Planilha de Previsão Mensal de Repasse - GEFIC  e efetuado glosa da diferença no montante de R$ 26.239,10 na parcela de SET de 2020.</t>
  </si>
  <si>
    <t xml:space="preserve"> REFERÊNCIA JUL/20 - LANÇADO PLANILHA PAGAMENTO GEFIC EM AGO/20:
.
R$ 2.680,19- ENERGIA 
R$ 4.659,46- SANEAGO</t>
  </si>
  <si>
    <t>DIFERENÇA FOLHA - REFERÊNCIA JUL/20 LANÇADO PLANILHA PAGAMENTO GEFIC EM AGO/20 e O EFETUADO NO MÊS AGO/20.</t>
  </si>
  <si>
    <t xml:space="preserve"> REFERÊNCIA AGO/20 - LANÇADO PLANILHA PAGAMENTO GEFIC EM SET/20:
.
R$ 3.132,59- ENERGIA 
R$ 2.521,85- SANEAGO</t>
  </si>
  <si>
    <t>REFERÊNCIA SET/20 - LANÇADO PLANILHA PAGAMENTO GEFIC EM OUT/20
ENERGIA................................R$ 2.997,03;
SANEAGO.................................R$ 2.327,52.</t>
  </si>
  <si>
    <t>REFERÊNCIA OUT/20 - LANÇADO PLANILHA PAGAMENTO GEFIC EM NOV/20
ENERGIA................................R$ 3.783,63;
SANEAGO.................................R$ 1.903,53.</t>
  </si>
  <si>
    <t xml:space="preserve">LANÇADO PLANILHA PAGAMENTO GEFIC EM DEZ/20
.
ENERGIA/CELG-NOV/20.......................... R$ 3.064,79
ENERGIA/CELG-DEZ/20..........................R$ 3.760,50
SANEAGO-NOV/20.....................R$ 1.567,88
</t>
  </si>
  <si>
    <t xml:space="preserve">LANÇADO PLANILHA PAGAMENTO GEFIC EM JAN/21
.
SANEAGO-DEZ/20.....................R$ 2.097,86
</t>
  </si>
  <si>
    <t>LANÇADO PLANILHA PAGAMENTO GEFIC EM FEV/21
.
CELG-JAN/21.....................R$ 2.921,00
SANEAGO-JAN/21.....................R$ 1.781,25</t>
  </si>
  <si>
    <t xml:space="preserve">LANÇADO PLANILHA PAGAMENTO GEFIC EM MAR/21
.
CELG-FEV/21.....................R$ 4.179,52
SANEAGO-FEV/21.....................R$ 1.885,87
</t>
  </si>
  <si>
    <t>LANÇADO PLANILHA PAGAMENTO GEFIC EM ABR/21
.
CELG-MAR/21.....................R$ 3.581,87
SANEAGO-MAR21.....................R$ 2.239,19</t>
  </si>
  <si>
    <t>LANÇADO PLANILHA PAGAMENTO GEFIC EM MAI/21
.
CELG-ABR/21.....................R$ 3.491,70
SANEAGO-ABR/21.....................R$ 2.327,52</t>
  </si>
  <si>
    <t>LANÇADO PLANILHA PAGAMENTO GEFIC EM MAI/21</t>
  </si>
  <si>
    <t xml:space="preserve">LANÇADO PLANILHA PAGAMENTO GEFIC EM JUL/21
.
CELG-JUN/21.....................R$ 3.916,53
SANEAGO-JUN21.....................R$ 2.168,53
</t>
  </si>
  <si>
    <t>CELG-MAI/21.....................R$ 3.463,76</t>
  </si>
  <si>
    <t>COMPL.REG. Total</t>
  </si>
  <si>
    <t>IMED</t>
  </si>
  <si>
    <t>HUTRIN-IMED</t>
  </si>
  <si>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</si>
  <si>
    <t>ENEL- Ref.AGO de 2019 lançado na palnila prev.pagamento SET de 2019 (6 DIAS)</t>
  </si>
  <si>
    <t>Valor estimado a menor da Folha referência mês anterior, foi ajustado ao valor Lançado na Planilha de Previsão Mensal de Repasse - GEFIC  e efetuado glosa da diferença no montante de R$  2.256,95 na parcela de DEZ de 2019.</t>
  </si>
  <si>
    <t>Glosa da diferença no montante de R$ 2.256,95referente a folha de OUT de 2019, devido ao ajuste efetivado entre o valor aplicado e o lançada na planilha de previsão de pagamento - GEFIC da parcela de NOV de 2019.</t>
  </si>
  <si>
    <t>R$ 27.068,68 - ENERGIA - REFERÊNCIA OUT/19 - LANÇADO PLANILHA PAGAMENTO GEFIC EM NOV/19;
.
R$ 23.429,46 - PARTE ENERGIA - REFERÊNCIA NOV/19 - LANÇADO PLANILHA PAGAMENTO GEFIC EM DEZ/19</t>
  </si>
  <si>
    <t>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</si>
  <si>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</si>
  <si>
    <t>R$ 2.013,96 - RESTANTE ENERGIA - REFERÊNCIA NOV/19 - LANÇADO PLANILHA PAGAMENTO GEFIC EM DEZ/19
.
R$ 22.736,55 - ENERGIA - REFERÊNCIA DEZ/19 - LANÇADO PLANILHA PAGAMENTO GEFIC EM JAN/20</t>
  </si>
  <si>
    <t>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t>
  </si>
  <si>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</si>
  <si>
    <t>Valor estimado a menor da Folha referência mês anterior, foi ajustado ao valor Lançado na Planilha de Previsão Mensal de Repasse - GEFIC  e efetuado glosa da diferença no montante de R$ 1.337,06 na parcela de DEZ de 2020.</t>
  </si>
  <si>
    <t>DIFERENÇA FOLHA - REFERÊNCIA OUT/20 - LANÇADO PLANILHA PAGAMENTO GEFIC EM NOV/20 e O EFETUADO NO MÊS NOV/20.</t>
  </si>
  <si>
    <t>ENERGIA - REFERÊNCIA DEZ/20 - LANÇADO PLANILHA PAGAMENTO GEFIC EM DEZ20</t>
  </si>
  <si>
    <t xml:space="preserve">R$ 496.018,36 - 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</si>
  <si>
    <t>Folha referência mês anterior, Lançado na Planilha de Previsão Mensal de Repasse - GEFIC no valor R$ 13.326,11, foi aplicado um valor menor e a diferença foi aplicada junto a parcela de MAR/21</t>
  </si>
  <si>
    <t>R$ 228.931,55 -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t>
  </si>
  <si>
    <t xml:space="preserve">DIFERENÇA FOLHA DE JAN/21 LANÇADA NA PLANILHA DE REPASSE MENSAL /GAOS FEV/21.
</t>
  </si>
  <si>
    <t>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DESPACHO Nº 30/2021 - GAOS- 14421</t>
  </si>
  <si>
    <t xml:space="preserve">R$ 180.735,36 -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
</t>
  </si>
  <si>
    <t>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</si>
  <si>
    <t>HUTRIN-IMED Total</t>
  </si>
  <si>
    <t>LAGO RIOS</t>
  </si>
  <si>
    <t>POLICLINIDA - POSSE-LAGO RIOS</t>
  </si>
  <si>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</si>
  <si>
    <t xml:space="preserve">VIGILÂNCIA ARMADA: 22.555,83 LANÇADA NA PLANILHA DE MAR/20
</t>
  </si>
  <si>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</si>
  <si>
    <t xml:space="preserve">VIGILÂNCIA ARMADA: 39.804,40 LANÇADA NA PLANILHA DE ABR/20
</t>
  </si>
  <si>
    <t>CELG-REFERÊNCIA MAR/20 - LANÇADO PLANILHA PAGAMENTO GEFIC EM ABR/20</t>
  </si>
  <si>
    <t xml:space="preserve">VIGILÂNCIA ARMADA: 39.804,40 LANÇADA NA PLANILHA DE MAI/20
</t>
  </si>
  <si>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</si>
  <si>
    <t>VIGILÂNCIA ARMADA: 39.804,40 - MAI/20 LANÇADA NA PLANILHA DE JUN/20
.
VIGILÂNCIA ARMADA: R$ 6.174,28  PARTE DO VALOR 39.804,40 - JUN/20 LANÇADA NA PLANILHA DE JUL20</t>
  </si>
  <si>
    <t>R$ 27.157,64 - REFERÊNCIA MAI/20 - LANÇADO PLANILHA PAGAMENTO GEFIC EM JUN/20
.
R$ 22.979,48 JUN/20 LANÇADA NA DE JUL/20</t>
  </si>
  <si>
    <t>VIGILÂNCIA ARMADA: R$ 33.630,12 RESTANTE DO VALOR 39.804,40 - JUN/20 LANÇADA NA PLANILHA DE JUL20
.
VIGILÂNCIA ARMADA: 39.804,40 - ESTIMADO PLAN.AGOSTO 2020 - JUL/20 LANÇADA NA PLANILHA DE AGO-20</t>
  </si>
  <si>
    <t>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t>
  </si>
  <si>
    <t>POLICLINIDA - POSSE-LAGO RIOS Total</t>
  </si>
  <si>
    <t>H.CAMP.HOSP.SERVIDOR-AGIR</t>
  </si>
  <si>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</si>
  <si>
    <t xml:space="preserve">R$ 9.564.376,95 - REG.DESPESA -CUSTEIO 01/01 A 31/01/22, PROC.202100010003483
</t>
  </si>
  <si>
    <t>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.proc.DO2000010042189.</t>
  </si>
  <si>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</si>
  <si>
    <t>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</si>
  <si>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</si>
  <si>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202000010042189.
</t>
  </si>
  <si>
    <t>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</si>
  <si>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</si>
  <si>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PROC.202000010042189.</t>
  </si>
  <si>
    <t>H.CAMP.HOSP.SERVIDOR-AGIR Total</t>
  </si>
  <si>
    <t>INST</t>
  </si>
  <si>
    <t>H.CAMP.ITUMBIARA-INST</t>
  </si>
  <si>
    <t xml:space="preserve">R$ 915.000,00 - 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</si>
  <si>
    <t>ENERGIA - REFERÊNCIA SET/20 - LANÇADO PLANILHA PAGAMENTO GEFIC EM OUT/20
ENEL UC (690208467).................................R$ 15.427,47;
ENEL UC (690033151).................................R$ 8.619,12.</t>
  </si>
  <si>
    <t>ENERGIA -  - LANÇADO PLANILHA PAGAMENTO GEFIC EM OUT/20
OUTUBRO:
ENEL UC (690208467).................................R$  19.319,65;
ENEL UC (690033151).................................R$ 17.904,51;
ENEL UC (690174706.................................R$ 21.021,59;
NOVEMBRO:
ENEL UC (690208467).................................R$ 16.384,68;
ENEL UC (690033151).................................R$ 19.834,65;
ENEL UC (690174706.................................R$ 20.732,93;
DEZEMBRO:
ENEL UC (690208467).................................R$ 19.181,05;
ENEL UC (690033151).................................R$ 16.768,65;
ENEL UC (690174706.................................R$ 23.937,02.</t>
  </si>
  <si>
    <t>R$ 3.659.980,21 - REGULARIZAÇÃO DE DESPESAS PARCIAL PELO PERÍODO DE 01/01/2021 A 31/01/2021, RELATIVA AO CONT DE GESTÃO EMERG ENTRE O ESTADO DE GOIÁS, ATRAVÉS DA SECRETARIA DE ESTADO DA SAÚDE - SES/GO E A ORGANIZAÇÃO SOCIAL INSTITUTO NACIONAL DE AMPARO À PESQUISA, TECNOLOGIA E INOVAÇÃO NA GESTÃO PÚBLICA – INTS, PARA O GER, OPER E EXE AÇÕES E SERV DE SAÚDE NO HOSPITAL REGIONAL DE ITUMBIARA SÃO MARCOS. . DOCUMENTOS: DESPACHO Nº 428/2021- : DESPACHO Nº 96/2021. REQUIS DES N° 19/2021 – . DESP Nº 428/2021- SGI .DESP Nº 00086/2021TERMO DE RECONHECIMENTO DE DIVIDA. .PROC.202100010003532</t>
  </si>
  <si>
    <t>R$ 3.415.981,53 - REG.DESPESAS - 01/02/2021 A 28/02/2021, REPASSE DE RECURSOS FINAN PARA EF DO CUSTEIO REF À REG DE DESP PARCIA L DE , CONTRATO DE GESTÃO EMERGENCIAL A ENTRE O EST ADO DE GOIÁS, ATRAVÉS DA SECRETARIA DE ESTADO DA SAÚDE - SES/GO E A ORGANIZA ÇÃO SOCIAL INSTITUTO NACIONAL DE AMPARO À PESQUISA, TECNOLOGIA E INOVAÇÃO NA GESTÃO PÚBLICA INTS, PARA O Ger, OP E EX DAS AÇÕES E SERVIÇOS DE SAÚDE NO HOSPITAL REGIONAL DE ITUMBIARA SÃO MARCOS. . DOCUMENTOS;D Nº 1000/2021-D Nº 322/2021 . REQ DE DESPESA N° 53/2021 -ANEXO II 2021 DESPACHO Nº 00 249/2021. . CONFORME NOTA TECNICA 002/2013. PROC.202100010003532</t>
  </si>
  <si>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</si>
  <si>
    <t>R$ 1.777.037,70 - REGULARIZAÇÃO DE DESPESAS PARCIAL PELO PERÍODO DE  01/04/2021 à
30/04/2021, RELATIVA AO ADITIVO DO CONTRATO DE GESTÃO EMERGENCIAL DE 10 LEITOS UTI COVID A SER FIRMADO ENTRE O ESTADODE GOIÁS, ATRAVÉS DA SES/GO E A ORGANIZAÇÃO SOCIAL INTS, PARA O GER. OPER. E EXECUÇÃO DAS AÇÕES E SERVIÇOS DE SAÚDE NO HOSPITAL REGIONAL DE ITUMBIARA SÃO MARCOS .DOCUMENTAÇÃO: DESPACHO Nº 902-966/2021 - SUPER, DESP. Nº 335/2021 - GERINT,REQ. DE DESPESA N° 80/2021 - SUPER,DESP. Nº 2861/2021 - SGI. PROC.202100010017927 .REFERENTE AOS PERÍODOS:. 11 Leitos enfermaria COVID e 20 Leitos de UTI COVID.
.
R$ 3.659.980,21 - REGULARIZAÇÃO DE DESPESAS PARCIAL DO HOSPITAL REG IONAL DE ITUMBIARA SÃO MARCOS. . DOCUMENTOS : REQUISIÇÃO DE DESPESA N° 97/2021 SUPER. DESPACHO Nº 3076/2021 SGI. ANEXO II 2021. EMPENHO CONFORME NOTA TÉCNICA 002/2013.  PERÍODO  01/04/2021 A 30/04/2021, PROC.202100010003532</t>
  </si>
  <si>
    <t>CELG LANÇADO NA PLANILHA DE MAI/21:
.
JAN/21:
ENEL UC.690208467............R$18.868,07
ENEL UC.690033151............R$ 15.691,89
ENEL UC.690174706............R$ 41.208,05
.
FEV/21.:
ENEL UC.690208467............R$ 22.148,53
ENEL UC.690033151............R$ 16.128,31
ENEL UC.690174706............R$ 21.815,13
.
MAR/21:
ENEL UC.690208467............R$ 25.465,80
ENEL UC.690033151............R$ 15.598,35
ENEL UC.690174706............R$ 21.027,48
.
ABR/21.:
ENEL UC.690208467............R$30.964,19
ENEL UC.690033151............R$ 17.189,62
ENEL UC.690174706............R$ 22.451,82</t>
  </si>
  <si>
    <t>R$ 223.623,17 - REGULARIZAÇÃO DE DESPESAS CUSTEIO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
R$ 365.998,02 - REGULARIZAÇÃO DE DESPESAS CUSTEIO DO HOSPITAL REG IONAL DE ITUMBIARA SÃO MARCOS. . DOCUMENTOS : REQUISIÇÃO DE DESPESA N° 97/2021 SUPER. DESPACHO Nº 3076/2021 SGI. ANEXO II 2021. EMPENHO CONFORME NOTA TÉCNICA 002/2013.  PERÍODO DE  01/05/2021 A 03/05/2021, PROC.202100010003532.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</si>
  <si>
    <t>CELG LANÇADO NA PLANILHA DE JUN/21:
.
MAI/21:
ENEL UC.690208467............R$25.628,51
ENEL UC.690033151............R$ 18.578,82
ENEL UC.690174706............R$ 21.794,28</t>
  </si>
  <si>
    <t>R$ 2.460.532,42 -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 processo 202100010017927.</t>
  </si>
  <si>
    <t>CELG LANÇADO NA PLANILHA DE AGO/21:
.
JUN/21:
ENEL UC.690208467............R$ 24.550,37
ENEL UC.690033151............R$ 19.649,36
ENEL UC.690174706............R$ 21.569,31</t>
  </si>
  <si>
    <t>.R$ 163.427,71 -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 processo 202100010017927.</t>
  </si>
  <si>
    <t xml:space="preserve">CELG LANÇADO NA PLANILHA DE AGO/21:
.
JUL/21:
ENEL UC.690208467............R$ 23.895,44
ENEL UC.690033151............R$ 21.368,59
ENEL UC.690174706............R$ 19.208,11
.
</t>
  </si>
  <si>
    <t>H.CAMP.ITUMBIARA-INST Total</t>
  </si>
  <si>
    <t>H.CAMP.LUZIANIA-IMED</t>
  </si>
  <si>
    <t>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t>
  </si>
  <si>
    <t xml:space="preserve">R$ 3.467.794,54 - REGULARIZAÇÃO DE DESPESAS PARCIAL PELO PERÍODO DE 01/01/2021 A 31/01/2021,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17/2021 - SUPER,DESPACHO Nº 94/2021 - SUPER,DESPACHO Nº 430/2021 - SGI, NOTA TÉCNICA N°002/2013-ADSET GAB, TERMO DE RECONHECIMENTO DE DÍVIDA, ANEXO II N°082/2021.PROC.202100010003460
</t>
  </si>
  <si>
    <t>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DÍVIDA.PROC. 202100010003460. 
.
R$ 905.959,86 - REPASSE REGULARIZAÇÃO DE DESPESA PARA CUSTEIO RELATIVA AOS ADITIVOS DE 12LEITOS DE ENFERMARIA E 10 LEITOS DE UTI COVID, AO PERÍODO DE 15/02/2021 A28/02/2021;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
SUPER, DESPACHO Nº 2704/2021 SGI, NOTA TÉCNICA N°002/2013-ADSET/GAB,TERMO DE RECONHECIMENTO DE DÍVIDA.</t>
  </si>
  <si>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</si>
  <si>
    <t>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PROC. 202100010003460.
.
R$ 1.457.458,47 - REPASSE REGULARIZAÇÃO DE DESPESA PARA CUSTEIO RELATIVA AOS ADITIVOS DE  19 LEITOS DE ENFERMARIA E 20 LEITOS DE UTI COVID, AO PERÍODODE 10/03/2021 A 31/03/2021; 15 SALAS DE OBSERVAÇÃO,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 SUPER, DESPACHO Nº 2704/2021 SGI, NOTA TÉCNICA N°002/2013-ADSET/GAB,
TERMO DE RECONHECIMENTO DE DÍVIDA.
.
R$ 41.494,00 - REPASSE REGULARIZAÇÃO DE DESPESA PARA CUSTEIO RELATIVA AOS ADITIVOS DE  19 LEITOS DE ENFERMARIA, 20 LEITOS DE UTI COVID E 15SALAS DE OBSERVAÇÃO, AO PERÍODO DE 01/04/2021 A 30/04/2021,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</si>
  <si>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R$ 1.095.927,89 - 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t>
  </si>
  <si>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</si>
  <si>
    <t>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PROC.201900010038461
.
R$ 2.191.855,77 - REPASSE REGULARIZAÇÃO DE DESPESA PARA CUSTEIO RELATIVA AOS ADITIVOS DE E 19 LEITOS DE ENFERMARIA, 20 LEITOS DE UTI COVID E 15 SALAS DE OBSERVAÇÃO, AO PERÍODO DE 01/04/2021 A 30/04/2021,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</si>
  <si>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
R$ 53.571,20 - INVESTIMENTO, PARA AQUISIÇÃO DE MÓVEIS HOSPITALARES DESTINADOS AO HOSPITAL DE REGIONAL DE LUZIÂNIA. . DOCUMENTOS: REQUISIÇÃO DE DESPESA N° 111/2021 – GAOS, MEMORANDO Nº312/2021 –GAOS, DESPACHO Nº2580/2021–SGI, ANEXO II N°605/2021. . PROCESSO SEI 202000010020719</t>
  </si>
  <si>
    <t>R$ 62.949,99 - CELG ABR/21 LANÇADO NA PLANILHA DE MAI/21</t>
  </si>
  <si>
    <t>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t>
  </si>
  <si>
    <t xml:space="preserve">CELG LANÇADO NA PLANILHA DE AGO/21:
.
JUN/21:............R$ 43.337,32
JUL/21:............R$ 36.730,89
</t>
  </si>
  <si>
    <t>H.CAMP.LUZIANIA-IMED Total</t>
  </si>
  <si>
    <t>H.CAMP.FORMOSA -IMED</t>
  </si>
  <si>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</si>
  <si>
    <t xml:space="preserve">R$ 3.809.206,03 - REG.DESPESA - CUSTEIO DO PERÍODO  DE 01/01 A 31/01/22
</t>
  </si>
  <si>
    <t>REPASSE DE RECURSOS FINANCEIROS AO INSTITUTO DE MEDICINA, ESTUDOS E DESENVOLVIMENTO - IMED, A TÍTULO DE INVESTIMENTO, PARA INSTALAÇÃO DA REDE DE GASES MEDICINAIS NO HOSPITAL DE CAMPANHA DE FORMOSA, DE ACORDO COM O CONTRATO DE GE
STÃO EMERGENCIAL Nº 26/2020 - SES/GO - CLÁUSULA SÉTIMA - ITEM 7.5, EM CONSONÂNCIA COM A PORTARIA Nº 253/2020 - SES-GO (V.000013179457)INVESTIMENTO-INSTALAÇÃO DA REDE DE GASES, PROC.202000010023614</t>
  </si>
  <si>
    <t xml:space="preserve">R$ 3.809.206,03 - REG.DESPESAS - 01/02/2021 A 28/02/2021
</t>
  </si>
  <si>
    <t>R$ 57.686,45 - investimento, para Instalação da Rede de Gases Medicinais 202000010023614
.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</si>
  <si>
    <t>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</si>
  <si>
    <t xml:space="preserve">R$ 1.374.459,49 - REPASSE efetivação do custeio referente à regularização de despesas parcial
pelo período de 01/04/2021 a 30/04/2021, relativa ao Aditivo de 10 leitos Covid NO H.CAMP.FORMOSA. 202100010019985
</t>
  </si>
  <si>
    <t xml:space="preserve">R$ 452.124,80 - REPASSE efetivação do custeio referente à regularização de despesas parcial
pelo período de 01/05/2021 a 10/05/2021, relativa ao Aditivo de 10 leitos Co
vid NO H.CAMP.FORMOSA., 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</si>
  <si>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</si>
  <si>
    <t xml:space="preserve">INVESTIMENTO,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</si>
  <si>
    <t>H.CAMP.FORMOSA -IMED Total</t>
  </si>
  <si>
    <t>H.CAMP.AGUAS LINDAS-LAGO RIOS</t>
  </si>
  <si>
    <t>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t>
  </si>
  <si>
    <t>H.CAMP.AGUAS LINDAS-LAGO RIOS Total</t>
  </si>
  <si>
    <t>H.CAMP.S.L.M.BELOS-LAGO RIOS</t>
  </si>
  <si>
    <t>H.CAMP.S.L.M.BELOS-LAGO RIOS Total</t>
  </si>
  <si>
    <t xml:space="preserve">H.CAMP.AGUAS LINDAS-AGIR </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</si>
  <si>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
.
SET/20..............................R$ 6.099,806,59</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</si>
  <si>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A 05 DE OUTUBRO DE 2020:
.
OUT/20............................R$ 1.016.634,45</t>
  </si>
  <si>
    <t>H.CAMP.AGUAS LINDAS-AGIR  Total</t>
  </si>
  <si>
    <t>H.CAMP.S.L.M.BELOS-IMED</t>
  </si>
  <si>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</si>
  <si>
    <t>VALORES LANÇADOS NA PLANILHA DE REPASSE MENSALDO CONTRATO DE GESTÃO/GAOS DEZ/2020:
.
SANEAGO:
SET/2020.........................R$ 13.595,40
OUT/2020........................R$ 13.348,45
NOV/2020........................R$ 55.102,55
.
ENEL:
SET/2020.....................................................R$ 2.424,40
UC=100156256,54 - NOV/2020......................R$ 12.140,27
UC=100156256,54 - DEZ/2020......................R$ 1.989,21
UC=500058090 - DEZ/2020......................R$ 211.903,20
TOTAL......................................................R$ 310.503,48</t>
  </si>
  <si>
    <t xml:space="preserve">CELG LANÇADO NA PLANILHA DE MAI/21:
.
UC=100156256,54 - JAN/2021......................R$ 49.247,61
UC=500058090 - JAN/2021......................R$ 2.592,46
</t>
  </si>
  <si>
    <t>R$ 1.388.550,65- REPASSE DE RECURSOS FINANCEIROS PARA EFETIVAÇÃO DO CUSTEIO REF À REGULARIZAÇÃO DE DESPESAS PARCIAL PELO PERÍODO DE 16/01/2021 A 31/01/2021, RELATIVA AO CONTRATO DE GESTÃO EMERGENCIAL A SER FIRMADO ENTRE O ESTADO DE GOIÁS, ATRAVÉS DA SES/GO E A ORGANIZAÇÃO SOCIAL - IMED, PARA O GERENCIAMENTO, OPERACIONALIZAÇÃO E EXECUÇÃO DAS AÇÕES NO HOSPITAL REGIONAL DE SÃO LUÍS DE MONTES BELOS DR. GERALDO LANDÓ. . DOCUMENTOS: REQUISIÇÃO DE DESPESA 020/2021, ANEXO II 083/2021. PROC.202100010003564</t>
  </si>
  <si>
    <t xml:space="preserve">R$ 2.591.961,20 - REPASSE DE RECURSOS FINANCEIROS PARA EFETIVAÇÃO DO CUSTEIO REF. À REG. DE DESPESAS PARCIAL PELO PERÍODO DE 01/02/2021 A 28/02/2021, RE- LATIVA AO CONTRATO DE GESTÃO EMERGENCIAL A SER FIRMADO ENTRE O ESTADO DE GOIÁS, ATRAVÉS DA SES/GO E O IMED, ESTUDOS E DES. - IMED, PARA O GER., OPER. E EXECUÇÃO DAS AÇÕES NO HOSP. REGIONAL DE SÃO LUÍS DE MONTES BELOS DR. GERALDO LANDÓ. . DOCUMENTOS: REQUISIÇÃO DE DESPESA Nº 54/2021 - SUPER, DESP. Nº 323/2021 - SUPER, DESP. Nº 1001/2021 - SGI, ANEXO II DESP. Nº 00247/2021.PROC.202100010003564
.
R$ 185.140,09 -  REPASSE DE RECURSOS FINANCEIROS PARA EFETIVAÇÃO DO CUSTEIO REFERENTE À REGULARIZAÇÃO DE DESPESAS PARCIAL PELO PERÍODO DE 01/02/2021 A 28/02/2021, AO CONTRATO DE GESTÃO EMERGENCIAL A SER FIRMADO ENTRE O ESTADO DE GOIÁS, SECRETARIA DE ESTADO DA SAÚDE - SES/GO E A O. SOCIAL INST DE MEDICINA, ESTUDOS E DES- IMED, PARA O GEREN, OP E EX DAS AÇÕES NO HOSPITAL REGIONAL DE SÃO LUÍS DE MONTES BELOS DR. GERALDO LANDÓ. . DOCUMENTOS: DESP Nº 419/2021 - SUPER DESP Nº 1355/2021 ANEXO II Nº 00349/2021. . CONFORME NOTA TECNICA 02/2013 ADSET /GAB .PROC.202100010003564
</t>
  </si>
  <si>
    <t>R$ 2.777.101,29 - 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PROC. 202100010003564</t>
  </si>
  <si>
    <t xml:space="preserve">R$ 2.777.101,29 - 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</si>
  <si>
    <t>CELG LANÇADO NA PLANILHA DE MAI/21:
.
UC=100156256,54 - FEV/2021......................R$ 36.164,89
UC=500058090 - FEV/2021......................R$ 2.258,95
. 
UC=100156256,54 - MAR/2021......................R$ 33.624,86
UC=500058090 - MAR/2021......................R$ 2.073,63
.
RUC=100156256,54 - ABR/2021......................R$ 36.510,19
UC=500058090 - ABR/2021......................R$ 1.908,00
.
JANEIRO FOI DEDUZIDO DA PARCELA DE JAN/21</t>
  </si>
  <si>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</si>
  <si>
    <t>R$  370.280,16 - 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 proc.202100010003564.</t>
  </si>
  <si>
    <t xml:space="preserve">ENEL: LANÇADO NA PLANILHA DE RE´PASSE MENSAL - GAOS JUN/21
UC=100156256,54 - MAI/2021......................R$ 34.375,77
UC=500058090 - MAI/2021......................R$ 2.098,46
TOTAL......................................................R$ 36.474,23
</t>
  </si>
  <si>
    <t xml:space="preserve">ENEL: LANÇADO NA PLANILHA DE RE´PASSE MENSAL - GAOS JUL/21
UC=100156256,54 - JUN/2021......................R$ 32.864,24
UC=500058090 - JUN/2021......................R$ 1.672,66
TOTAL......................................................R$ 34.536,90
</t>
  </si>
  <si>
    <t xml:space="preserve">ENEL: LANÇADO NA PLANILHA DE RE´PASSE MENSAL - GAOS AGO/21
UC=100156256,54 - JUL/2021......................R$ 23.368,67
UC=500058090 - JUL/2021......................R$ 1.627,45
TOTAL......................................................R$ 24.996,12
</t>
  </si>
  <si>
    <t>H.CAMP.S.L.M.BELOS-IMED Total</t>
  </si>
  <si>
    <t>POLICLINIDA - POSSE-CEM</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</si>
  <si>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</si>
  <si>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</si>
  <si>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</si>
  <si>
    <t>INVESTIMENTO, PARA AQUISIÇÃO DE EQUIPAMENTOS DE HEMODIÁLISE DESTINADOS À POLICLÍNICA REGIONAL - UNIDADE POSSE., A SER EMPENHADO NO PROCESSO: 202000010032348</t>
  </si>
  <si>
    <t>VIGILÂNCIA ARMADA- LANÇADO PLANILHA PAGAMENTO GEFIC EM NOV/20
- REFERÊNCIA SET/20 ...................R$ 40.924,34
.- REFERÊNCIA OUT/20 ...................R$ 41.404,32
.
VIGILÂNCIA ARMADA- LANÇADO PLANILHA PAGAMENTO GEFIC EM DEZ/20
- REFERÊNCIA NOV/20 ...................R$ 41.404,32
.
VIGILÂNCIA ARMADA- LANÇADO PLANILHA PAGAMENTO GEFIC EM JAN/21
.- REFERÊNCIA DEZ/20 ...................R$ 41.404,32</t>
  </si>
  <si>
    <t>ENERGIA  - LANÇADO PLANILHA PAGAMENTO GEFIC EM NOV/20
- REFERÊNCIA SET/20.......................R$ 23,432,38
- REFERÊNCIA OUT/20......................R$ 26,818,19
.
ENERGIA  - LANÇADO PLANILHA PAGAMENTO GEFIC EM DEZ/20
- REFERÊNCIA NOV/20.......................R$ 26.607,34
- REFERÊNCIA DEZ/20......................R$ 27.564,89</t>
  </si>
  <si>
    <t>VIGILÂNCIA ARMADA- LANÇADO PLANILHA PAGAMENTO GEFIC EM FEV/21</t>
  </si>
  <si>
    <t>- REFERÊNCIA JAN/21 ...................R$ 41.404,32</t>
  </si>
  <si>
    <t>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DESPACHO Nº 532/2020 - GAOS- 14421</t>
  </si>
  <si>
    <t>VIGILÂNCIA ARMADA- LANÇADO PLANILHA PAGAMENTO GEFIC EM MAI/21
- REFERÊNCIA ABR21 ...................R$ 41.404,32</t>
  </si>
  <si>
    <t xml:space="preserve">VIGILÂNCIA ARMADA- LANÇADO PLANILHA PAGAMENTO GEFIC EM MAI/21
- REFERÊNCIA ABR21 ...................R$ 41.404,32
</t>
  </si>
  <si>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</si>
  <si>
    <t>VIGILÂNCIA ARMADA- LANÇADO PLANILHA PAGAMENTO GEFIC EM JUL/21
- REFERÊNCIA JUN21 ...................R$ 41.404,32</t>
  </si>
  <si>
    <t>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t>
  </si>
  <si>
    <t>POLICLINIDA - POSSE-CEM Total</t>
  </si>
  <si>
    <t>POLICLINICA - GOIANESIA-CEM</t>
  </si>
  <si>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</si>
  <si>
    <t>R$ 233,74 -CELG JAN/21 LANÇADO NA PLANILHA DE FEV/21 (PROPORCIONAL AOS DIAS DE VIGÊNCIA).
.
R$ 1.030,68 - -CELG FEV/21 LANÇADO NA PLANILHA DE FEV/21.
.
R$ 8.926,93 - PARTE DO VALOR (21.484,07)CELG MAR/21 LANÇADO NA PLANILHA DE ABR/21. O RESTANTE FOI LANÇADO NA PARCELA DE JUN/21</t>
  </si>
  <si>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</si>
  <si>
    <t xml:space="preserve">VIGILÂNCIA ARMADA- LANÇADO PLANILHA PAGAMENTO GEFIC EM MAI/21
ABR/21............................R$ R$ 41.404,32 
.
VIGILÂNCIA ARMADA- LANÇADO PLANILHA PAGAMENTO GEFIC EM JUN
/21
MAI/21............................R$ R$ 41.404,32 </t>
  </si>
  <si>
    <t xml:space="preserve">R$ 12.557,14 - RESTANTE DO VALOR (21.484,07)CELG MAR/21 LANÇADO NA PLANILHA DE ABR/21. 
.
R$ 11.360,44 CELG ABR/21 LANÇADO NA PLANILHA DE MAI/21. 
.
R$ 17.239,42 CELG MAI/21 LANÇADO NA PLANILHA DE JUN/21
</t>
  </si>
  <si>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</si>
  <si>
    <t>VIGILÂNCIA ARMADA- LANÇADO PLANILHA PAGAMENTO GEFIC EM JUL/21
REFERÊNCIA JUN/21..................R$ 41.404,32</t>
  </si>
  <si>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</si>
  <si>
    <t>POLICLINICA - GOIANESIA-CEM Total</t>
  </si>
  <si>
    <t>H.CAMP.URUAÇU-AGIR</t>
  </si>
  <si>
    <t xml:space="preserve"> R$ 9.326.108,90 -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PROC. 202100010013678
. 
</t>
  </si>
  <si>
    <t xml:space="preserve">R$ 9.326.108,90 - 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</si>
  <si>
    <t>GLOSA VIGILANCIA ARMADA, CONF. DESPACHO Nº 379/2021 - GAOS- 14421, NO Processo nº 201800010008207
REFERÊNCIA MAR/21..................R$ 62.106,48
REFERÊNCIA MAI/21..................R$ 62.106,48</t>
  </si>
  <si>
    <t xml:space="preserve">GLOSA CELG, CONF. DESPACHO Nº 379/2021 - GAOS- 14421, NO Processo nº 201800010008207
REFERÊNCIA ABR/21..................R$ 197.788,71
</t>
  </si>
  <si>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</si>
  <si>
    <t>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</si>
  <si>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</si>
  <si>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</si>
  <si>
    <t>H.CAMP.URUAÇU-AGIR Total</t>
  </si>
  <si>
    <t>POLICLINICA - QUIRINOPOLIS-CEM</t>
  </si>
  <si>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</si>
  <si>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</si>
  <si>
    <t>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</si>
  <si>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</si>
  <si>
    <t xml:space="preserve">VIGILÂNCIA ARMADA- LANÇADO PLANILHA PAGAMENTO GEFIC EM JUL/21
- REFERÊNCIA JUN21 ...................R$ 41.404,32
</t>
  </si>
  <si>
    <t>R$ 30.252,03 - CELG ABR/21 LANÇADO NA PLANILHA DE MAI/21
.
R$ 13.059,29- CELG JUN/21 LANÇADO NA PLANILHA DE JUL/21</t>
  </si>
  <si>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</si>
  <si>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</si>
  <si>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</si>
  <si>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</si>
  <si>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POLICLINICA - QUIRINOPOLIS-CEM Total</t>
  </si>
  <si>
    <t>IGES</t>
  </si>
  <si>
    <t>HUTRIN-GERIR</t>
  </si>
  <si>
    <t>FOLHA DE PESSOAL DEZ/16</t>
  </si>
  <si>
    <t>FOLHA DE PESSOAL JAN/17</t>
  </si>
  <si>
    <t>FOLHA DE PESSOAL FEV/17</t>
  </si>
  <si>
    <t>FOLHA DE PESSOAL MAR/17</t>
  </si>
  <si>
    <t>FOLHA DE PESSOAL ABR/17</t>
  </si>
  <si>
    <t>FOLHA DE PESSOAL MAI/17</t>
  </si>
  <si>
    <t>FOLHA DE PESSOAL JUN/17</t>
  </si>
  <si>
    <t>FOLHA DE PESSOAL JUL/17</t>
  </si>
  <si>
    <t>R$ 8.730,38 - PARTE DA GLOSA DE FOLHA DE PESSOAL AGOI/17 (R$ 13.911,18), FOI EFETIVADO AJUSTE NA PARCELA DE NOV/17 (R$ 3.984,37)  E DEZ/18 (R$ 1.196,43)</t>
  </si>
  <si>
    <t>FOLHA DE PESSOAL SET/17</t>
  </si>
  <si>
    <t xml:space="preserve"> GLOSA DE FOLHA DE PESSOAL OUTI/17 (R$ 6.057,63) E PARTE GLOSA DE FOLHA  AGO/17 R$ 3.984,37</t>
  </si>
  <si>
    <t xml:space="preserve">CELG -  SET/17, LANÇADO NA PLANILHA DE REPASSE MENSAL OUT/17
</t>
  </si>
  <si>
    <t>FOLHA DE PESSOAL NOV/17</t>
  </si>
  <si>
    <t xml:space="preserve">GLOSA REF.AO FORNECIMENTO EM OUT/17.R$ 29.326,57 LANÇADO NA PLANILHA DE REPASSE MENSAL NOV/17  E NOV/17 R$ 35.540,29
</t>
  </si>
  <si>
    <t>FOLHA DE PESSOAL DEZ/17</t>
  </si>
  <si>
    <t xml:space="preserve">CELG - DEZ/17
</t>
  </si>
  <si>
    <t>FOLHA DE PESSOAL JAN/18</t>
  </si>
  <si>
    <t xml:space="preserve">CELG - JAN/18
</t>
  </si>
  <si>
    <t>FOLHA DE PESSOAL FEV/18</t>
  </si>
  <si>
    <t xml:space="preserve">CELG - FEV/18
</t>
  </si>
  <si>
    <t>FOLHA DE PESSOAL MAR/18</t>
  </si>
  <si>
    <t xml:space="preserve">CELG - JAN A AGO/17 204.634,35 E MAR/18 34.464,16
</t>
  </si>
  <si>
    <t>FOLHA DE PESSOAL ABR/18</t>
  </si>
  <si>
    <t xml:space="preserve">CELG - ABR/18
</t>
  </si>
  <si>
    <t>FOLHA DE PESSOAL MAI/18</t>
  </si>
  <si>
    <t xml:space="preserve">CELG - MAI/18
</t>
  </si>
  <si>
    <t>FOLHA DE PESSOAL JUN/18</t>
  </si>
  <si>
    <t xml:space="preserve">CELG - JUN/2018
</t>
  </si>
  <si>
    <t>AJUSTE FINANCEIRO POR NÃO CUMPRIMENTO DE METAS:
PROC.201700010027160-PERIODO DE JAN A JUN/17 R$ 867.497,00 (DIVIDIDO EM 6 PARCELA DE R$ 144.582,83)  CONF.PARECER TÉCNICO Nº 042/2017 - COMACG/SES -GO E MEMO 2661/2018 SEI - SGPF - 03079</t>
  </si>
  <si>
    <t>FOLHA DE PESSOAL JUL/18</t>
  </si>
  <si>
    <t xml:space="preserve">CELG - JUL/2018
</t>
  </si>
  <si>
    <t>FOLHA DE PESSOAL AGO/18</t>
  </si>
  <si>
    <t xml:space="preserve">CELG - AGO/2018
</t>
  </si>
  <si>
    <t>AJUSTE FINANCEIRO POR NÃO CUMPRIMENTO DE METAS:
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</si>
  <si>
    <t>FOLHA DE PESSOAL SET/18</t>
  </si>
  <si>
    <t xml:space="preserve">CELG - SET/2018
</t>
  </si>
  <si>
    <t>AJUSTE FINANCEIRO POR NÃO CUMPRIMENTO DE METAS:
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</si>
  <si>
    <t>R$ 1.196,43 -RESTANTE GLOSA DE FOLHA  AGO/17                                                             FOLHA OUT/18 - 16.917,43 E 
FOLHA NOV/18 (26 DIAS) - 11.536,35</t>
  </si>
  <si>
    <t xml:space="preserve">CELG OUT/18 - 34.538,64 E 
CELG NOV/18 (26 DIAS) - 26.898,46
.
SANEAGO MESES DE RERERÊNCIA DEZ/16 A NOV/18 266.654,96 PROC.201900010001380 Memorando nº: 110/2019 - GEFIC- 14421
</t>
  </si>
  <si>
    <t>AJUSTE FINANCEIRO POR NÃO CUMPRIMENTO DE METAS:
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(AJUSTE FINANCEIRO A MENOR VISTO INSUFICIÊNCIA DE SALDO PARA APLICASR NA SUA TOTALIDADE) AJUSTE FINANCEIRO REF.PELO NÃO CUMPRIMENTO DE METAS NO PERIODO ANALISADO De 01 de Julho de 2018 a 26 de Novembro de 2018. valor total de desconto financeiro a menor para o período em avaliação é de R$ 1.456.396,90 (Um milhão, quatrocentos e cinquenta e seis mil, trezentos e noventa e seis reais e noventa centavos) CONFORME Parecer Técnico n° 7/2019, elaborado pela COMACG - Comissão de Monitoramento e Avaliação dos Contratos de Gestão, Processo nº 201900010019253</t>
  </si>
  <si>
    <t>HUTRIN-GERIR Total</t>
  </si>
  <si>
    <t>HUGO-GERIR</t>
  </si>
  <si>
    <t xml:space="preserve">FOLHA DE PESSOAL DEZ/16 </t>
  </si>
  <si>
    <t xml:space="preserve">FOLHA DE PESSOAL JAN/17 </t>
  </si>
  <si>
    <t>TELEFONIA-OI JAN/17............R$ 10.607,17 e FEV/17...............R$  11.324,20</t>
  </si>
  <si>
    <t xml:space="preserve">Glosa determinada pelo ministério publico - Memo nº0555/2017-SGPF/SES-GO - PROC.20170001000507 - lançado planilha GEFIC - FEV/17
</t>
  </si>
  <si>
    <t xml:space="preserve">FOLHA DE PESSOAL FEV/17 </t>
  </si>
  <si>
    <t xml:space="preserve">TELEFONIA-OI MAR/17 </t>
  </si>
  <si>
    <t xml:space="preserve">FOLHA DE PESSOAL MAR/17 </t>
  </si>
  <si>
    <t>TELEFONIA-OI ABR/17</t>
  </si>
  <si>
    <t>Glosa determinada ministério publico - memo nº0555/2017-SGPF/SES-GO PROC.20170001000507 - lançado na planilha de ABR/17</t>
  </si>
  <si>
    <t xml:space="preserve">TELEFONIA-OI MAI/17 </t>
  </si>
  <si>
    <t>FOLHA DE PESSOAL MAI/17 - VALOR ESTIMADO -FOI EFETIVADO AJUSTE AO VALOR INFORMADO NA PLANILHA DE REPASSE MENSAL , JUNTO A PARCELA DE NOV/18, CONFORME  Memorando nº: 3735/2018 SEI - SCAGES- 03082, PROCESSO 201700010019523.</t>
  </si>
  <si>
    <t>TELEFONIA-OI JUN/17 - VALOR ESTIMADO -FOI EFETIVADO AJUSTE AO VALOR INFORMADO NA PLANILHA DE REPASSE MENSAL , JUNTO A PARCELA DE NOV/18, CONFORME  Memorando nº: 3735/2018 SEI - SCAGES- 03082, PROCESSO 201700010019523.</t>
  </si>
  <si>
    <t>TELEFONIA-OI JUL/17 - VALOR ESTIMADO -FOI EFETIVADO AJUSTE AO VALOR INFORMADO NA PLANILHA DE REPASSE MENSAL , JUNTO A PARCELA DE NOV/18, CONFORME  Memorando nº: 3735/2018 SEI - SCAGES- 03082, PROCESSO 201700010019523.</t>
  </si>
  <si>
    <t>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JUL/2017................................R$ 22.806,42</t>
  </si>
  <si>
    <t xml:space="preserve">FOLHA DE PESSOAL JUL/17 </t>
  </si>
  <si>
    <t xml:space="preserve">TELEFONIA-OI AGO/17 </t>
  </si>
  <si>
    <t>PAGO A MAIOR DEVIDO TER SIDO LIQUIDADO COM VALOR ESTIMADO DO MÊS ANTERIOR, HOUVE COMPENSAÇÃO JUNTO A PARCELA DE SET/17</t>
  </si>
  <si>
    <t>Ressarcimento Órtese, Protese e Materiais Especiais - OPME, não contemplado na Tabela do SUS, para paciente JONE BATISTA DE SOUZA em cirurgia realizada no HUGO  em 04-05-17 conf.documentos no  PROCESSO Nº 201700010007673 VALOR  R$ 2.390,00.</t>
  </si>
  <si>
    <t>FOLHA DE PESSOAL AGO/17 - VALOR ESTIMADO -FOI EFETIVADO AJUSTE AO VALOR INFORMADO NA PLANILHA DE REPASSE MENSAL , JUNTO A PARCELA DE NOV/18, CONFORME  Memorando nº: 3735/2018 SEI - SCAGES- 03082, PROCESSO 201700010019523.</t>
  </si>
  <si>
    <t>TELEFONIA-OI SET/- VALOR ESTIMADO -FOI EFETIVADO AJUSTE AO VALOR INFORMADO NA PLANILHA DE REPASSE MENSAL , JUNTO A PARCELA DE NOV/18, CONFORME  Memorando nº: 3735/2018 SEI - SCAGES- 03082, PROCESSO 201700010019523.</t>
  </si>
  <si>
    <t xml:space="preserve">Compresação para regularizar pagameno efetuado a maior no mês de 08/17, visto que houve liquidação estimada neste mês.
</t>
  </si>
  <si>
    <t>Ressarcimento Órtese, Protese e Materiais Especiais - OPME, não contemplado na Tabela do SUS, para pacientes: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 R$ 2.390,00.</t>
  </si>
  <si>
    <t>TELEFONIA-OI OUT/17 -VALOR ESTIMADO -FOI EFETIVADO AJUSTE AO VALOR INFORMADO NA PLANILHA DE REPASSE MENSAL , JUNTO A PARCELA DE NOV/18, CONFORME  Memorando nº: 3735/2018 SEI - SCAGES- 03082, PROCESSO 201700010019523.</t>
  </si>
  <si>
    <t>FOLHA DE PESSOAL OUT/17  -   VALOR ESTIMADO -FOI EFETIVADO AJUSTE AO VALOR INFORMADO NA PLANILHA DE REPASSE MENSAL , JUNTO A PARCELA DE NOV/18, CONFORME  Memorando nº: 3735/2018 SEI - SCAGES- 03082, PROCESSO 201700010019523.</t>
  </si>
  <si>
    <t>CELG REF.AO FORNECIMENTO EM SET/17, LANÇADO NA PLANILHA DE REPASSE MENSAL OUT/21</t>
  </si>
  <si>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</si>
  <si>
    <t xml:space="preserve">FOLHA DE PESSOAL NOV/17 </t>
  </si>
  <si>
    <t>TELEFONIA-OI NOV/17.................R$ 9.351,096 lançado na planilha de repasse de NOV/17 e DEZ/17 .................R$ 9.695,88</t>
  </si>
  <si>
    <t>CELG - LANÇADO NA PLANILHA DE NOV/17
REFERÊNCIA OUT/17..............R$ 119.652,88</t>
  </si>
  <si>
    <t>RESSARCIMENTO DE ÓRTESES, PRÓTESE E MATERIAIS ESPECIAIS ¿ OPME, NÃO CONTEMPLADO NA TABELA SUS, PARA O PACIENTE ELIAS VIANA DA SILA, INTERNADO NO HUGO., DESPACHO Nº 557/2017-SCAGES/SES FLS.61/62, DESPACHO Nº 2.890/2017-SGPF/SES FLS.63, REFERENTE AO PROCESSO 201700010008959</t>
  </si>
  <si>
    <t xml:space="preserve">FOLHA DE PESSOAL DEZ/17 </t>
  </si>
  <si>
    <t xml:space="preserve">TELEFONIA-OI JAN/18 </t>
  </si>
  <si>
    <t xml:space="preserve">CELG -  DEZ/17 </t>
  </si>
  <si>
    <t xml:space="preserve">FOLHA DE PESSOAL JAN/18 </t>
  </si>
  <si>
    <t xml:space="preserve">TELEFONIA-OI FEV/18 </t>
  </si>
  <si>
    <t xml:space="preserve">CELG -  JAN/18 </t>
  </si>
  <si>
    <t xml:space="preserve">FOLHA DE PESSOAL FEV/18 </t>
  </si>
  <si>
    <t xml:space="preserve">TELEFONIA-OI MAR/18 </t>
  </si>
  <si>
    <t>CELG - R4 140.998,69 NOV/17 e R$ 112.318,85  FEV/18</t>
  </si>
  <si>
    <t>Ressarcimento Órtese, Protese e Materiais Especiais - OPME, não contemplado na Tabela do SUS, para pacientes:     
PACIENTE ISMAEL ALVES DOS SANTOS, INTERNADO NO HUGO.REFERENTE AO PROCESSO 201700010014004. . VALOR: R$ 2.340,00.
PACIENTE MARIA NERES DE JESUS, INTERNADO NO HUGO. REFERENTE AO PROCESSO 201700010013224. . VALOR: R$ 2.380,00.
PACIENTE ANTONIO DIVINO SANCHES, INTERNADO NO HUGO.  REFERENTE AO PROCESSO 201700010012679. . ...R$ 2.380,15
PACIENTE BLANDINA DE SOUZA OLIVEIRA, INTERNADO NO HUGO REFERENTE AO PROCESSO 201700010012163. ........R$ 4.008,32
 PACIENTE ION HENRIQUE SARAIVA, INTERNADO NO HUGO.REFERENTE AO PROCESSO 201700010007674. . VALOR: R$ 8.604,50</t>
  </si>
  <si>
    <t xml:space="preserve">FOLHA DE PESSOAL MAR/18 </t>
  </si>
  <si>
    <t xml:space="preserve">TELEFONIA-OI ABR/18 </t>
  </si>
  <si>
    <t xml:space="preserve">CELG - R$ 292.929,29 JUL A AGO/17 e R$ 130.845,54  MAR/18
</t>
  </si>
  <si>
    <t xml:space="preserve">FOLHA DE PESSOAL ABR/18 </t>
  </si>
  <si>
    <t xml:space="preserve">TELEFONIA-OI MAI/18 </t>
  </si>
  <si>
    <t>CELG - ABRIL/2018</t>
  </si>
  <si>
    <t xml:space="preserve">FOLHA DE PESSOAL MAI/18 </t>
  </si>
  <si>
    <t xml:space="preserve">TELEFONIA-OI JUN/18 </t>
  </si>
  <si>
    <t>CELG - MAI/18</t>
  </si>
  <si>
    <t>R$ 7.734.154,88. -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
R$ 9.361.302,00 - Relatório de Execução № 20/2017  e Parecer Técnico № 01/2018 – COMFIC/GEFIC/SCAGES/SES,e Memorando nº: 4255/2018 SEI - SGPF- 03079,  não cumprimento de meta no período avaliado de maio 2017 a outubro de 2017 - PROC.201800010014167-SEI 
.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</si>
  <si>
    <t xml:space="preserve">FOLHA DE PESSOAL JUN/18 </t>
  </si>
  <si>
    <t xml:space="preserve">TELEFONIA-OI JUL/18 </t>
  </si>
  <si>
    <t xml:space="preserve">FOLHA DE PESSOAL JUL/18 </t>
  </si>
  <si>
    <t xml:space="preserve">TELEFONIA-OI AGO/18 </t>
  </si>
  <si>
    <t>CELG PROC.201700010019675:
* JANEIRO A MAIO/17 R$ 601.207,41;
*JULHO/18 R$ 110250,46</t>
  </si>
  <si>
    <t xml:space="preserve">FOLHA DE PESSOAL AGO/18 </t>
  </si>
  <si>
    <t xml:space="preserve">TELEFONIA-OI SET/18 </t>
  </si>
  <si>
    <t>CELG - AGO/18</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</si>
  <si>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</si>
  <si>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</si>
  <si>
    <t xml:space="preserve">FOLHA DE PESSOAL SET/18 </t>
  </si>
  <si>
    <t xml:space="preserve">TELEFONIA-OI OUT/18 </t>
  </si>
  <si>
    <t xml:space="preserve">CELG - SET/18
</t>
  </si>
  <si>
    <t>R$ 387.123,30 SALDO CORRESPONDENTE AO EMPENHO Nº 2018.2850.078-00298 EFETUADO DEVIDO BLOQUEIO JUDICIAL NAS CONTAS DO ESTADO PROC.55632184520188090051 6ª VARA DA FAZENDA PUBLICA ESTADUAL PAGO NA REFERÊNCIA OUT/18. 
.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</si>
  <si>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</si>
  <si>
    <t xml:space="preserve">SALDO CORRESPONDENTE AO EMPENHO Nº 2018.2850.078-00298 EFETUADO DEVIDO BLOQUEIO JUDICIAL NAS CONTAS DO ESTADO PROC.55632184520188090051 6ª VARA DA FAZENDA PUBLICA ESTADUAL PAGO NA REFERÊNCIA OUT/18. </t>
  </si>
  <si>
    <t>R$ 88.262,42 - PROC.201600010027674 - RESSARCIMENTO-PLANTÕES EXTRAS REALIZADOS P/COBRIR ESTATUTÁRIOS EM GREVE (ENFERMEIROS)EM OUT/16.
.
Ressarcimento Órtese, Protese e Materiais Especiais - OPME, não contemplado na Tabela do SUS, para pacientes:                                                                       *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*R$ 2.145,00 - PROC.201700010020167 - RESSARCIMENTO OPME - AQUISIÇÃO ÓRTESE E PROTESE PAC.HELSIAS VIANA COSTA - INTERNADA EM 15/09/17 FICOU 26 DIAS  (DESPACHO Nº 612/2018 - SEI - SCAGES - 03082).
*R$ 2.390,00 - PROC.201700010015667 - RESSARCIMENTO OPME -  AQUISIÇÃO ÓRTESE E PROTESE PAC.ANTÔNIO CALIXTO ALVES INTERNADO EM 08/05 A 05/06/16 E 09 A 12/06/16 (DESPACHO Nº 612/2018 - SEI - SCAGES - 03082).</t>
  </si>
  <si>
    <t>FOLHA OUT/18 - R$ 5.010.593,13 E
FOLHA NOV/18 (26 DIAS) - 4.134.832,07</t>
  </si>
  <si>
    <t xml:space="preserve">TELEFONIA-OI NOV18 </t>
  </si>
  <si>
    <t>CELG OUT/18 - 131.673,49 E 
CELG NOV/18 (26 DIAS) - 109427,09</t>
  </si>
  <si>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</si>
  <si>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NOV/2018............................R$ 3.320247,64
</t>
  </si>
  <si>
    <t>HUGO-GERIR Total</t>
  </si>
  <si>
    <t>Total Geral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</si>
</sst>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R$ &quot;* #,##0.00_);_(&quot;R$ &quot;* \(#,##0.00\);_(&quot;R$ &quot;* \-??_);_(@_)"/>
    <numFmt numFmtId="165" formatCode="_(* #,##0.00_);_(* \(#,##0.00\);_(* \-??_);_(@_)"/>
    <numFmt numFmtId="166" formatCode="_-* #,##0.00_-;\-* #,##0.00_-;_-* \-??_-;_-@_-"/>
    <numFmt numFmtId="167" formatCode="mm/yy"/>
    <numFmt numFmtId="168" formatCode="&quot;R$ &quot;#,##0.00;[Red]&quot;-R$ &quot;#,##0.00"/>
    <numFmt numFmtId="169" formatCode="#,##0.00_ ;\-#,##0.00\ "/>
    <numFmt numFmtId="170" formatCode="#,##0.00;[Red]#,##0.00"/>
  </numFmts>
  <fonts count="13" x14ac:knownFonts="1">
    <font>
      <sz val="11"/>
      <color rgb="FF000000"/>
      <name val="Calibri"/>
      <family val="2"/>
      <charset val="1"/>
    </font>
    <font>
      <sz val="10"/>
      <name val="Arial"/>
      <family val="2"/>
      <charset val="1"/>
    </font>
    <font>
      <b/>
      <sz val="10"/>
      <color rgb="FF000000"/>
      <name val="Calibri"/>
      <family val="2"/>
      <charset val="1"/>
    </font>
    <font>
      <b/>
      <sz val="11"/>
      <color rgb="FF000000"/>
      <name val="Calibri"/>
      <family val="2"/>
      <charset val="1"/>
    </font>
    <font>
      <sz val="10"/>
      <color rgb="FF000000"/>
      <name val="Calibri"/>
      <family val="2"/>
      <charset val="1"/>
    </font>
    <font>
      <b/>
      <sz val="10"/>
      <name val="Calibri"/>
      <family val="2"/>
      <charset val="1"/>
    </font>
    <font>
      <sz val="10"/>
      <name val="Calibri"/>
      <family val="2"/>
      <charset val="1"/>
    </font>
    <font>
      <b/>
      <sz val="9"/>
      <color rgb="FF000000"/>
      <name val="Tahoma"/>
      <family val="2"/>
      <charset val="1"/>
    </font>
    <font>
      <sz val="9"/>
      <color rgb="FF000000"/>
      <name val="Segoe UI"/>
      <family val="2"/>
      <charset val="1"/>
    </font>
    <font>
      <sz val="9"/>
      <color rgb="FF000000"/>
      <name val="Tahoma"/>
      <family val="2"/>
      <charset val="1"/>
    </font>
    <font>
      <b/>
      <sz val="9"/>
      <color rgb="FF000000"/>
      <name val="Segoe UI"/>
      <family val="2"/>
      <charset val="1"/>
    </font>
    <font>
      <b/>
      <u/>
      <sz val="9"/>
      <color rgb="FF000000"/>
      <name val="Tahoma"/>
      <family val="2"/>
      <charset val="1"/>
    </font>
    <font>
      <sz val="11"/>
      <color rgb="FF000000"/>
      <name val="Calibri"/>
      <family val="2"/>
      <charset val="1"/>
    </font>
  </fonts>
  <fills count="14">
    <fill>
      <patternFill patternType="none"/>
    </fill>
    <fill>
      <patternFill patternType="gray125"/>
    </fill>
    <fill>
      <patternFill patternType="solid">
        <fgColor rgb="FF969696"/>
        <bgColor rgb="FF808080"/>
      </patternFill>
    </fill>
    <fill>
      <patternFill patternType="solid">
        <fgColor rgb="FFFFCC99"/>
        <bgColor rgb="FFF4B183"/>
      </patternFill>
    </fill>
    <fill>
      <patternFill patternType="solid">
        <fgColor rgb="FFFFFF99"/>
        <bgColor rgb="FFFFFFCC"/>
      </patternFill>
    </fill>
    <fill>
      <patternFill patternType="solid">
        <fgColor rgb="FFFFCC00"/>
        <bgColor rgb="FFFFC301"/>
      </patternFill>
    </fill>
    <fill>
      <patternFill patternType="solid">
        <fgColor rgb="FF9DC3E6"/>
        <bgColor rgb="FFC0C0C0"/>
      </patternFill>
    </fill>
    <fill>
      <patternFill patternType="solid">
        <fgColor rgb="FFD9D9D9"/>
        <bgColor rgb="FFF2F2F2"/>
      </patternFill>
    </fill>
    <fill>
      <patternFill patternType="solid">
        <fgColor rgb="FFF4B183"/>
        <bgColor rgb="FFFFCC99"/>
      </patternFill>
    </fill>
    <fill>
      <patternFill patternType="solid">
        <fgColor rgb="FFF2F2F2"/>
        <bgColor rgb="FFFFFFCC"/>
      </patternFill>
    </fill>
    <fill>
      <patternFill patternType="solid">
        <fgColor rgb="FFFFFF00"/>
        <bgColor rgb="FFFFFF00"/>
      </patternFill>
    </fill>
    <fill>
      <patternFill patternType="solid">
        <fgColor rgb="FFFFC301"/>
        <bgColor rgb="FFFFCC00"/>
      </patternFill>
    </fill>
    <fill>
      <patternFill patternType="solid">
        <fgColor rgb="FF99CC00"/>
        <bgColor rgb="FFFFCC00"/>
      </patternFill>
    </fill>
    <fill>
      <patternFill patternType="solid">
        <fgColor rgb="FF00FF00"/>
        <bgColor rgb="FF33CCCC"/>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s>
  <cellStyleXfs count="13">
    <xf numFmtId="0" fontId="0" fillId="0" borderId="0"/>
    <xf numFmtId="166" fontId="1" fillId="0" borderId="0" applyBorder="0" applyProtection="0"/>
    <xf numFmtId="164" fontId="12" fillId="0" borderId="0" applyBorder="0" applyProtection="0"/>
    <xf numFmtId="0" fontId="12" fillId="0" borderId="0"/>
    <xf numFmtId="0" fontId="12" fillId="0" borderId="0"/>
    <xf numFmtId="0" fontId="12" fillId="0" borderId="0"/>
    <xf numFmtId="0" fontId="12" fillId="0" borderId="0"/>
    <xf numFmtId="165" fontId="12" fillId="0" borderId="0" applyBorder="0" applyProtection="0"/>
    <xf numFmtId="165" fontId="12" fillId="0" borderId="0" applyBorder="0" applyProtection="0"/>
    <xf numFmtId="166" fontId="1" fillId="0" borderId="0" applyBorder="0" applyProtection="0"/>
    <xf numFmtId="166" fontId="12" fillId="0" borderId="0" applyBorder="0" applyProtection="0"/>
    <xf numFmtId="166" fontId="12" fillId="0" borderId="0" applyBorder="0" applyProtection="0"/>
    <xf numFmtId="166" fontId="12" fillId="0" borderId="0" applyBorder="0" applyProtection="0"/>
  </cellStyleXfs>
  <cellXfs count="289">
    <xf numFmtId="0" fontId="0" fillId="0" borderId="0" xfId="0"/>
    <xf numFmtId="0" fontId="3" fillId="5" borderId="1" xfId="5" applyFont="1" applyFill="1" applyBorder="1" applyAlignment="1">
      <alignment horizontal="center" vertical="center" wrapText="1"/>
    </xf>
    <xf numFmtId="0" fontId="3" fillId="4" borderId="1" xfId="5" applyFont="1" applyFill="1" applyBorder="1" applyAlignment="1">
      <alignment horizontal="center" vertical="center" wrapText="1"/>
    </xf>
    <xf numFmtId="4" fontId="3" fillId="3" borderId="1" xfId="5" applyNumberFormat="1" applyFont="1" applyFill="1" applyBorder="1" applyAlignment="1">
      <alignment horizontal="center" vertical="center"/>
    </xf>
    <xf numFmtId="0" fontId="2" fillId="2" borderId="1" xfId="5" applyFont="1" applyFill="1" applyBorder="1" applyAlignment="1">
      <alignment horizontal="center" vertical="center" wrapText="1"/>
    </xf>
    <xf numFmtId="0" fontId="2" fillId="0" borderId="0" xfId="0" applyFont="1" applyBorder="1" applyAlignment="1">
      <alignment horizontal="center" vertical="center" wrapText="1"/>
    </xf>
    <xf numFmtId="0" fontId="12" fillId="0" borderId="0" xfId="5"/>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0" fillId="0" borderId="0" xfId="5" applyFont="1"/>
    <xf numFmtId="166" fontId="0" fillId="0" borderId="0" xfId="5" applyNumberFormat="1" applyFont="1"/>
    <xf numFmtId="4" fontId="0" fillId="0" borderId="0" xfId="5" applyNumberFormat="1" applyFont="1" applyAlignment="1">
      <alignment horizontal="center"/>
    </xf>
    <xf numFmtId="4" fontId="0" fillId="0" borderId="0" xfId="5" applyNumberFormat="1" applyFont="1"/>
    <xf numFmtId="0" fontId="3" fillId="0" borderId="0" xfId="5" applyFont="1" applyAlignment="1">
      <alignment horizontal="center"/>
    </xf>
    <xf numFmtId="4" fontId="3" fillId="0" borderId="0" xfId="5" applyNumberFormat="1" applyFont="1" applyAlignment="1">
      <alignment horizontal="center"/>
    </xf>
    <xf numFmtId="0" fontId="3" fillId="0" borderId="0" xfId="5" applyFont="1" applyAlignment="1">
      <alignment horizontal="center" vertical="center"/>
    </xf>
    <xf numFmtId="0" fontId="3" fillId="0" borderId="0" xfId="5" applyFont="1" applyAlignment="1">
      <alignment horizontal="center" wrapText="1"/>
    </xf>
    <xf numFmtId="4" fontId="2" fillId="6" borderId="1" xfId="5" applyNumberFormat="1" applyFont="1" applyFill="1" applyBorder="1" applyAlignment="1">
      <alignment horizontal="left" vertical="center" wrapText="1"/>
    </xf>
    <xf numFmtId="167" fontId="0" fillId="0" borderId="0" xfId="5" applyNumberFormat="1" applyFont="1"/>
    <xf numFmtId="0" fontId="2" fillId="7" borderId="1" xfId="7" applyNumberFormat="1" applyFont="1" applyFill="1" applyBorder="1" applyAlignment="1" applyProtection="1">
      <alignment horizontal="left" vertical="center" wrapText="1"/>
    </xf>
    <xf numFmtId="4" fontId="2" fillId="2" borderId="2" xfId="5" applyNumberFormat="1" applyFont="1" applyFill="1" applyBorder="1" applyAlignment="1">
      <alignment horizontal="left" vertical="center" wrapText="1"/>
    </xf>
    <xf numFmtId="4" fontId="2" fillId="2" borderId="3" xfId="5" applyNumberFormat="1" applyFont="1" applyFill="1" applyBorder="1" applyAlignment="1">
      <alignment horizontal="left" vertical="center" wrapText="1"/>
    </xf>
    <xf numFmtId="4" fontId="2" fillId="2" borderId="4" xfId="5" applyNumberFormat="1" applyFont="1" applyFill="1" applyBorder="1" applyAlignment="1">
      <alignment horizontal="left" vertical="center" wrapText="1"/>
    </xf>
    <xf numFmtId="4" fontId="4" fillId="7" borderId="4" xfId="5" applyNumberFormat="1" applyFont="1" applyFill="1" applyBorder="1" applyAlignment="1">
      <alignment horizontal="left" vertical="center" wrapText="1"/>
    </xf>
    <xf numFmtId="4" fontId="5" fillId="2" borderId="4" xfId="5" applyNumberFormat="1" applyFont="1" applyFill="1" applyBorder="1" applyAlignment="1">
      <alignment horizontal="left" vertical="center" wrapText="1"/>
    </xf>
    <xf numFmtId="4" fontId="2" fillId="2" borderId="5" xfId="5" applyNumberFormat="1" applyFont="1" applyFill="1" applyBorder="1" applyAlignment="1">
      <alignment horizontal="left" vertical="center" wrapText="1"/>
    </xf>
    <xf numFmtId="4" fontId="2" fillId="2" borderId="1" xfId="5" applyNumberFormat="1" applyFont="1" applyFill="1" applyBorder="1" applyAlignment="1">
      <alignment horizontal="left" vertical="center" wrapText="1"/>
    </xf>
    <xf numFmtId="4" fontId="2" fillId="5" borderId="5" xfId="5" applyNumberFormat="1" applyFont="1" applyFill="1" applyBorder="1" applyAlignment="1">
      <alignment horizontal="left" vertical="center" wrapText="1"/>
    </xf>
    <xf numFmtId="4" fontId="2" fillId="3" borderId="1" xfId="5" applyNumberFormat="1" applyFont="1" applyFill="1" applyBorder="1" applyAlignment="1">
      <alignment horizontal="left" vertical="center" wrapText="1"/>
    </xf>
    <xf numFmtId="4" fontId="2" fillId="8" borderId="1" xfId="5" applyNumberFormat="1" applyFont="1" applyFill="1" applyBorder="1" applyAlignment="1">
      <alignment horizontal="left" vertical="center" wrapText="1"/>
    </xf>
    <xf numFmtId="4" fontId="2" fillId="9" borderId="4" xfId="0" applyNumberFormat="1" applyFont="1" applyFill="1" applyBorder="1" applyAlignment="1">
      <alignment horizontal="center" vertical="center" wrapText="1"/>
    </xf>
    <xf numFmtId="0" fontId="2" fillId="4" borderId="4" xfId="5" applyFont="1" applyFill="1" applyBorder="1" applyAlignment="1">
      <alignment horizontal="left" vertical="center" wrapText="1"/>
    </xf>
    <xf numFmtId="4" fontId="2" fillId="4" borderId="4" xfId="5" applyNumberFormat="1" applyFont="1" applyFill="1" applyBorder="1" applyAlignment="1">
      <alignment horizontal="left" vertical="center" wrapText="1"/>
    </xf>
    <xf numFmtId="4" fontId="2" fillId="10" borderId="4" xfId="5" applyNumberFormat="1" applyFont="1" applyFill="1" applyBorder="1" applyAlignment="1">
      <alignment horizontal="left" vertical="center" wrapText="1"/>
    </xf>
    <xf numFmtId="49" fontId="2" fillId="9" borderId="4" xfId="0" applyNumberFormat="1" applyFont="1" applyFill="1" applyBorder="1" applyAlignment="1">
      <alignment horizontal="center" vertical="center" wrapText="1"/>
    </xf>
    <xf numFmtId="4" fontId="2" fillId="5" borderId="4" xfId="5" applyNumberFormat="1" applyFont="1" applyFill="1" applyBorder="1" applyAlignment="1">
      <alignment horizontal="left" vertical="center" wrapText="1"/>
    </xf>
    <xf numFmtId="4" fontId="2" fillId="5" borderId="3" xfId="5" applyNumberFormat="1" applyFont="1" applyFill="1" applyBorder="1" applyAlignment="1">
      <alignment horizontal="left" vertical="center" wrapText="1"/>
    </xf>
    <xf numFmtId="4" fontId="2" fillId="11" borderId="3" xfId="5" applyNumberFormat="1" applyFont="1" applyFill="1" applyBorder="1" applyAlignment="1">
      <alignment horizontal="left" vertical="center" wrapText="1"/>
    </xf>
    <xf numFmtId="4" fontId="2" fillId="9" borderId="5" xfId="0" applyNumberFormat="1" applyFont="1" applyFill="1" applyBorder="1" applyAlignment="1">
      <alignment horizontal="center" vertical="center" wrapText="1"/>
    </xf>
    <xf numFmtId="4" fontId="2" fillId="6" borderId="4" xfId="5" applyNumberFormat="1" applyFont="1" applyFill="1" applyBorder="1" applyAlignment="1">
      <alignment horizontal="left" vertical="center" wrapText="1"/>
    </xf>
    <xf numFmtId="4" fontId="2" fillId="12" borderId="4" xfId="5" applyNumberFormat="1" applyFont="1" applyFill="1" applyBorder="1" applyAlignment="1">
      <alignment horizontal="left" vertical="center" wrapText="1"/>
    </xf>
    <xf numFmtId="167" fontId="2" fillId="2" borderId="4" xfId="5" applyNumberFormat="1" applyFont="1" applyFill="1" applyBorder="1" applyAlignment="1">
      <alignment horizontal="left" vertical="center" wrapText="1"/>
    </xf>
    <xf numFmtId="4" fontId="2" fillId="13" borderId="1" xfId="5" applyNumberFormat="1" applyFont="1" applyFill="1" applyBorder="1" applyAlignment="1">
      <alignment horizontal="left" vertical="center" wrapText="1"/>
    </xf>
    <xf numFmtId="0" fontId="4" fillId="0" borderId="1" xfId="7" applyNumberFormat="1" applyFont="1" applyBorder="1" applyAlignment="1" applyProtection="1">
      <alignment horizontal="center" vertical="center"/>
    </xf>
    <xf numFmtId="0" fontId="4" fillId="0" borderId="1" xfId="5" applyFont="1" applyBorder="1" applyAlignment="1">
      <alignment vertical="center" wrapText="1"/>
    </xf>
    <xf numFmtId="1" fontId="4" fillId="0" borderId="1" xfId="5" applyNumberFormat="1" applyFont="1" applyBorder="1" applyAlignment="1">
      <alignment horizontal="center" vertical="center"/>
    </xf>
    <xf numFmtId="0" fontId="4" fillId="0" borderId="1" xfId="5" applyFont="1" applyBorder="1" applyAlignment="1">
      <alignment horizontal="left" vertical="center"/>
    </xf>
    <xf numFmtId="166" fontId="4" fillId="0" borderId="1" xfId="10" applyFont="1" applyBorder="1" applyAlignment="1" applyProtection="1">
      <alignment vertical="center"/>
    </xf>
    <xf numFmtId="166" fontId="4" fillId="0" borderId="1" xfId="10" applyFont="1" applyBorder="1" applyAlignment="1" applyProtection="1">
      <alignment horizontal="right" vertical="center"/>
    </xf>
    <xf numFmtId="166" fontId="4" fillId="3" borderId="6" xfId="10" applyFont="1" applyFill="1" applyBorder="1" applyAlignment="1" applyProtection="1">
      <alignment horizontal="right" vertical="center"/>
    </xf>
    <xf numFmtId="166" fontId="4" fillId="3" borderId="1" xfId="10" applyFont="1" applyFill="1" applyBorder="1" applyAlignment="1" applyProtection="1">
      <alignment horizontal="right" vertical="center"/>
    </xf>
    <xf numFmtId="49" fontId="4" fillId="0" borderId="1" xfId="0" applyNumberFormat="1" applyFont="1" applyBorder="1" applyAlignment="1">
      <alignment horizontal="left" wrapText="1"/>
    </xf>
    <xf numFmtId="166" fontId="4" fillId="0" borderId="1" xfId="10" applyFont="1" applyBorder="1" applyAlignment="1" applyProtection="1"/>
    <xf numFmtId="49" fontId="4" fillId="0" borderId="1" xfId="1" applyNumberFormat="1" applyFont="1" applyBorder="1" applyAlignment="1" applyProtection="1">
      <alignment horizontal="left" wrapText="1"/>
    </xf>
    <xf numFmtId="166" fontId="4" fillId="0" borderId="1" xfId="1" applyFont="1" applyBorder="1" applyAlignment="1" applyProtection="1">
      <alignment horizontal="left" wrapText="1"/>
    </xf>
    <xf numFmtId="0" fontId="4" fillId="0" borderId="1" xfId="0" applyFont="1" applyBorder="1" applyAlignment="1">
      <alignment horizontal="left" wrapText="1"/>
    </xf>
    <xf numFmtId="167" fontId="4" fillId="0" borderId="1" xfId="10" applyNumberFormat="1" applyFont="1" applyBorder="1" applyAlignment="1" applyProtection="1">
      <alignment horizontal="center"/>
    </xf>
    <xf numFmtId="166" fontId="4" fillId="13" borderId="7" xfId="10" applyFont="1" applyFill="1" applyBorder="1" applyAlignment="1" applyProtection="1">
      <alignment vertical="center"/>
    </xf>
    <xf numFmtId="166" fontId="4" fillId="3" borderId="6" xfId="10" applyFont="1" applyFill="1" applyBorder="1" applyAlignment="1" applyProtection="1">
      <alignment horizontal="left" vertical="center"/>
    </xf>
    <xf numFmtId="4" fontId="4" fillId="0" borderId="1" xfId="5" applyNumberFormat="1" applyFont="1" applyBorder="1" applyAlignment="1"/>
    <xf numFmtId="166" fontId="4" fillId="3" borderId="6" xfId="5" applyNumberFormat="1" applyFont="1" applyFill="1" applyBorder="1" applyAlignment="1">
      <alignment horizontal="left" vertical="center"/>
    </xf>
    <xf numFmtId="166" fontId="4" fillId="3" borderId="1" xfId="5" applyNumberFormat="1" applyFont="1" applyFill="1" applyBorder="1" applyAlignment="1">
      <alignment horizontal="right" vertical="center"/>
    </xf>
    <xf numFmtId="4" fontId="4" fillId="3" borderId="1" xfId="5" applyNumberFormat="1" applyFont="1" applyFill="1" applyBorder="1" applyAlignment="1">
      <alignment horizontal="right" vertical="center"/>
    </xf>
    <xf numFmtId="4" fontId="4" fillId="13" borderId="7" xfId="10" applyNumberFormat="1" applyFont="1" applyFill="1" applyBorder="1" applyAlignment="1" applyProtection="1">
      <alignment vertical="center"/>
    </xf>
    <xf numFmtId="166" fontId="4" fillId="3" borderId="8" xfId="10" applyFont="1" applyFill="1" applyBorder="1" applyAlignment="1" applyProtection="1">
      <alignment horizontal="right" vertical="center"/>
    </xf>
    <xf numFmtId="166" fontId="4" fillId="3" borderId="6" xfId="5" applyNumberFormat="1" applyFont="1" applyFill="1" applyBorder="1" applyAlignment="1">
      <alignment horizontal="right" vertical="center"/>
    </xf>
    <xf numFmtId="4" fontId="4" fillId="3" borderId="6" xfId="5" applyNumberFormat="1" applyFont="1" applyFill="1" applyBorder="1" applyAlignment="1">
      <alignment horizontal="right" vertical="center"/>
    </xf>
    <xf numFmtId="4" fontId="4" fillId="3" borderId="5" xfId="5" applyNumberFormat="1" applyFont="1" applyFill="1" applyBorder="1" applyAlignment="1">
      <alignment horizontal="right" vertical="center"/>
    </xf>
    <xf numFmtId="4" fontId="4" fillId="0" borderId="1" xfId="0" applyNumberFormat="1" applyFont="1" applyBorder="1" applyAlignment="1"/>
    <xf numFmtId="4" fontId="4" fillId="3" borderId="9" xfId="5" applyNumberFormat="1" applyFont="1" applyFill="1" applyBorder="1" applyAlignment="1">
      <alignment horizontal="right" vertical="center"/>
    </xf>
    <xf numFmtId="49" fontId="4" fillId="0" borderId="1" xfId="10" applyNumberFormat="1" applyFont="1" applyBorder="1" applyAlignment="1" applyProtection="1"/>
    <xf numFmtId="0" fontId="4" fillId="0" borderId="4" xfId="7" applyNumberFormat="1" applyFont="1" applyBorder="1" applyAlignment="1" applyProtection="1">
      <alignment horizontal="center" vertical="center"/>
    </xf>
    <xf numFmtId="0" fontId="4" fillId="0" borderId="4" xfId="5" applyFont="1" applyBorder="1" applyAlignment="1">
      <alignment vertical="center" wrapText="1"/>
    </xf>
    <xf numFmtId="1" fontId="4" fillId="0" borderId="4" xfId="5" applyNumberFormat="1" applyFont="1" applyBorder="1" applyAlignment="1">
      <alignment horizontal="center" vertical="center"/>
    </xf>
    <xf numFmtId="0" fontId="4" fillId="0" borderId="4" xfId="5" applyFont="1" applyBorder="1" applyAlignment="1">
      <alignment horizontal="left" vertical="center"/>
    </xf>
    <xf numFmtId="166" fontId="4" fillId="0" borderId="4" xfId="10" applyFont="1" applyBorder="1" applyAlignment="1" applyProtection="1">
      <alignment vertical="center"/>
    </xf>
    <xf numFmtId="166" fontId="4" fillId="0" borderId="4" xfId="10" applyFont="1" applyBorder="1" applyAlignment="1" applyProtection="1">
      <alignment horizontal="right" vertical="center"/>
    </xf>
    <xf numFmtId="4" fontId="4" fillId="3" borderId="3" xfId="5" applyNumberFormat="1" applyFont="1" applyFill="1" applyBorder="1" applyAlignment="1">
      <alignment horizontal="right" vertical="center"/>
    </xf>
    <xf numFmtId="4" fontId="4" fillId="3" borderId="4" xfId="5" applyNumberFormat="1" applyFont="1" applyFill="1" applyBorder="1" applyAlignment="1">
      <alignment horizontal="right" vertical="center"/>
    </xf>
    <xf numFmtId="166" fontId="4" fillId="3" borderId="4" xfId="10" applyFont="1" applyFill="1" applyBorder="1" applyAlignment="1" applyProtection="1">
      <alignment horizontal="right" vertical="center"/>
    </xf>
    <xf numFmtId="166" fontId="4" fillId="3" borderId="5" xfId="10" applyFont="1" applyFill="1" applyBorder="1" applyAlignment="1" applyProtection="1">
      <alignment horizontal="right" vertical="center"/>
    </xf>
    <xf numFmtId="49" fontId="4" fillId="0" borderId="4" xfId="10" applyNumberFormat="1" applyFont="1" applyBorder="1" applyAlignment="1" applyProtection="1"/>
    <xf numFmtId="166" fontId="4" fillId="0" borderId="4" xfId="10" applyFont="1" applyBorder="1" applyAlignment="1" applyProtection="1"/>
    <xf numFmtId="4" fontId="4" fillId="13" borderId="10" xfId="10" applyNumberFormat="1" applyFont="1" applyFill="1" applyBorder="1" applyAlignment="1" applyProtection="1">
      <alignment vertical="center"/>
    </xf>
    <xf numFmtId="0" fontId="2" fillId="7" borderId="1" xfId="7" applyNumberFormat="1" applyFont="1" applyFill="1" applyBorder="1" applyAlignment="1" applyProtection="1">
      <alignment horizontal="center" vertical="center"/>
    </xf>
    <xf numFmtId="0" fontId="2" fillId="7" borderId="1" xfId="5" applyFont="1" applyFill="1" applyBorder="1" applyAlignment="1">
      <alignment vertical="center" wrapText="1"/>
    </xf>
    <xf numFmtId="1" fontId="2" fillId="7" borderId="1" xfId="5" applyNumberFormat="1" applyFont="1" applyFill="1" applyBorder="1" applyAlignment="1">
      <alignment horizontal="center" vertical="center"/>
    </xf>
    <xf numFmtId="0" fontId="2" fillId="7" borderId="1" xfId="5" applyFont="1" applyFill="1" applyBorder="1" applyAlignment="1">
      <alignment horizontal="left" vertical="center"/>
    </xf>
    <xf numFmtId="166" fontId="2" fillId="7" borderId="1" xfId="10" applyFont="1" applyFill="1" applyBorder="1" applyAlignment="1" applyProtection="1">
      <alignment vertical="center"/>
    </xf>
    <xf numFmtId="166" fontId="2" fillId="7" borderId="1" xfId="10" applyFont="1" applyFill="1" applyBorder="1" applyAlignment="1" applyProtection="1">
      <alignment horizontal="right" vertical="center"/>
    </xf>
    <xf numFmtId="4" fontId="2" fillId="7" borderId="1" xfId="5" applyNumberFormat="1" applyFont="1" applyFill="1" applyBorder="1" applyAlignment="1">
      <alignment horizontal="right" vertical="center"/>
    </xf>
    <xf numFmtId="49" fontId="2" fillId="7" borderId="1" xfId="10" applyNumberFormat="1" applyFont="1" applyFill="1" applyBorder="1" applyAlignment="1" applyProtection="1"/>
    <xf numFmtId="166" fontId="2" fillId="7" borderId="1" xfId="10" applyFont="1" applyFill="1" applyBorder="1" applyAlignment="1" applyProtection="1"/>
    <xf numFmtId="166" fontId="4" fillId="0" borderId="7" xfId="10" applyFont="1" applyBorder="1" applyAlignment="1" applyProtection="1"/>
    <xf numFmtId="167" fontId="4" fillId="0" borderId="6" xfId="10" applyNumberFormat="1" applyFont="1" applyBorder="1" applyAlignment="1" applyProtection="1">
      <alignment horizontal="center"/>
    </xf>
    <xf numFmtId="4" fontId="2" fillId="7" borderId="1" xfId="10" applyNumberFormat="1" applyFont="1" applyFill="1" applyBorder="1" applyAlignment="1" applyProtection="1">
      <alignment vertical="center"/>
    </xf>
    <xf numFmtId="0" fontId="4" fillId="0" borderId="11" xfId="7" applyNumberFormat="1" applyFont="1" applyBorder="1" applyAlignment="1" applyProtection="1">
      <alignment horizontal="center" vertical="center"/>
    </xf>
    <xf numFmtId="0" fontId="4" fillId="0" borderId="11" xfId="5" applyFont="1" applyBorder="1" applyAlignment="1">
      <alignment vertical="center"/>
    </xf>
    <xf numFmtId="1" fontId="4" fillId="0" borderId="11" xfId="5" applyNumberFormat="1" applyFont="1" applyBorder="1" applyAlignment="1">
      <alignment horizontal="center" vertical="center"/>
    </xf>
    <xf numFmtId="0" fontId="4" fillId="0" borderId="11" xfId="5" applyFont="1" applyBorder="1" applyAlignment="1">
      <alignment horizontal="left" vertical="center"/>
    </xf>
    <xf numFmtId="166" fontId="4" fillId="0" borderId="11" xfId="10" applyFont="1" applyBorder="1" applyAlignment="1" applyProtection="1">
      <alignment vertical="center"/>
    </xf>
    <xf numFmtId="166" fontId="4" fillId="0" borderId="11" xfId="10" applyFont="1" applyBorder="1" applyAlignment="1" applyProtection="1">
      <alignment horizontal="right" vertical="center"/>
    </xf>
    <xf numFmtId="166" fontId="4" fillId="3" borderId="9" xfId="10" applyFont="1" applyFill="1" applyBorder="1" applyAlignment="1" applyProtection="1">
      <alignment horizontal="right" vertical="center"/>
    </xf>
    <xf numFmtId="166" fontId="4" fillId="3" borderId="11" xfId="10" applyFont="1" applyFill="1" applyBorder="1" applyAlignment="1" applyProtection="1">
      <alignment horizontal="right" vertical="center"/>
    </xf>
    <xf numFmtId="49" fontId="4" fillId="0" borderId="11" xfId="0" applyNumberFormat="1" applyFont="1" applyBorder="1" applyAlignment="1">
      <alignment horizontal="left" wrapText="1"/>
    </xf>
    <xf numFmtId="166" fontId="4" fillId="0" borderId="11" xfId="10" applyFont="1" applyBorder="1" applyAlignment="1" applyProtection="1"/>
    <xf numFmtId="49" fontId="4" fillId="0" borderId="11" xfId="1" applyNumberFormat="1" applyFont="1" applyBorder="1" applyAlignment="1" applyProtection="1">
      <alignment horizontal="left" wrapText="1"/>
    </xf>
    <xf numFmtId="166" fontId="4" fillId="0" borderId="11" xfId="1" applyFont="1" applyBorder="1" applyAlignment="1" applyProtection="1">
      <alignment horizontal="left" wrapText="1"/>
    </xf>
    <xf numFmtId="0" fontId="4" fillId="0" borderId="11" xfId="0" applyFont="1" applyBorder="1" applyAlignment="1">
      <alignment horizontal="left" wrapText="1"/>
    </xf>
    <xf numFmtId="166" fontId="4" fillId="13" borderId="12" xfId="10" applyFont="1" applyFill="1" applyBorder="1" applyAlignment="1" applyProtection="1">
      <alignment vertical="center"/>
    </xf>
    <xf numFmtId="0" fontId="4" fillId="0" borderId="1" xfId="5" applyFont="1" applyBorder="1" applyAlignment="1">
      <alignment vertical="center"/>
    </xf>
    <xf numFmtId="4" fontId="4" fillId="3" borderId="1" xfId="10" applyNumberFormat="1" applyFont="1" applyFill="1" applyBorder="1" applyAlignment="1" applyProtection="1">
      <alignment horizontal="right" vertical="center"/>
    </xf>
    <xf numFmtId="165" fontId="4" fillId="3" borderId="1" xfId="8" applyFont="1" applyFill="1" applyBorder="1" applyAlignment="1" applyProtection="1">
      <alignment horizontal="right" vertical="center"/>
    </xf>
    <xf numFmtId="4" fontId="4" fillId="0" borderId="1" xfId="5" applyNumberFormat="1" applyFont="1" applyBorder="1" applyAlignment="1">
      <alignment vertical="center"/>
    </xf>
    <xf numFmtId="4" fontId="4" fillId="0" borderId="1" xfId="10" applyNumberFormat="1" applyFont="1" applyBorder="1" applyAlignment="1" applyProtection="1"/>
    <xf numFmtId="166" fontId="4" fillId="3" borderId="5" xfId="10" applyFont="1" applyFill="1" applyBorder="1" applyAlignment="1" applyProtection="1">
      <alignment horizontal="left" vertical="center"/>
    </xf>
    <xf numFmtId="0" fontId="4" fillId="0" borderId="4" xfId="5" applyFont="1" applyBorder="1" applyAlignment="1">
      <alignment vertical="center"/>
    </xf>
    <xf numFmtId="4" fontId="4" fillId="0" borderId="4" xfId="5" applyNumberFormat="1" applyFont="1" applyBorder="1" applyAlignment="1">
      <alignment vertical="center"/>
    </xf>
    <xf numFmtId="166" fontId="4" fillId="3" borderId="3" xfId="10" applyFont="1" applyFill="1" applyBorder="1" applyAlignment="1" applyProtection="1">
      <alignment horizontal="right" vertical="center"/>
    </xf>
    <xf numFmtId="4" fontId="4" fillId="0" borderId="4" xfId="0" applyNumberFormat="1" applyFont="1" applyBorder="1" applyAlignment="1"/>
    <xf numFmtId="0" fontId="2" fillId="7" borderId="1" xfId="5" applyFont="1" applyFill="1" applyBorder="1" applyAlignment="1">
      <alignment vertical="center"/>
    </xf>
    <xf numFmtId="4" fontId="2" fillId="7" borderId="1" xfId="5" applyNumberFormat="1" applyFont="1" applyFill="1" applyBorder="1" applyAlignment="1">
      <alignment vertical="center"/>
    </xf>
    <xf numFmtId="4" fontId="2" fillId="7" borderId="1" xfId="0" applyNumberFormat="1" applyFont="1" applyFill="1" applyBorder="1" applyAlignment="1"/>
    <xf numFmtId="49" fontId="4" fillId="0" borderId="4" xfId="0" applyNumberFormat="1" applyFont="1" applyBorder="1" applyAlignment="1">
      <alignment horizontal="left" wrapText="1"/>
    </xf>
    <xf numFmtId="49" fontId="4" fillId="0" borderId="4" xfId="1" applyNumberFormat="1" applyFont="1" applyBorder="1" applyAlignment="1" applyProtection="1">
      <alignment horizontal="left" wrapText="1"/>
    </xf>
    <xf numFmtId="166" fontId="4" fillId="0" borderId="4" xfId="1" applyFont="1" applyBorder="1" applyAlignment="1" applyProtection="1">
      <alignment horizontal="left" wrapText="1"/>
    </xf>
    <xf numFmtId="0" fontId="4" fillId="0" borderId="4" xfId="0" applyFont="1" applyBorder="1" applyAlignment="1">
      <alignment horizontal="left" wrapText="1"/>
    </xf>
    <xf numFmtId="166" fontId="4" fillId="13" borderId="10" xfId="10" applyFont="1" applyFill="1" applyBorder="1" applyAlignment="1" applyProtection="1">
      <alignment vertical="center"/>
    </xf>
    <xf numFmtId="166" fontId="2" fillId="7" borderId="1" xfId="10" applyFont="1" applyFill="1" applyBorder="1" applyAlignment="1" applyProtection="1">
      <alignment horizontal="left" vertical="center"/>
    </xf>
    <xf numFmtId="49" fontId="2" fillId="7" borderId="1" xfId="0" applyNumberFormat="1" applyFont="1" applyFill="1" applyBorder="1" applyAlignment="1">
      <alignment horizontal="left" wrapText="1"/>
    </xf>
    <xf numFmtId="49" fontId="2" fillId="7" borderId="1" xfId="1" applyNumberFormat="1" applyFont="1" applyFill="1" applyBorder="1" applyAlignment="1" applyProtection="1">
      <alignment horizontal="left" wrapText="1"/>
    </xf>
    <xf numFmtId="166" fontId="2" fillId="7" borderId="1" xfId="1" applyFont="1" applyFill="1" applyBorder="1" applyAlignment="1" applyProtection="1">
      <alignment horizontal="left" wrapText="1"/>
    </xf>
    <xf numFmtId="0" fontId="2" fillId="7" borderId="1" xfId="0" applyFont="1" applyFill="1" applyBorder="1" applyAlignment="1">
      <alignment horizontal="left" wrapText="1"/>
    </xf>
    <xf numFmtId="166" fontId="4" fillId="3" borderId="9" xfId="10" applyFont="1" applyFill="1" applyBorder="1" applyAlignment="1" applyProtection="1">
      <alignment horizontal="left" vertical="center"/>
    </xf>
    <xf numFmtId="4" fontId="4" fillId="0" borderId="1" xfId="10" applyNumberFormat="1" applyFont="1" applyBorder="1" applyAlignment="1" applyProtection="1">
      <alignment vertical="center"/>
    </xf>
    <xf numFmtId="4" fontId="4" fillId="0" borderId="1" xfId="0" applyNumberFormat="1" applyFont="1" applyBorder="1" applyAlignment="1">
      <alignment horizontal="right"/>
    </xf>
    <xf numFmtId="4" fontId="4" fillId="0" borderId="1" xfId="1" applyNumberFormat="1" applyFont="1" applyBorder="1" applyAlignment="1" applyProtection="1">
      <alignment horizontal="right"/>
    </xf>
    <xf numFmtId="166" fontId="4" fillId="0" borderId="1" xfId="1" applyFont="1" applyBorder="1" applyAlignment="1" applyProtection="1">
      <alignment horizontal="right"/>
    </xf>
    <xf numFmtId="4" fontId="4" fillId="0" borderId="1" xfId="5" applyNumberFormat="1" applyFont="1" applyBorder="1" applyAlignment="1">
      <alignment horizontal="right" wrapText="1"/>
    </xf>
    <xf numFmtId="4" fontId="4" fillId="0" borderId="4" xfId="10" applyNumberFormat="1" applyFont="1" applyBorder="1" applyAlignment="1" applyProtection="1">
      <alignment vertical="center"/>
    </xf>
    <xf numFmtId="4" fontId="4" fillId="0" borderId="4" xfId="5" applyNumberFormat="1" applyFont="1" applyBorder="1" applyAlignment="1">
      <alignment horizontal="right" wrapText="1"/>
    </xf>
    <xf numFmtId="4" fontId="4" fillId="0" borderId="4" xfId="5" applyNumberFormat="1" applyFont="1" applyBorder="1" applyAlignment="1"/>
    <xf numFmtId="4" fontId="2" fillId="7" borderId="1" xfId="5" applyNumberFormat="1" applyFont="1" applyFill="1" applyBorder="1" applyAlignment="1">
      <alignment horizontal="right" wrapText="1"/>
    </xf>
    <xf numFmtId="4" fontId="2" fillId="7" borderId="1" xfId="5" applyNumberFormat="1" applyFont="1" applyFill="1" applyBorder="1" applyAlignment="1"/>
    <xf numFmtId="49" fontId="4" fillId="0" borderId="11" xfId="10" applyNumberFormat="1" applyFont="1" applyBorder="1" applyAlignment="1" applyProtection="1"/>
    <xf numFmtId="4" fontId="4" fillId="0" borderId="1" xfId="5" applyNumberFormat="1" applyFont="1" applyBorder="1" applyAlignment="1">
      <alignment wrapText="1"/>
    </xf>
    <xf numFmtId="166" fontId="4" fillId="3" borderId="6" xfId="0" applyNumberFormat="1" applyFont="1" applyFill="1" applyBorder="1" applyAlignment="1">
      <alignment horizontal="right" vertical="center"/>
    </xf>
    <xf numFmtId="166" fontId="4" fillId="3" borderId="1" xfId="0" applyNumberFormat="1" applyFont="1" applyFill="1" applyBorder="1" applyAlignment="1">
      <alignment horizontal="right" vertical="center"/>
    </xf>
    <xf numFmtId="4" fontId="4" fillId="3" borderId="1" xfId="0" applyNumberFormat="1" applyFont="1" applyFill="1" applyBorder="1" applyAlignment="1">
      <alignment horizontal="right" vertical="center"/>
    </xf>
    <xf numFmtId="166" fontId="4" fillId="3" borderId="9" xfId="0" applyNumberFormat="1" applyFont="1" applyFill="1" applyBorder="1" applyAlignment="1">
      <alignment horizontal="right" vertical="center"/>
    </xf>
    <xf numFmtId="166" fontId="4" fillId="3" borderId="3" xfId="0" applyNumberFormat="1" applyFont="1" applyFill="1" applyBorder="1" applyAlignment="1">
      <alignment horizontal="right" vertical="center"/>
    </xf>
    <xf numFmtId="166" fontId="4" fillId="3" borderId="4" xfId="0" applyNumberFormat="1" applyFont="1" applyFill="1" applyBorder="1" applyAlignment="1">
      <alignment horizontal="right" vertical="center"/>
    </xf>
    <xf numFmtId="166" fontId="4" fillId="3" borderId="4" xfId="5" applyNumberFormat="1" applyFont="1" applyFill="1" applyBorder="1" applyAlignment="1">
      <alignment horizontal="right" vertical="center"/>
    </xf>
    <xf numFmtId="4" fontId="4" fillId="3" borderId="4" xfId="0" applyNumberFormat="1" applyFont="1" applyFill="1" applyBorder="1" applyAlignment="1">
      <alignment horizontal="right" vertical="center"/>
    </xf>
    <xf numFmtId="166" fontId="2" fillId="7" borderId="1" xfId="0" applyNumberFormat="1" applyFont="1" applyFill="1" applyBorder="1" applyAlignment="1">
      <alignment horizontal="right" vertical="center"/>
    </xf>
    <xf numFmtId="166" fontId="2" fillId="7" borderId="1" xfId="5" applyNumberFormat="1" applyFont="1" applyFill="1" applyBorder="1" applyAlignment="1">
      <alignment horizontal="right" vertical="center"/>
    </xf>
    <xf numFmtId="4" fontId="2" fillId="7" borderId="1" xfId="0" applyNumberFormat="1" applyFont="1" applyFill="1" applyBorder="1" applyAlignment="1">
      <alignment horizontal="right" vertical="center"/>
    </xf>
    <xf numFmtId="4" fontId="4" fillId="0" borderId="1" xfId="4" applyNumberFormat="1" applyFont="1" applyBorder="1" applyAlignment="1"/>
    <xf numFmtId="166" fontId="4" fillId="0" borderId="1" xfId="10" applyFont="1" applyBorder="1" applyAlignment="1" applyProtection="1">
      <alignment wrapText="1"/>
    </xf>
    <xf numFmtId="166" fontId="6" fillId="3" borderId="1" xfId="1" applyFont="1" applyFill="1" applyBorder="1" applyAlignment="1" applyProtection="1">
      <alignment horizontal="right" vertical="center"/>
    </xf>
    <xf numFmtId="166" fontId="6" fillId="3" borderId="4" xfId="1" applyFont="1" applyFill="1" applyBorder="1" applyAlignment="1" applyProtection="1">
      <alignment horizontal="right" vertical="center"/>
    </xf>
    <xf numFmtId="166" fontId="4" fillId="0" borderId="4" xfId="10" applyFont="1" applyBorder="1" applyAlignment="1" applyProtection="1">
      <alignment wrapText="1"/>
    </xf>
    <xf numFmtId="166" fontId="5" fillId="7" borderId="1" xfId="1" applyFont="1" applyFill="1" applyBorder="1" applyAlignment="1" applyProtection="1">
      <alignment horizontal="right" vertical="center"/>
    </xf>
    <xf numFmtId="166" fontId="2" fillId="7" borderId="1" xfId="10" applyFont="1" applyFill="1" applyBorder="1" applyAlignment="1" applyProtection="1">
      <alignment wrapText="1"/>
    </xf>
    <xf numFmtId="4" fontId="4" fillId="0" borderId="11" xfId="0" applyNumberFormat="1" applyFont="1" applyBorder="1" applyAlignment="1">
      <alignment horizontal="right"/>
    </xf>
    <xf numFmtId="4" fontId="4" fillId="0" borderId="4" xfId="0" applyNumberFormat="1" applyFont="1" applyBorder="1" applyAlignment="1">
      <alignment horizontal="right"/>
    </xf>
    <xf numFmtId="4" fontId="2" fillId="7" borderId="1" xfId="0" applyNumberFormat="1" applyFont="1" applyFill="1" applyBorder="1" applyAlignment="1">
      <alignment horizontal="right"/>
    </xf>
    <xf numFmtId="166" fontId="4" fillId="0" borderId="1" xfId="10" applyFont="1" applyBorder="1" applyAlignment="1" applyProtection="1">
      <alignment horizontal="right"/>
    </xf>
    <xf numFmtId="4" fontId="2" fillId="3" borderId="1" xfId="5" applyNumberFormat="1" applyFont="1" applyFill="1" applyBorder="1" applyAlignment="1">
      <alignment horizontal="right" vertical="center"/>
    </xf>
    <xf numFmtId="166" fontId="5" fillId="3" borderId="1" xfId="10" applyFont="1" applyFill="1" applyBorder="1" applyAlignment="1" applyProtection="1">
      <alignment horizontal="right" vertical="center"/>
    </xf>
    <xf numFmtId="4" fontId="4" fillId="0" borderId="1" xfId="5" applyNumberFormat="1" applyFont="1" applyBorder="1" applyAlignment="1">
      <alignment horizontal="right"/>
    </xf>
    <xf numFmtId="4" fontId="4" fillId="3" borderId="4" xfId="10" applyNumberFormat="1" applyFont="1" applyFill="1" applyBorder="1" applyAlignment="1" applyProtection="1">
      <alignment horizontal="right" vertical="center"/>
    </xf>
    <xf numFmtId="4" fontId="2" fillId="7" borderId="1" xfId="10" applyNumberFormat="1" applyFont="1" applyFill="1" applyBorder="1" applyAlignment="1" applyProtection="1">
      <alignment horizontal="right" vertical="center"/>
    </xf>
    <xf numFmtId="4" fontId="4" fillId="0" borderId="11" xfId="5" applyNumberFormat="1" applyFont="1" applyBorder="1" applyAlignment="1">
      <alignment vertical="center"/>
    </xf>
    <xf numFmtId="4" fontId="4" fillId="0" borderId="1" xfId="5" applyNumberFormat="1" applyFont="1" applyBorder="1" applyAlignment="1">
      <alignment horizontal="left" vertical="center"/>
    </xf>
    <xf numFmtId="4" fontId="4" fillId="0" borderId="1" xfId="5" applyNumberFormat="1" applyFont="1" applyBorder="1" applyAlignment="1">
      <alignment horizontal="right" vertical="center" wrapText="1"/>
    </xf>
    <xf numFmtId="166" fontId="4" fillId="0" borderId="1" xfId="11" applyFont="1" applyBorder="1" applyAlignment="1" applyProtection="1"/>
    <xf numFmtId="166" fontId="4" fillId="0" borderId="4" xfId="11" applyFont="1" applyBorder="1" applyAlignment="1" applyProtection="1"/>
    <xf numFmtId="166" fontId="2" fillId="7" borderId="1" xfId="11" applyFont="1" applyFill="1" applyBorder="1" applyAlignment="1" applyProtection="1"/>
    <xf numFmtId="166" fontId="4" fillId="0" borderId="11" xfId="10" applyFont="1" applyBorder="1" applyAlignment="1" applyProtection="1">
      <alignment horizontal="right" vertical="center" wrapText="1"/>
    </xf>
    <xf numFmtId="166" fontId="4" fillId="0" borderId="1" xfId="10" applyFont="1" applyBorder="1" applyAlignment="1" applyProtection="1">
      <alignment horizontal="right" vertical="center" wrapText="1"/>
    </xf>
    <xf numFmtId="166" fontId="4" fillId="3" borderId="9" xfId="5" applyNumberFormat="1" applyFont="1" applyFill="1" applyBorder="1" applyAlignment="1">
      <alignment horizontal="right" vertical="center"/>
    </xf>
    <xf numFmtId="166" fontId="4" fillId="3" borderId="3" xfId="5" applyNumberFormat="1" applyFont="1" applyFill="1" applyBorder="1" applyAlignment="1">
      <alignment horizontal="right" vertical="center"/>
    </xf>
    <xf numFmtId="0" fontId="4" fillId="0" borderId="11" xfId="7" applyNumberFormat="1" applyFont="1" applyBorder="1" applyAlignment="1" applyProtection="1">
      <alignment vertical="center"/>
    </xf>
    <xf numFmtId="0" fontId="4" fillId="0" borderId="1" xfId="7" applyNumberFormat="1" applyFont="1" applyBorder="1" applyAlignment="1" applyProtection="1">
      <alignment vertical="center"/>
    </xf>
    <xf numFmtId="166" fontId="4" fillId="3" borderId="5" xfId="0" applyNumberFormat="1" applyFont="1" applyFill="1" applyBorder="1" applyAlignment="1">
      <alignment horizontal="right" vertical="center"/>
    </xf>
    <xf numFmtId="0" fontId="4" fillId="0" borderId="4" xfId="7" applyNumberFormat="1" applyFont="1" applyBorder="1" applyAlignment="1" applyProtection="1">
      <alignment vertical="center"/>
    </xf>
    <xf numFmtId="0" fontId="2" fillId="7" borderId="1" xfId="7" applyNumberFormat="1" applyFont="1" applyFill="1" applyBorder="1" applyAlignment="1" applyProtection="1">
      <alignment vertical="center"/>
    </xf>
    <xf numFmtId="165" fontId="4" fillId="3" borderId="11" xfId="8" applyFont="1" applyFill="1" applyBorder="1" applyAlignment="1" applyProtection="1">
      <alignment horizontal="right" vertical="center"/>
    </xf>
    <xf numFmtId="168" fontId="4" fillId="3" borderId="1" xfId="10" applyNumberFormat="1" applyFont="1" applyFill="1" applyBorder="1" applyAlignment="1" applyProtection="1">
      <alignment horizontal="right" vertical="center"/>
    </xf>
    <xf numFmtId="4" fontId="4" fillId="0" borderId="1" xfId="10" applyNumberFormat="1" applyFont="1" applyBorder="1" applyAlignment="1" applyProtection="1">
      <alignment horizontal="right" vertical="center"/>
    </xf>
    <xf numFmtId="4" fontId="4" fillId="3" borderId="9" xfId="10" applyNumberFormat="1" applyFont="1" applyFill="1" applyBorder="1" applyAlignment="1" applyProtection="1">
      <alignment horizontal="right" vertical="center"/>
    </xf>
    <xf numFmtId="4" fontId="4" fillId="3" borderId="11" xfId="10" applyNumberFormat="1" applyFont="1" applyFill="1" applyBorder="1" applyAlignment="1" applyProtection="1">
      <alignment horizontal="right" vertical="center"/>
    </xf>
    <xf numFmtId="49" fontId="4" fillId="0" borderId="1" xfId="10" applyNumberFormat="1" applyFont="1" applyBorder="1" applyAlignment="1" applyProtection="1">
      <alignment wrapText="1"/>
    </xf>
    <xf numFmtId="49" fontId="4" fillId="0" borderId="1" xfId="10" applyNumberFormat="1" applyFont="1" applyBorder="1" applyAlignment="1" applyProtection="1">
      <alignment horizontal="left" wrapText="1"/>
    </xf>
    <xf numFmtId="166" fontId="4" fillId="0" borderId="1" xfId="10" applyFont="1" applyBorder="1" applyAlignment="1" applyProtection="1">
      <alignment horizontal="center" vertical="center"/>
    </xf>
    <xf numFmtId="166" fontId="4" fillId="0" borderId="4" xfId="10" applyFont="1" applyBorder="1" applyAlignment="1" applyProtection="1">
      <alignment horizontal="center" vertical="center"/>
    </xf>
    <xf numFmtId="166" fontId="2" fillId="7" borderId="1" xfId="10" applyFont="1" applyFill="1" applyBorder="1" applyAlignment="1" applyProtection="1">
      <alignment horizontal="center" vertical="center"/>
    </xf>
    <xf numFmtId="166" fontId="4" fillId="0" borderId="11" xfId="10" applyFont="1" applyBorder="1" applyAlignment="1" applyProtection="1">
      <alignment horizontal="center" vertical="center"/>
    </xf>
    <xf numFmtId="4" fontId="4" fillId="0" borderId="11" xfId="5" applyNumberFormat="1" applyFont="1" applyBorder="1" applyAlignment="1"/>
    <xf numFmtId="4" fontId="4" fillId="13" borderId="12" xfId="10" applyNumberFormat="1" applyFont="1" applyFill="1" applyBorder="1" applyAlignment="1" applyProtection="1">
      <alignment vertical="center"/>
    </xf>
    <xf numFmtId="166" fontId="4" fillId="3" borderId="3" xfId="10" applyFont="1" applyFill="1" applyBorder="1" applyAlignment="1" applyProtection="1">
      <alignment horizontal="left" vertical="center"/>
    </xf>
    <xf numFmtId="166" fontId="4" fillId="0" borderId="11" xfId="11" applyFont="1" applyBorder="1" applyAlignment="1" applyProtection="1"/>
    <xf numFmtId="166" fontId="4" fillId="3" borderId="7" xfId="10" applyFont="1" applyFill="1" applyBorder="1" applyAlignment="1" applyProtection="1">
      <alignment horizontal="left" vertical="center"/>
    </xf>
    <xf numFmtId="4" fontId="4" fillId="3" borderId="6" xfId="0" applyNumberFormat="1" applyFont="1" applyFill="1" applyBorder="1" applyAlignment="1">
      <alignment horizontal="right" vertical="center"/>
    </xf>
    <xf numFmtId="4" fontId="4" fillId="3" borderId="5" xfId="0" applyNumberFormat="1" applyFont="1" applyFill="1" applyBorder="1" applyAlignment="1">
      <alignment horizontal="right" vertical="center"/>
    </xf>
    <xf numFmtId="169" fontId="4" fillId="0" borderId="1" xfId="10" applyNumberFormat="1" applyFont="1" applyBorder="1" applyAlignment="1" applyProtection="1">
      <alignment vertical="center"/>
    </xf>
    <xf numFmtId="4" fontId="4" fillId="0" borderId="11" xfId="10" applyNumberFormat="1" applyFont="1" applyBorder="1" applyAlignment="1" applyProtection="1"/>
    <xf numFmtId="4" fontId="4" fillId="0" borderId="4" xfId="10" applyNumberFormat="1" applyFont="1" applyBorder="1" applyAlignment="1" applyProtection="1"/>
    <xf numFmtId="4" fontId="2" fillId="7" borderId="1" xfId="10" applyNumberFormat="1" applyFont="1" applyFill="1" applyBorder="1" applyAlignment="1" applyProtection="1"/>
    <xf numFmtId="4" fontId="4" fillId="0" borderId="11" xfId="10" applyNumberFormat="1" applyFont="1" applyBorder="1" applyAlignment="1" applyProtection="1">
      <alignment vertical="center"/>
    </xf>
    <xf numFmtId="166" fontId="4" fillId="0" borderId="1" xfId="5" applyNumberFormat="1" applyFont="1" applyBorder="1" applyAlignment="1">
      <alignment vertical="center"/>
    </xf>
    <xf numFmtId="166" fontId="6" fillId="3" borderId="4" xfId="10" applyFont="1" applyFill="1" applyBorder="1" applyAlignment="1" applyProtection="1">
      <alignment horizontal="right" vertical="center"/>
    </xf>
    <xf numFmtId="166" fontId="5" fillId="7" borderId="1" xfId="10" applyFont="1" applyFill="1" applyBorder="1" applyAlignment="1" applyProtection="1">
      <alignment horizontal="right" vertical="center"/>
    </xf>
    <xf numFmtId="4" fontId="4" fillId="0" borderId="11" xfId="5" applyNumberFormat="1" applyFont="1" applyBorder="1" applyAlignment="1">
      <alignment horizontal="right" vertical="center"/>
    </xf>
    <xf numFmtId="4" fontId="4" fillId="0" borderId="1" xfId="5" applyNumberFormat="1" applyFont="1" applyBorder="1" applyAlignment="1">
      <alignment horizontal="right" vertical="center"/>
    </xf>
    <xf numFmtId="4" fontId="4" fillId="0" borderId="4" xfId="5" applyNumberFormat="1" applyFont="1" applyBorder="1" applyAlignment="1">
      <alignment horizontal="right" vertical="center"/>
    </xf>
    <xf numFmtId="4" fontId="4" fillId="0" borderId="11" xfId="5" applyNumberFormat="1" applyFont="1" applyBorder="1" applyAlignment="1">
      <alignment wrapText="1"/>
    </xf>
    <xf numFmtId="4" fontId="4" fillId="0" borderId="1" xfId="0" applyNumberFormat="1" applyFont="1" applyBorder="1" applyAlignment="1">
      <alignment vertical="center"/>
    </xf>
    <xf numFmtId="4" fontId="4" fillId="0" borderId="4" xfId="0" applyNumberFormat="1" applyFont="1" applyBorder="1" applyAlignment="1">
      <alignment vertical="center"/>
    </xf>
    <xf numFmtId="4" fontId="2" fillId="7" borderId="1" xfId="0" applyNumberFormat="1" applyFont="1" applyFill="1" applyBorder="1" applyAlignment="1">
      <alignment vertical="center"/>
    </xf>
    <xf numFmtId="170" fontId="4" fillId="3" borderId="1" xfId="10" applyNumberFormat="1" applyFont="1" applyFill="1" applyBorder="1" applyAlignment="1" applyProtection="1">
      <alignment horizontal="right" vertical="center"/>
    </xf>
    <xf numFmtId="167" fontId="4" fillId="0" borderId="1" xfId="3" applyNumberFormat="1" applyFont="1" applyBorder="1" applyAlignment="1">
      <alignment horizontal="center"/>
    </xf>
    <xf numFmtId="170" fontId="6" fillId="3" borderId="1" xfId="1" applyNumberFormat="1" applyFont="1" applyFill="1" applyBorder="1" applyAlignment="1" applyProtection="1">
      <alignment horizontal="right" vertical="center"/>
    </xf>
    <xf numFmtId="170" fontId="6" fillId="3" borderId="4" xfId="1" applyNumberFormat="1" applyFont="1" applyFill="1" applyBorder="1" applyAlignment="1" applyProtection="1">
      <alignment horizontal="right" vertical="center"/>
    </xf>
    <xf numFmtId="170" fontId="5" fillId="7" borderId="1" xfId="1" applyNumberFormat="1" applyFont="1" applyFill="1" applyBorder="1" applyAlignment="1" applyProtection="1">
      <alignment horizontal="right" vertical="center"/>
    </xf>
    <xf numFmtId="4" fontId="6" fillId="3" borderId="1" xfId="1" applyNumberFormat="1" applyFont="1" applyFill="1" applyBorder="1" applyAlignment="1" applyProtection="1">
      <alignment horizontal="right" vertical="center"/>
    </xf>
    <xf numFmtId="0" fontId="4" fillId="0" borderId="11" xfId="7" applyNumberFormat="1" applyFont="1" applyBorder="1" applyAlignment="1" applyProtection="1">
      <alignment horizontal="left" vertical="center"/>
    </xf>
    <xf numFmtId="0" fontId="4" fillId="0" borderId="11" xfId="0" applyFont="1" applyBorder="1" applyAlignment="1">
      <alignment vertical="center"/>
    </xf>
    <xf numFmtId="1" fontId="4" fillId="0" borderId="11" xfId="0" applyNumberFormat="1" applyFont="1" applyBorder="1" applyAlignment="1">
      <alignment horizontal="center" vertical="center"/>
    </xf>
    <xf numFmtId="0" fontId="4" fillId="0" borderId="11" xfId="0" applyFont="1" applyBorder="1" applyAlignment="1">
      <alignment horizontal="left" vertical="center"/>
    </xf>
    <xf numFmtId="166" fontId="4" fillId="0" borderId="11" xfId="1" applyFont="1" applyBorder="1" applyAlignment="1" applyProtection="1">
      <alignment vertical="center"/>
    </xf>
    <xf numFmtId="166" fontId="6" fillId="3" borderId="9" xfId="1" applyFont="1" applyFill="1" applyBorder="1" applyAlignment="1" applyProtection="1">
      <alignment horizontal="left" vertical="center"/>
    </xf>
    <xf numFmtId="166" fontId="6" fillId="3" borderId="11" xfId="1" applyFont="1" applyFill="1" applyBorder="1" applyAlignment="1" applyProtection="1">
      <alignment vertical="center"/>
    </xf>
    <xf numFmtId="166" fontId="6" fillId="3" borderId="12" xfId="1" applyFont="1" applyFill="1" applyBorder="1" applyAlignment="1" applyProtection="1">
      <alignment vertical="center"/>
    </xf>
    <xf numFmtId="166" fontId="6" fillId="3" borderId="9" xfId="1" applyFont="1" applyFill="1" applyBorder="1" applyAlignment="1" applyProtection="1">
      <alignment vertical="center"/>
    </xf>
    <xf numFmtId="166" fontId="6" fillId="3" borderId="13" xfId="1" applyFont="1" applyFill="1" applyBorder="1" applyAlignment="1" applyProtection="1">
      <alignment vertical="center"/>
    </xf>
    <xf numFmtId="49" fontId="4" fillId="0" borderId="11" xfId="1" applyNumberFormat="1" applyFont="1" applyBorder="1" applyAlignment="1" applyProtection="1">
      <alignment wrapText="1"/>
    </xf>
    <xf numFmtId="166" fontId="4" fillId="0" borderId="11" xfId="1" applyFont="1" applyBorder="1" applyAlignment="1" applyProtection="1"/>
    <xf numFmtId="166" fontId="4" fillId="0" borderId="1" xfId="1" applyFont="1" applyBorder="1" applyAlignment="1" applyProtection="1"/>
    <xf numFmtId="167" fontId="4" fillId="0" borderId="1" xfId="1" applyNumberFormat="1" applyFont="1" applyBorder="1" applyAlignment="1" applyProtection="1">
      <alignment horizontal="center"/>
    </xf>
    <xf numFmtId="166" fontId="6" fillId="13" borderId="12" xfId="1" applyFont="1" applyFill="1" applyBorder="1" applyAlignment="1" applyProtection="1"/>
    <xf numFmtId="0" fontId="4" fillId="0" borderId="1" xfId="7" applyNumberFormat="1" applyFont="1" applyBorder="1" applyAlignment="1" applyProtection="1">
      <alignment horizontal="left" vertical="center"/>
    </xf>
    <xf numFmtId="0" fontId="4" fillId="0" borderId="1" xfId="0" applyFont="1" applyBorder="1" applyAlignment="1">
      <alignment vertical="center"/>
    </xf>
    <xf numFmtId="1" fontId="4" fillId="0" borderId="1" xfId="0" applyNumberFormat="1" applyFont="1" applyBorder="1" applyAlignment="1">
      <alignment horizontal="center" vertical="center"/>
    </xf>
    <xf numFmtId="0" fontId="4" fillId="0" borderId="1" xfId="0" applyFont="1" applyBorder="1" applyAlignment="1">
      <alignment horizontal="left" vertical="center"/>
    </xf>
    <xf numFmtId="166" fontId="4" fillId="0" borderId="1" xfId="1" applyFont="1" applyBorder="1" applyAlignment="1" applyProtection="1">
      <alignment vertical="center"/>
    </xf>
    <xf numFmtId="166" fontId="6" fillId="3" borderId="6" xfId="1" applyFont="1" applyFill="1" applyBorder="1" applyAlignment="1" applyProtection="1">
      <alignment horizontal="left" vertical="center"/>
    </xf>
    <xf numFmtId="166" fontId="6" fillId="3" borderId="1" xfId="1" applyFont="1" applyFill="1" applyBorder="1" applyAlignment="1" applyProtection="1">
      <alignment vertical="center"/>
    </xf>
    <xf numFmtId="166" fontId="6" fillId="3" borderId="7" xfId="1" applyFont="1" applyFill="1" applyBorder="1" applyAlignment="1" applyProtection="1">
      <alignment vertical="center"/>
    </xf>
    <xf numFmtId="166" fontId="6" fillId="3" borderId="6" xfId="1" applyFont="1" applyFill="1" applyBorder="1" applyAlignment="1" applyProtection="1">
      <alignment vertical="center"/>
    </xf>
    <xf numFmtId="166" fontId="6" fillId="3" borderId="8" xfId="1" applyFont="1" applyFill="1" applyBorder="1" applyAlignment="1" applyProtection="1">
      <alignment vertical="center"/>
    </xf>
    <xf numFmtId="49" fontId="4" fillId="0" borderId="1" xfId="1" applyNumberFormat="1" applyFont="1" applyBorder="1" applyAlignment="1" applyProtection="1">
      <alignment wrapText="1"/>
    </xf>
    <xf numFmtId="166" fontId="6" fillId="13" borderId="7" xfId="1" applyFont="1" applyFill="1" applyBorder="1" applyAlignment="1" applyProtection="1"/>
    <xf numFmtId="0" fontId="4" fillId="0" borderId="4" xfId="7" applyNumberFormat="1" applyFont="1" applyBorder="1" applyAlignment="1" applyProtection="1">
      <alignment horizontal="left" vertical="center"/>
    </xf>
    <xf numFmtId="0" fontId="4" fillId="0" borderId="4" xfId="0" applyFont="1" applyBorder="1" applyAlignment="1">
      <alignment vertical="center"/>
    </xf>
    <xf numFmtId="1" fontId="4" fillId="0" borderId="4" xfId="0" applyNumberFormat="1" applyFont="1" applyBorder="1" applyAlignment="1">
      <alignment horizontal="center" vertical="center"/>
    </xf>
    <xf numFmtId="0" fontId="4" fillId="0" borderId="4" xfId="0" applyFont="1" applyBorder="1" applyAlignment="1">
      <alignment horizontal="left" vertical="center"/>
    </xf>
    <xf numFmtId="166" fontId="4" fillId="0" borderId="4" xfId="1" applyFont="1" applyBorder="1" applyAlignment="1" applyProtection="1">
      <alignment vertical="center"/>
    </xf>
    <xf numFmtId="166" fontId="6" fillId="3" borderId="5" xfId="1" applyFont="1" applyFill="1" applyBorder="1" applyAlignment="1" applyProtection="1">
      <alignment horizontal="left" vertical="center"/>
    </xf>
    <xf numFmtId="166" fontId="6" fillId="3" borderId="4" xfId="1" applyFont="1" applyFill="1" applyBorder="1" applyAlignment="1" applyProtection="1">
      <alignment vertical="center"/>
    </xf>
    <xf numFmtId="166" fontId="6" fillId="3" borderId="10" xfId="1" applyFont="1" applyFill="1" applyBorder="1" applyAlignment="1" applyProtection="1">
      <alignment vertical="center"/>
    </xf>
    <xf numFmtId="166" fontId="6" fillId="3" borderId="5" xfId="1" applyFont="1" applyFill="1" applyBorder="1" applyAlignment="1" applyProtection="1">
      <alignment vertical="center"/>
    </xf>
    <xf numFmtId="166" fontId="6" fillId="3" borderId="14" xfId="1" applyFont="1" applyFill="1" applyBorder="1" applyAlignment="1" applyProtection="1">
      <alignment vertical="center"/>
    </xf>
    <xf numFmtId="49" fontId="4" fillId="0" borderId="4" xfId="1" applyNumberFormat="1" applyFont="1" applyBorder="1" applyAlignment="1" applyProtection="1">
      <alignment wrapText="1"/>
    </xf>
    <xf numFmtId="166" fontId="4" fillId="0" borderId="4" xfId="1" applyFont="1" applyBorder="1" applyAlignment="1" applyProtection="1"/>
    <xf numFmtId="166" fontId="6" fillId="13" borderId="10" xfId="1" applyFont="1" applyFill="1" applyBorder="1" applyAlignment="1" applyProtection="1"/>
    <xf numFmtId="0" fontId="2" fillId="7" borderId="1" xfId="7" applyNumberFormat="1" applyFont="1" applyFill="1" applyBorder="1" applyAlignment="1" applyProtection="1">
      <alignment horizontal="left" vertical="center"/>
    </xf>
    <xf numFmtId="0" fontId="2" fillId="7" borderId="1" xfId="0" applyFont="1" applyFill="1" applyBorder="1" applyAlignment="1">
      <alignment vertical="center"/>
    </xf>
    <xf numFmtId="1" fontId="2" fillId="7" borderId="1" xfId="0" applyNumberFormat="1" applyFont="1" applyFill="1" applyBorder="1" applyAlignment="1">
      <alignment horizontal="center" vertical="center"/>
    </xf>
    <xf numFmtId="0" fontId="2" fillId="7" borderId="1" xfId="0" applyFont="1" applyFill="1" applyBorder="1" applyAlignment="1">
      <alignment horizontal="left" vertical="center"/>
    </xf>
    <xf numFmtId="166" fontId="2" fillId="7" borderId="1" xfId="1" applyFont="1" applyFill="1" applyBorder="1" applyAlignment="1" applyProtection="1">
      <alignment vertical="center"/>
    </xf>
    <xf numFmtId="166" fontId="5" fillId="7" borderId="1" xfId="1" applyFont="1" applyFill="1" applyBorder="1" applyAlignment="1" applyProtection="1">
      <alignment horizontal="left" vertical="center"/>
    </xf>
    <xf numFmtId="166" fontId="5" fillId="7" borderId="1" xfId="1" applyFont="1" applyFill="1" applyBorder="1" applyAlignment="1" applyProtection="1">
      <alignment vertical="center"/>
    </xf>
    <xf numFmtId="49" fontId="2" fillId="7" borderId="1" xfId="1" applyNumberFormat="1" applyFont="1" applyFill="1" applyBorder="1" applyAlignment="1" applyProtection="1">
      <alignment wrapText="1"/>
    </xf>
    <xf numFmtId="166" fontId="2" fillId="7" borderId="1" xfId="1" applyFont="1" applyFill="1" applyBorder="1" applyAlignment="1" applyProtection="1"/>
    <xf numFmtId="166" fontId="4" fillId="0" borderId="7" xfId="1" applyFont="1" applyBorder="1" applyAlignment="1" applyProtection="1"/>
    <xf numFmtId="167" fontId="4" fillId="0" borderId="6" xfId="1" applyNumberFormat="1" applyFont="1" applyBorder="1" applyAlignment="1" applyProtection="1">
      <alignment horizontal="center"/>
    </xf>
    <xf numFmtId="166" fontId="5" fillId="7" borderId="1" xfId="1" applyFont="1" applyFill="1" applyBorder="1" applyAlignment="1" applyProtection="1"/>
    <xf numFmtId="166" fontId="6" fillId="3" borderId="11" xfId="1" applyFont="1" applyFill="1" applyBorder="1" applyAlignment="1" applyProtection="1">
      <alignment horizontal="left" vertical="center"/>
    </xf>
    <xf numFmtId="166" fontId="4" fillId="0" borderId="11" xfId="1" applyFont="1" applyBorder="1" applyAlignment="1" applyProtection="1">
      <alignment wrapText="1"/>
    </xf>
    <xf numFmtId="166" fontId="6" fillId="3" borderId="1" xfId="1" applyFont="1" applyFill="1" applyBorder="1" applyAlignment="1" applyProtection="1">
      <alignment horizontal="left" vertical="center"/>
    </xf>
    <xf numFmtId="166" fontId="4" fillId="0" borderId="1" xfId="1" applyFont="1" applyBorder="1" applyAlignment="1" applyProtection="1">
      <alignment wrapText="1"/>
    </xf>
    <xf numFmtId="0" fontId="4" fillId="0" borderId="1" xfId="0" applyFont="1" applyBorder="1" applyAlignment="1">
      <alignment wrapText="1"/>
    </xf>
    <xf numFmtId="166" fontId="6" fillId="3" borderId="4" xfId="1" applyFont="1" applyFill="1" applyBorder="1" applyAlignment="1" applyProtection="1">
      <alignment horizontal="left" vertical="center"/>
    </xf>
    <xf numFmtId="166" fontId="4" fillId="0" borderId="4" xfId="1" applyFont="1" applyBorder="1" applyAlignment="1" applyProtection="1">
      <alignment wrapText="1"/>
    </xf>
    <xf numFmtId="166" fontId="2" fillId="7" borderId="1" xfId="1" applyFont="1" applyFill="1" applyBorder="1" applyAlignment="1" applyProtection="1">
      <alignment wrapText="1"/>
    </xf>
    <xf numFmtId="166" fontId="4" fillId="0" borderId="0" xfId="1" applyFont="1" applyBorder="1" applyAlignment="1" applyProtection="1"/>
    <xf numFmtId="167" fontId="4" fillId="0" borderId="0" xfId="1" applyNumberFormat="1" applyFont="1" applyBorder="1" applyAlignment="1" applyProtection="1">
      <alignment horizontal="center"/>
    </xf>
  </cellXfs>
  <cellStyles count="13">
    <cellStyle name="Moeda 2" xfId="2" xr:uid="{00000000-0005-0000-0000-000006000000}"/>
    <cellStyle name="Normal" xfId="0" builtinId="0"/>
    <cellStyle name="Normal 13" xfId="3" xr:uid="{00000000-0005-0000-0000-000007000000}"/>
    <cellStyle name="Normal 20 3" xfId="4" xr:uid="{00000000-0005-0000-0000-000008000000}"/>
    <cellStyle name="Normal 65" xfId="5" xr:uid="{00000000-0005-0000-0000-000009000000}"/>
    <cellStyle name="Normal 65 2" xfId="6" xr:uid="{00000000-0005-0000-0000-00000A000000}"/>
    <cellStyle name="TableStyleLight1" xfId="7" xr:uid="{00000000-0005-0000-0000-00000B000000}"/>
    <cellStyle name="Vírgula" xfId="1" builtinId="3"/>
    <cellStyle name="Vírgula 2" xfId="8" xr:uid="{00000000-0005-0000-0000-00000C000000}"/>
    <cellStyle name="Vírgula 42" xfId="9" xr:uid="{00000000-0005-0000-0000-00000D000000}"/>
    <cellStyle name="Vírgula 44" xfId="10" xr:uid="{00000000-0005-0000-0000-00000E000000}"/>
    <cellStyle name="Vírgula 44 2" xfId="11" xr:uid="{00000000-0005-0000-0000-00000F000000}"/>
    <cellStyle name="Vírgula 44 3" xfId="12" xr:uid="{00000000-0005-0000-0000-000010000000}"/>
  </cellStyles>
  <dxfs count="0"/>
  <tableStyles count="0" defaultTableStyle="TableStyleMedium2" defaultPivotStyle="PivotStyleLight16"/>
  <colors>
    <indexedColors>
      <rgbColor rgb="FF000000"/>
      <rgbColor rgb="FFF2F2F2"/>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DC3E6"/>
      <rgbColor rgb="FFF4B183"/>
      <rgbColor rgb="FFCC99FF"/>
      <rgbColor rgb="FFFFCC99"/>
      <rgbColor rgb="FF3366FF"/>
      <rgbColor rgb="FF33CCCC"/>
      <rgbColor rgb="FF99CC00"/>
      <rgbColor rgb="FFFFCC00"/>
      <rgbColor rgb="FFFFC301"/>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24</xdr:col>
      <xdr:colOff>894960</xdr:colOff>
      <xdr:row>1</xdr:row>
      <xdr:rowOff>360</xdr:rowOff>
    </xdr:from>
    <xdr:to>
      <xdr:col>32</xdr:col>
      <xdr:colOff>1337040</xdr:colOff>
      <xdr:row>3</xdr:row>
      <xdr:rowOff>416880</xdr:rowOff>
    </xdr:to>
    <xdr:pic>
      <xdr:nvPicPr>
        <xdr:cNvPr id="2" name="Figura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5285160" y="162720"/>
          <a:ext cx="9825480" cy="1270080"/>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pageSetUpPr fitToPage="1"/>
  </sheetPr>
  <dimension ref="A1:AMJ2211"/>
  <sheetViews>
    <sheetView showGridLines="0" tabSelected="1" zoomScale="71" zoomScaleNormal="71" workbookViewId="0">
      <selection activeCell="D4" sqref="D4"/>
    </sheetView>
  </sheetViews>
  <sheetFormatPr defaultColWidth="9.140625" defaultRowHeight="15" outlineLevelRow="2" x14ac:dyDescent="0.25"/>
  <cols>
    <col min="1" max="1" width="20.28515625" style="6" customWidth="1"/>
    <col min="2" max="2" width="18" style="6" customWidth="1"/>
    <col min="3" max="3" width="10.42578125" style="6" customWidth="1"/>
    <col min="4" max="4" width="13.5703125" style="6" customWidth="1"/>
    <col min="5" max="10" width="16.7109375" style="6" hidden="1" customWidth="1"/>
    <col min="11" max="11" width="22.42578125" style="6" hidden="1" customWidth="1"/>
    <col min="12" max="24" width="16.7109375" style="6" hidden="1" customWidth="1"/>
    <col min="25" max="25" width="19" style="6" customWidth="1"/>
    <col min="26" max="26" width="19" style="6" hidden="1" customWidth="1"/>
    <col min="27" max="33" width="19" style="6" customWidth="1"/>
    <col min="34" max="37" width="47.5703125" style="6" customWidth="1"/>
    <col min="38" max="38" width="98.5703125" style="6" customWidth="1"/>
    <col min="39" max="39" width="47.5703125" style="6" customWidth="1"/>
    <col min="40" max="45" width="17.28515625" style="6" customWidth="1"/>
    <col min="46" max="46" width="34.85546875" style="6" customWidth="1"/>
    <col min="47" max="53" width="20.5703125" style="6" customWidth="1"/>
    <col min="54" max="59" width="50.7109375" style="6" customWidth="1"/>
    <col min="60" max="61" width="22" style="6" customWidth="1"/>
    <col min="62" max="63" width="22" style="6" hidden="1" customWidth="1"/>
    <col min="64" max="65" width="22" style="6" customWidth="1"/>
    <col min="66" max="66" width="30.7109375" style="6" customWidth="1"/>
    <col min="67" max="1024" width="9.140625" style="6"/>
  </cols>
  <sheetData>
    <row r="1" spans="1:75" ht="12.75" customHeight="1" x14ac:dyDescent="0.25">
      <c r="A1" s="7"/>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row>
    <row r="2" spans="1:75" ht="33.6" customHeight="1" x14ac:dyDescent="0.25">
      <c r="A2" s="5" t="s">
        <v>0</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row>
    <row r="3" spans="1:75" ht="33.6" customHeight="1" x14ac:dyDescent="0.25">
      <c r="A3" s="7"/>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row>
    <row r="4" spans="1:75" ht="47.25" customHeight="1" x14ac:dyDescent="0.25">
      <c r="A4" s="9"/>
      <c r="B4" s="9"/>
      <c r="C4" s="9"/>
      <c r="D4" s="9"/>
      <c r="E4" s="9"/>
      <c r="F4" s="9"/>
      <c r="G4" s="9"/>
      <c r="H4" s="9"/>
      <c r="I4" s="9"/>
      <c r="J4" s="9"/>
      <c r="K4" s="9"/>
      <c r="L4" s="9"/>
      <c r="M4" s="9"/>
      <c r="N4" s="9"/>
      <c r="O4" s="9"/>
      <c r="P4" s="9"/>
      <c r="Q4" s="9"/>
      <c r="R4" s="9"/>
      <c r="S4" s="9"/>
      <c r="T4" s="9"/>
      <c r="U4" s="9"/>
      <c r="V4" s="9"/>
      <c r="W4" s="9"/>
      <c r="X4" s="9"/>
      <c r="Y4" s="9"/>
      <c r="Z4" s="9"/>
      <c r="AA4" s="10"/>
      <c r="AB4" s="9"/>
      <c r="AC4" s="10"/>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row>
    <row r="5" spans="1:75" ht="53.25" customHeight="1" x14ac:dyDescent="0.25">
      <c r="A5" s="11"/>
      <c r="B5" s="12"/>
      <c r="C5" s="13"/>
      <c r="D5" s="14"/>
      <c r="E5" s="4" t="s">
        <v>1</v>
      </c>
      <c r="F5" s="4"/>
      <c r="G5" s="4"/>
      <c r="H5" s="4"/>
      <c r="I5" s="4"/>
      <c r="J5" s="4"/>
      <c r="K5" s="4"/>
      <c r="L5" s="4"/>
      <c r="M5" s="4"/>
      <c r="N5" s="4"/>
      <c r="O5" s="4"/>
      <c r="P5" s="4"/>
      <c r="Q5" s="4"/>
      <c r="R5" s="4"/>
      <c r="S5" s="4"/>
      <c r="T5" s="4"/>
      <c r="U5" s="4"/>
      <c r="V5" s="4"/>
      <c r="W5" s="4"/>
      <c r="X5" s="4"/>
      <c r="Y5" s="4"/>
      <c r="Z5" s="3" t="s">
        <v>2</v>
      </c>
      <c r="AA5" s="3"/>
      <c r="AB5" s="3"/>
      <c r="AC5" s="3"/>
      <c r="AD5" s="3"/>
      <c r="AE5" s="3"/>
      <c r="AF5" s="3"/>
      <c r="AG5" s="3"/>
      <c r="AH5" s="15"/>
      <c r="AI5" s="15"/>
      <c r="AJ5" s="15"/>
      <c r="AK5" s="15"/>
      <c r="AL5" s="15"/>
      <c r="AM5" s="15"/>
      <c r="AN5" s="2" t="s">
        <v>3</v>
      </c>
      <c r="AO5" s="2"/>
      <c r="AP5" s="2"/>
      <c r="AQ5" s="2"/>
      <c r="AR5" s="2"/>
      <c r="AS5" s="2"/>
      <c r="AT5" s="13"/>
      <c r="AU5" s="1" t="s">
        <v>4</v>
      </c>
      <c r="AV5" s="1"/>
      <c r="AW5" s="1"/>
      <c r="AX5" s="1"/>
      <c r="AY5" s="1"/>
      <c r="AZ5" s="1"/>
      <c r="BA5" s="1"/>
      <c r="BB5" s="16"/>
      <c r="BC5" s="16"/>
      <c r="BD5" s="16"/>
      <c r="BE5" s="16"/>
      <c r="BF5" s="16"/>
      <c r="BG5" s="16"/>
      <c r="BH5" s="17" t="s">
        <v>5</v>
      </c>
      <c r="BI5" s="12"/>
      <c r="BJ5" s="12"/>
      <c r="BK5" s="18"/>
      <c r="BL5" s="12"/>
      <c r="BM5" s="12"/>
      <c r="BN5" s="9"/>
      <c r="BO5" s="9"/>
      <c r="BP5" s="9"/>
      <c r="BQ5" s="9"/>
      <c r="BR5" s="9"/>
      <c r="BS5" s="9"/>
      <c r="BT5" s="9"/>
      <c r="BU5" s="9"/>
      <c r="BV5" s="9"/>
      <c r="BW5" s="9"/>
    </row>
    <row r="6" spans="1:75" ht="74.25" customHeight="1" x14ac:dyDescent="0.25">
      <c r="A6" s="19" t="s">
        <v>6</v>
      </c>
      <c r="B6" s="19" t="s">
        <v>7</v>
      </c>
      <c r="C6" s="19" t="s">
        <v>8</v>
      </c>
      <c r="D6" s="19" t="s">
        <v>9</v>
      </c>
      <c r="E6" s="20" t="s">
        <v>10</v>
      </c>
      <c r="F6" s="21" t="s">
        <v>11</v>
      </c>
      <c r="G6" s="22" t="s">
        <v>12</v>
      </c>
      <c r="H6" s="23" t="s">
        <v>13</v>
      </c>
      <c r="I6" s="23" t="s">
        <v>14</v>
      </c>
      <c r="J6" s="22" t="s">
        <v>15</v>
      </c>
      <c r="K6" s="23" t="s">
        <v>16</v>
      </c>
      <c r="L6" s="23" t="s">
        <v>17</v>
      </c>
      <c r="M6" s="24" t="s">
        <v>18</v>
      </c>
      <c r="N6" s="22" t="s">
        <v>19</v>
      </c>
      <c r="O6" s="22" t="s">
        <v>20</v>
      </c>
      <c r="P6" s="22" t="s">
        <v>21</v>
      </c>
      <c r="Q6" s="22" t="s">
        <v>22</v>
      </c>
      <c r="R6" s="22" t="s">
        <v>23</v>
      </c>
      <c r="S6" s="22" t="s">
        <v>24</v>
      </c>
      <c r="T6" s="22" t="s">
        <v>25</v>
      </c>
      <c r="U6" s="22" t="s">
        <v>26</v>
      </c>
      <c r="V6" s="22" t="s">
        <v>27</v>
      </c>
      <c r="W6" s="22" t="s">
        <v>28</v>
      </c>
      <c r="X6" s="25" t="s">
        <v>29</v>
      </c>
      <c r="Y6" s="26" t="s">
        <v>30</v>
      </c>
      <c r="Z6" s="27" t="s">
        <v>31</v>
      </c>
      <c r="AA6" s="28" t="s">
        <v>32</v>
      </c>
      <c r="AB6" s="28" t="s">
        <v>33</v>
      </c>
      <c r="AC6" s="28" t="s">
        <v>34</v>
      </c>
      <c r="AD6" s="28" t="s">
        <v>35</v>
      </c>
      <c r="AE6" s="28" t="s">
        <v>36</v>
      </c>
      <c r="AF6" s="28" t="s">
        <v>37</v>
      </c>
      <c r="AG6" s="29" t="s">
        <v>38</v>
      </c>
      <c r="AH6" s="30" t="s">
        <v>39</v>
      </c>
      <c r="AI6" s="30" t="s">
        <v>40</v>
      </c>
      <c r="AJ6" s="30" t="s">
        <v>41</v>
      </c>
      <c r="AK6" s="30" t="s">
        <v>42</v>
      </c>
      <c r="AL6" s="30" t="s">
        <v>43</v>
      </c>
      <c r="AM6" s="30" t="s">
        <v>44</v>
      </c>
      <c r="AN6" s="31" t="s">
        <v>45</v>
      </c>
      <c r="AO6" s="31" t="s">
        <v>46</v>
      </c>
      <c r="AP6" s="32" t="s">
        <v>47</v>
      </c>
      <c r="AQ6" s="32" t="s">
        <v>48</v>
      </c>
      <c r="AR6" s="32" t="s">
        <v>49</v>
      </c>
      <c r="AS6" s="33" t="s">
        <v>50</v>
      </c>
      <c r="AT6" s="34" t="s">
        <v>51</v>
      </c>
      <c r="AU6" s="35" t="s">
        <v>52</v>
      </c>
      <c r="AV6" s="35" t="s">
        <v>53</v>
      </c>
      <c r="AW6" s="35" t="s">
        <v>54</v>
      </c>
      <c r="AX6" s="35" t="s">
        <v>55</v>
      </c>
      <c r="AY6" s="35" t="s">
        <v>56</v>
      </c>
      <c r="AZ6" s="36" t="s">
        <v>57</v>
      </c>
      <c r="BA6" s="37" t="s">
        <v>58</v>
      </c>
      <c r="BB6" s="34" t="s">
        <v>59</v>
      </c>
      <c r="BC6" s="34" t="s">
        <v>60</v>
      </c>
      <c r="BD6" s="30" t="s">
        <v>61</v>
      </c>
      <c r="BE6" s="30" t="s">
        <v>62</v>
      </c>
      <c r="BF6" s="30" t="s">
        <v>63</v>
      </c>
      <c r="BG6" s="38" t="s">
        <v>64</v>
      </c>
      <c r="BH6" s="39" t="s">
        <v>65</v>
      </c>
      <c r="BI6" s="40" t="s">
        <v>66</v>
      </c>
      <c r="BJ6" s="40" t="s">
        <v>67</v>
      </c>
      <c r="BK6" s="41" t="s">
        <v>68</v>
      </c>
      <c r="BL6" s="42" t="s">
        <v>69</v>
      </c>
      <c r="BM6" s="26" t="s">
        <v>70</v>
      </c>
      <c r="BN6" s="9"/>
      <c r="BO6" s="9"/>
      <c r="BP6" s="9"/>
      <c r="BQ6" s="9"/>
      <c r="BR6" s="9"/>
      <c r="BS6" s="9"/>
      <c r="BT6" s="9"/>
      <c r="BU6" s="9"/>
      <c r="BV6" s="9"/>
      <c r="BW6" s="9"/>
    </row>
    <row r="7" spans="1:75" hidden="1" outlineLevel="2" x14ac:dyDescent="0.25">
      <c r="A7" s="43" t="s">
        <v>71</v>
      </c>
      <c r="B7" s="44" t="s">
        <v>72</v>
      </c>
      <c r="C7" s="45">
        <v>2017</v>
      </c>
      <c r="D7" s="46" t="s">
        <v>73</v>
      </c>
      <c r="E7" s="47">
        <v>0</v>
      </c>
      <c r="F7" s="47">
        <v>0</v>
      </c>
      <c r="G7" s="47">
        <v>0</v>
      </c>
      <c r="H7" s="47">
        <v>1345302.11</v>
      </c>
      <c r="I7" s="47">
        <v>0</v>
      </c>
      <c r="J7" s="47">
        <v>1345302.11</v>
      </c>
      <c r="K7" s="47">
        <v>0</v>
      </c>
      <c r="L7" s="47">
        <v>0</v>
      </c>
      <c r="M7" s="47">
        <v>0</v>
      </c>
      <c r="N7" s="47">
        <v>0</v>
      </c>
      <c r="O7" s="47">
        <v>0</v>
      </c>
      <c r="P7" s="47">
        <v>0</v>
      </c>
      <c r="Q7" s="47">
        <v>0</v>
      </c>
      <c r="R7" s="47">
        <v>0</v>
      </c>
      <c r="S7" s="47">
        <v>0</v>
      </c>
      <c r="T7" s="47">
        <v>0</v>
      </c>
      <c r="U7" s="47">
        <v>0</v>
      </c>
      <c r="V7" s="47">
        <v>0</v>
      </c>
      <c r="W7" s="47">
        <v>0</v>
      </c>
      <c r="X7" s="47">
        <v>0</v>
      </c>
      <c r="Y7" s="48">
        <v>1345302.11</v>
      </c>
      <c r="Z7" s="49">
        <v>0</v>
      </c>
      <c r="AA7" s="50">
        <v>0</v>
      </c>
      <c r="AB7" s="50">
        <v>0</v>
      </c>
      <c r="AC7" s="50">
        <v>0</v>
      </c>
      <c r="AD7" s="50">
        <v>0</v>
      </c>
      <c r="AE7" s="50">
        <v>0</v>
      </c>
      <c r="AF7" s="50">
        <v>0</v>
      </c>
      <c r="AG7" s="49">
        <v>0</v>
      </c>
      <c r="AH7" s="51" t="s">
        <v>74</v>
      </c>
      <c r="AI7" s="51" t="s">
        <v>74</v>
      </c>
      <c r="AJ7" s="51" t="s">
        <v>74</v>
      </c>
      <c r="AK7" s="51" t="s">
        <v>74</v>
      </c>
      <c r="AL7" s="51" t="s">
        <v>74</v>
      </c>
      <c r="AM7" s="51" t="s">
        <v>74</v>
      </c>
      <c r="AN7" s="52">
        <v>0</v>
      </c>
      <c r="AO7" s="52">
        <v>0</v>
      </c>
      <c r="AP7" s="52">
        <v>0</v>
      </c>
      <c r="AQ7" s="52">
        <v>0</v>
      </c>
      <c r="AR7" s="52">
        <v>0</v>
      </c>
      <c r="AS7" s="52">
        <v>0</v>
      </c>
      <c r="AT7" s="53" t="s">
        <v>74</v>
      </c>
      <c r="AU7" s="52">
        <v>0</v>
      </c>
      <c r="AV7" s="52"/>
      <c r="AW7" s="52">
        <v>0</v>
      </c>
      <c r="AX7" s="52"/>
      <c r="AY7" s="52"/>
      <c r="AZ7" s="52">
        <v>0</v>
      </c>
      <c r="BA7" s="52">
        <v>0</v>
      </c>
      <c r="BB7" s="54" t="s">
        <v>74</v>
      </c>
      <c r="BC7" s="53" t="s">
        <v>74</v>
      </c>
      <c r="BD7" s="55" t="s">
        <v>74</v>
      </c>
      <c r="BE7" s="55" t="s">
        <v>74</v>
      </c>
      <c r="BF7" s="55" t="s">
        <v>74</v>
      </c>
      <c r="BG7" s="55" t="s">
        <v>74</v>
      </c>
      <c r="BH7" s="52">
        <v>0</v>
      </c>
      <c r="BI7" s="52">
        <v>1345302.11</v>
      </c>
      <c r="BJ7" s="52">
        <v>1345302.11</v>
      </c>
      <c r="BK7" s="56">
        <v>42736</v>
      </c>
      <c r="BL7" s="57">
        <v>1345302.11</v>
      </c>
      <c r="BM7" s="47">
        <v>0</v>
      </c>
      <c r="BN7" s="9"/>
      <c r="BO7" s="9"/>
      <c r="BP7" s="9"/>
      <c r="BQ7" s="9"/>
      <c r="BR7" s="9"/>
      <c r="BS7" s="9"/>
      <c r="BT7" s="9"/>
      <c r="BU7" s="9"/>
      <c r="BV7" s="9"/>
      <c r="BW7" s="9"/>
    </row>
    <row r="8" spans="1:75" ht="26.25" hidden="1" outlineLevel="2" x14ac:dyDescent="0.25">
      <c r="A8" s="43" t="s">
        <v>71</v>
      </c>
      <c r="B8" s="44" t="s">
        <v>72</v>
      </c>
      <c r="C8" s="45">
        <v>2017</v>
      </c>
      <c r="D8" s="46" t="s">
        <v>75</v>
      </c>
      <c r="E8" s="47">
        <v>0</v>
      </c>
      <c r="F8" s="47">
        <v>0</v>
      </c>
      <c r="G8" s="47">
        <v>0</v>
      </c>
      <c r="H8" s="47">
        <v>1345302.11</v>
      </c>
      <c r="I8" s="47">
        <v>0</v>
      </c>
      <c r="J8" s="47">
        <v>1345302.11</v>
      </c>
      <c r="K8" s="47">
        <v>0</v>
      </c>
      <c r="L8" s="47">
        <v>0</v>
      </c>
      <c r="M8" s="47">
        <v>0</v>
      </c>
      <c r="N8" s="47">
        <v>0</v>
      </c>
      <c r="O8" s="47">
        <v>0</v>
      </c>
      <c r="P8" s="47">
        <v>0</v>
      </c>
      <c r="Q8" s="47">
        <v>0</v>
      </c>
      <c r="R8" s="47">
        <v>0</v>
      </c>
      <c r="S8" s="47">
        <v>0</v>
      </c>
      <c r="T8" s="47">
        <v>0</v>
      </c>
      <c r="U8" s="47">
        <v>0</v>
      </c>
      <c r="V8" s="47">
        <v>0</v>
      </c>
      <c r="W8" s="47">
        <v>0</v>
      </c>
      <c r="X8" s="47">
        <v>0</v>
      </c>
      <c r="Y8" s="48">
        <v>1345302.11</v>
      </c>
      <c r="Z8" s="49">
        <v>0</v>
      </c>
      <c r="AA8" s="50">
        <v>0</v>
      </c>
      <c r="AB8" s="50">
        <v>0</v>
      </c>
      <c r="AC8" s="50">
        <v>5644.95</v>
      </c>
      <c r="AD8" s="50">
        <v>0</v>
      </c>
      <c r="AE8" s="50">
        <v>0</v>
      </c>
      <c r="AF8" s="50">
        <v>0</v>
      </c>
      <c r="AG8" s="49">
        <v>5644.95</v>
      </c>
      <c r="AH8" s="51" t="s">
        <v>74</v>
      </c>
      <c r="AI8" s="51" t="s">
        <v>74</v>
      </c>
      <c r="AJ8" s="51" t="s">
        <v>76</v>
      </c>
      <c r="AK8" s="51" t="s">
        <v>74</v>
      </c>
      <c r="AL8" s="51" t="s">
        <v>74</v>
      </c>
      <c r="AM8" s="51" t="s">
        <v>74</v>
      </c>
      <c r="AN8" s="52">
        <v>0</v>
      </c>
      <c r="AO8" s="52">
        <v>0</v>
      </c>
      <c r="AP8" s="52">
        <v>0</v>
      </c>
      <c r="AQ8" s="52">
        <v>0</v>
      </c>
      <c r="AR8" s="52">
        <v>0</v>
      </c>
      <c r="AS8" s="52">
        <v>0</v>
      </c>
      <c r="AT8" s="53" t="s">
        <v>74</v>
      </c>
      <c r="AU8" s="52">
        <v>0</v>
      </c>
      <c r="AV8" s="52"/>
      <c r="AW8" s="52">
        <v>0</v>
      </c>
      <c r="AX8" s="52"/>
      <c r="AY8" s="52"/>
      <c r="AZ8" s="52">
        <v>0</v>
      </c>
      <c r="BA8" s="52">
        <v>0</v>
      </c>
      <c r="BB8" s="54" t="s">
        <v>74</v>
      </c>
      <c r="BC8" s="53" t="s">
        <v>74</v>
      </c>
      <c r="BD8" s="55" t="s">
        <v>74</v>
      </c>
      <c r="BE8" s="55" t="s">
        <v>74</v>
      </c>
      <c r="BF8" s="55" t="s">
        <v>74</v>
      </c>
      <c r="BG8" s="55" t="s">
        <v>74</v>
      </c>
      <c r="BH8" s="52">
        <v>0</v>
      </c>
      <c r="BI8" s="52">
        <v>1339657.1599999999</v>
      </c>
      <c r="BJ8" s="52">
        <v>1339657.1599999999</v>
      </c>
      <c r="BK8" s="56">
        <v>42767</v>
      </c>
      <c r="BL8" s="57">
        <v>1339657.1599999999</v>
      </c>
      <c r="BM8" s="47">
        <v>0</v>
      </c>
      <c r="BN8" s="9"/>
      <c r="BO8" s="9"/>
      <c r="BP8" s="9"/>
      <c r="BQ8" s="9"/>
      <c r="BR8" s="9"/>
      <c r="BS8" s="9"/>
      <c r="BT8" s="9"/>
      <c r="BU8" s="9"/>
      <c r="BV8" s="9"/>
      <c r="BW8" s="9"/>
    </row>
    <row r="9" spans="1:75" ht="26.25" hidden="1" outlineLevel="2" x14ac:dyDescent="0.25">
      <c r="A9" s="43" t="s">
        <v>71</v>
      </c>
      <c r="B9" s="44" t="s">
        <v>72</v>
      </c>
      <c r="C9" s="45">
        <v>2017</v>
      </c>
      <c r="D9" s="46" t="s">
        <v>77</v>
      </c>
      <c r="E9" s="47">
        <v>0</v>
      </c>
      <c r="F9" s="47">
        <v>0</v>
      </c>
      <c r="G9" s="47">
        <v>0</v>
      </c>
      <c r="H9" s="47">
        <v>1210771.8999999999</v>
      </c>
      <c r="I9" s="47">
        <v>0</v>
      </c>
      <c r="J9" s="47">
        <v>1210771.8999999999</v>
      </c>
      <c r="K9" s="47">
        <v>0</v>
      </c>
      <c r="L9" s="47">
        <v>134530.21</v>
      </c>
      <c r="M9" s="47">
        <v>134530.21</v>
      </c>
      <c r="N9" s="47">
        <v>0</v>
      </c>
      <c r="O9" s="47">
        <v>0</v>
      </c>
      <c r="P9" s="47">
        <v>0</v>
      </c>
      <c r="Q9" s="47">
        <v>0</v>
      </c>
      <c r="R9" s="47">
        <v>0</v>
      </c>
      <c r="S9" s="47">
        <v>0</v>
      </c>
      <c r="T9" s="47">
        <v>0</v>
      </c>
      <c r="U9" s="47">
        <v>0</v>
      </c>
      <c r="V9" s="47">
        <v>0</v>
      </c>
      <c r="W9" s="47">
        <v>0</v>
      </c>
      <c r="X9" s="47">
        <v>0</v>
      </c>
      <c r="Y9" s="48">
        <v>1345302.11</v>
      </c>
      <c r="Z9" s="49">
        <v>0</v>
      </c>
      <c r="AA9" s="50">
        <v>0</v>
      </c>
      <c r="AB9" s="50">
        <v>0</v>
      </c>
      <c r="AC9" s="50">
        <v>2600.0500000000002</v>
      </c>
      <c r="AD9" s="50">
        <v>0</v>
      </c>
      <c r="AE9" s="50">
        <v>0</v>
      </c>
      <c r="AF9" s="50">
        <v>0</v>
      </c>
      <c r="AG9" s="49">
        <v>2600.0500000000002</v>
      </c>
      <c r="AH9" s="51" t="s">
        <v>74</v>
      </c>
      <c r="AI9" s="51" t="s">
        <v>74</v>
      </c>
      <c r="AJ9" s="51" t="s">
        <v>78</v>
      </c>
      <c r="AK9" s="51" t="s">
        <v>74</v>
      </c>
      <c r="AL9" s="51" t="s">
        <v>74</v>
      </c>
      <c r="AM9" s="51" t="s">
        <v>74</v>
      </c>
      <c r="AN9" s="52">
        <v>0</v>
      </c>
      <c r="AO9" s="52">
        <v>0</v>
      </c>
      <c r="AP9" s="52">
        <v>0</v>
      </c>
      <c r="AQ9" s="52">
        <v>0</v>
      </c>
      <c r="AR9" s="52">
        <v>0</v>
      </c>
      <c r="AS9" s="52">
        <v>0</v>
      </c>
      <c r="AT9" s="53" t="s">
        <v>74</v>
      </c>
      <c r="AU9" s="52">
        <v>0</v>
      </c>
      <c r="AV9" s="52"/>
      <c r="AW9" s="52">
        <v>0</v>
      </c>
      <c r="AX9" s="52"/>
      <c r="AY9" s="52"/>
      <c r="AZ9" s="52">
        <v>0</v>
      </c>
      <c r="BA9" s="52">
        <v>0</v>
      </c>
      <c r="BB9" s="54" t="s">
        <v>74</v>
      </c>
      <c r="BC9" s="53" t="s">
        <v>74</v>
      </c>
      <c r="BD9" s="55" t="s">
        <v>74</v>
      </c>
      <c r="BE9" s="55" t="s">
        <v>74</v>
      </c>
      <c r="BF9" s="55" t="s">
        <v>74</v>
      </c>
      <c r="BG9" s="55" t="s">
        <v>74</v>
      </c>
      <c r="BH9" s="52">
        <v>0</v>
      </c>
      <c r="BI9" s="52">
        <v>1342702.06</v>
      </c>
      <c r="BJ9" s="52">
        <v>1342702.06</v>
      </c>
      <c r="BK9" s="56">
        <v>42795</v>
      </c>
      <c r="BL9" s="57">
        <v>1342702.06</v>
      </c>
      <c r="BM9" s="47">
        <v>0</v>
      </c>
      <c r="BN9" s="9"/>
      <c r="BO9" s="9"/>
      <c r="BP9" s="9"/>
      <c r="BQ9" s="9"/>
      <c r="BR9" s="9"/>
      <c r="BS9" s="9"/>
      <c r="BT9" s="9"/>
      <c r="BU9" s="9"/>
      <c r="BV9" s="9"/>
      <c r="BW9" s="9"/>
    </row>
    <row r="10" spans="1:75" ht="26.25" hidden="1" outlineLevel="2" x14ac:dyDescent="0.25">
      <c r="A10" s="43" t="s">
        <v>71</v>
      </c>
      <c r="B10" s="44" t="s">
        <v>72</v>
      </c>
      <c r="C10" s="45">
        <v>2017</v>
      </c>
      <c r="D10" s="46" t="s">
        <v>79</v>
      </c>
      <c r="E10" s="47">
        <v>0</v>
      </c>
      <c r="F10" s="47">
        <v>0</v>
      </c>
      <c r="G10" s="47">
        <v>0</v>
      </c>
      <c r="H10" s="47">
        <v>0</v>
      </c>
      <c r="I10" s="47">
        <v>0</v>
      </c>
      <c r="J10" s="47">
        <v>0</v>
      </c>
      <c r="K10" s="47">
        <v>0</v>
      </c>
      <c r="L10" s="47">
        <v>1345302.11</v>
      </c>
      <c r="M10" s="47">
        <v>1345302.11</v>
      </c>
      <c r="N10" s="47">
        <v>0</v>
      </c>
      <c r="O10" s="47">
        <v>0</v>
      </c>
      <c r="P10" s="47">
        <v>0</v>
      </c>
      <c r="Q10" s="47">
        <v>0</v>
      </c>
      <c r="R10" s="47">
        <v>0</v>
      </c>
      <c r="S10" s="47">
        <v>0</v>
      </c>
      <c r="T10" s="47">
        <v>0</v>
      </c>
      <c r="U10" s="47">
        <v>0</v>
      </c>
      <c r="V10" s="47">
        <v>0</v>
      </c>
      <c r="W10" s="47">
        <v>0</v>
      </c>
      <c r="X10" s="47">
        <v>0</v>
      </c>
      <c r="Y10" s="48">
        <v>1345302.11</v>
      </c>
      <c r="Z10" s="49">
        <v>0</v>
      </c>
      <c r="AA10" s="50">
        <v>0</v>
      </c>
      <c r="AB10" s="50">
        <v>0</v>
      </c>
      <c r="AC10" s="50">
        <v>2323.71</v>
      </c>
      <c r="AD10" s="50">
        <v>0</v>
      </c>
      <c r="AE10" s="50">
        <v>0</v>
      </c>
      <c r="AF10" s="50">
        <v>0</v>
      </c>
      <c r="AG10" s="49">
        <v>2323.71</v>
      </c>
      <c r="AH10" s="51" t="s">
        <v>74</v>
      </c>
      <c r="AI10" s="51" t="s">
        <v>74</v>
      </c>
      <c r="AJ10" s="51" t="s">
        <v>80</v>
      </c>
      <c r="AK10" s="51" t="s">
        <v>74</v>
      </c>
      <c r="AL10" s="51" t="s">
        <v>74</v>
      </c>
      <c r="AM10" s="51" t="s">
        <v>74</v>
      </c>
      <c r="AN10" s="52">
        <v>0</v>
      </c>
      <c r="AO10" s="52">
        <v>0</v>
      </c>
      <c r="AP10" s="52">
        <v>0</v>
      </c>
      <c r="AQ10" s="52">
        <v>0</v>
      </c>
      <c r="AR10" s="52">
        <v>0</v>
      </c>
      <c r="AS10" s="52">
        <v>0</v>
      </c>
      <c r="AT10" s="53" t="s">
        <v>74</v>
      </c>
      <c r="AU10" s="52">
        <v>0</v>
      </c>
      <c r="AV10" s="52"/>
      <c r="AW10" s="52">
        <v>0</v>
      </c>
      <c r="AX10" s="52"/>
      <c r="AY10" s="52"/>
      <c r="AZ10" s="52">
        <v>0</v>
      </c>
      <c r="BA10" s="52">
        <v>0</v>
      </c>
      <c r="BB10" s="54" t="s">
        <v>74</v>
      </c>
      <c r="BC10" s="53" t="s">
        <v>74</v>
      </c>
      <c r="BD10" s="55" t="s">
        <v>74</v>
      </c>
      <c r="BE10" s="55" t="s">
        <v>74</v>
      </c>
      <c r="BF10" s="55" t="s">
        <v>74</v>
      </c>
      <c r="BG10" s="55" t="s">
        <v>74</v>
      </c>
      <c r="BH10" s="52">
        <v>0</v>
      </c>
      <c r="BI10" s="52">
        <v>1342978.4</v>
      </c>
      <c r="BJ10" s="52">
        <v>1342978.4</v>
      </c>
      <c r="BK10" s="56">
        <v>42826</v>
      </c>
      <c r="BL10" s="57">
        <v>1342978.4</v>
      </c>
      <c r="BM10" s="47">
        <v>0</v>
      </c>
      <c r="BN10" s="9"/>
      <c r="BO10" s="9"/>
      <c r="BP10" s="9"/>
      <c r="BQ10" s="9"/>
      <c r="BR10" s="9"/>
      <c r="BS10" s="9"/>
      <c r="BT10" s="9"/>
      <c r="BU10" s="9"/>
      <c r="BV10" s="9"/>
      <c r="BW10" s="9"/>
    </row>
    <row r="11" spans="1:75" ht="26.25" hidden="1" outlineLevel="2" x14ac:dyDescent="0.25">
      <c r="A11" s="43" t="s">
        <v>71</v>
      </c>
      <c r="B11" s="44" t="s">
        <v>72</v>
      </c>
      <c r="C11" s="45">
        <v>2017</v>
      </c>
      <c r="D11" s="46" t="s">
        <v>81</v>
      </c>
      <c r="E11" s="47">
        <v>0</v>
      </c>
      <c r="F11" s="47">
        <v>0</v>
      </c>
      <c r="G11" s="47">
        <v>0</v>
      </c>
      <c r="H11" s="47">
        <v>0</v>
      </c>
      <c r="I11" s="47">
        <v>0</v>
      </c>
      <c r="J11" s="47">
        <v>0</v>
      </c>
      <c r="K11" s="47">
        <v>0</v>
      </c>
      <c r="L11" s="47">
        <v>1345302.11</v>
      </c>
      <c r="M11" s="47">
        <v>1345302.11</v>
      </c>
      <c r="N11" s="47">
        <v>0</v>
      </c>
      <c r="O11" s="47">
        <v>0</v>
      </c>
      <c r="P11" s="47">
        <v>0</v>
      </c>
      <c r="Q11" s="47">
        <v>0</v>
      </c>
      <c r="R11" s="47">
        <v>0</v>
      </c>
      <c r="S11" s="47">
        <v>0</v>
      </c>
      <c r="T11" s="47">
        <v>0</v>
      </c>
      <c r="U11" s="47">
        <v>0</v>
      </c>
      <c r="V11" s="47">
        <v>0</v>
      </c>
      <c r="W11" s="47">
        <v>0</v>
      </c>
      <c r="X11" s="47">
        <v>0</v>
      </c>
      <c r="Y11" s="48">
        <v>1345302.11</v>
      </c>
      <c r="Z11" s="49">
        <v>0</v>
      </c>
      <c r="AA11" s="50">
        <v>0</v>
      </c>
      <c r="AB11" s="50">
        <v>0</v>
      </c>
      <c r="AC11" s="50">
        <v>2229.9899999999998</v>
      </c>
      <c r="AD11" s="50">
        <v>0</v>
      </c>
      <c r="AE11" s="50">
        <v>0</v>
      </c>
      <c r="AF11" s="50">
        <v>0</v>
      </c>
      <c r="AG11" s="49">
        <v>2229.9899999999998</v>
      </c>
      <c r="AH11" s="51" t="s">
        <v>74</v>
      </c>
      <c r="AI11" s="51" t="s">
        <v>74</v>
      </c>
      <c r="AJ11" s="51" t="s">
        <v>82</v>
      </c>
      <c r="AK11" s="51" t="s">
        <v>74</v>
      </c>
      <c r="AL11" s="51" t="s">
        <v>74</v>
      </c>
      <c r="AM11" s="51" t="s">
        <v>74</v>
      </c>
      <c r="AN11" s="52">
        <v>0</v>
      </c>
      <c r="AO11" s="52">
        <v>0</v>
      </c>
      <c r="AP11" s="52">
        <v>0</v>
      </c>
      <c r="AQ11" s="52">
        <v>0</v>
      </c>
      <c r="AR11" s="52">
        <v>0</v>
      </c>
      <c r="AS11" s="52">
        <v>0</v>
      </c>
      <c r="AT11" s="53" t="s">
        <v>74</v>
      </c>
      <c r="AU11" s="52">
        <v>0</v>
      </c>
      <c r="AV11" s="52"/>
      <c r="AW11" s="52">
        <v>0</v>
      </c>
      <c r="AX11" s="52"/>
      <c r="AY11" s="52"/>
      <c r="AZ11" s="52">
        <v>0</v>
      </c>
      <c r="BA11" s="52">
        <v>0</v>
      </c>
      <c r="BB11" s="54" t="s">
        <v>74</v>
      </c>
      <c r="BC11" s="53" t="s">
        <v>74</v>
      </c>
      <c r="BD11" s="55" t="s">
        <v>74</v>
      </c>
      <c r="BE11" s="55" t="s">
        <v>74</v>
      </c>
      <c r="BF11" s="55" t="s">
        <v>74</v>
      </c>
      <c r="BG11" s="55" t="s">
        <v>74</v>
      </c>
      <c r="BH11" s="52">
        <v>0</v>
      </c>
      <c r="BI11" s="52">
        <v>1343072.12</v>
      </c>
      <c r="BJ11" s="52">
        <v>1343072.12</v>
      </c>
      <c r="BK11" s="56">
        <v>42856</v>
      </c>
      <c r="BL11" s="57">
        <v>1343072.12</v>
      </c>
      <c r="BM11" s="47">
        <v>0</v>
      </c>
      <c r="BN11" s="9"/>
      <c r="BO11" s="9"/>
      <c r="BP11" s="9"/>
      <c r="BQ11" s="9"/>
      <c r="BR11" s="9"/>
      <c r="BS11" s="9"/>
      <c r="BT11" s="9"/>
      <c r="BU11" s="9"/>
      <c r="BV11" s="9"/>
      <c r="BW11" s="9"/>
    </row>
    <row r="12" spans="1:75" hidden="1" outlineLevel="2" x14ac:dyDescent="0.25">
      <c r="A12" s="43" t="s">
        <v>71</v>
      </c>
      <c r="B12" s="44" t="s">
        <v>72</v>
      </c>
      <c r="C12" s="45">
        <v>2017</v>
      </c>
      <c r="D12" s="46" t="s">
        <v>83</v>
      </c>
      <c r="E12" s="47">
        <v>0</v>
      </c>
      <c r="F12" s="47">
        <v>0</v>
      </c>
      <c r="G12" s="47">
        <v>0</v>
      </c>
      <c r="H12" s="47">
        <v>0</v>
      </c>
      <c r="I12" s="47">
        <v>0</v>
      </c>
      <c r="J12" s="47">
        <v>0</v>
      </c>
      <c r="K12" s="47">
        <v>0</v>
      </c>
      <c r="L12" s="47">
        <v>1345302.11</v>
      </c>
      <c r="M12" s="47">
        <v>1345302.11</v>
      </c>
      <c r="N12" s="47">
        <v>0</v>
      </c>
      <c r="O12" s="47">
        <v>0</v>
      </c>
      <c r="P12" s="47">
        <v>0</v>
      </c>
      <c r="Q12" s="47">
        <v>0</v>
      </c>
      <c r="R12" s="47">
        <v>0</v>
      </c>
      <c r="S12" s="47">
        <v>0</v>
      </c>
      <c r="T12" s="47">
        <v>0</v>
      </c>
      <c r="U12" s="47">
        <v>0</v>
      </c>
      <c r="V12" s="47">
        <v>0</v>
      </c>
      <c r="W12" s="47">
        <v>0</v>
      </c>
      <c r="X12" s="47">
        <v>0</v>
      </c>
      <c r="Y12" s="48">
        <v>1345302.11</v>
      </c>
      <c r="Z12" s="49">
        <v>0</v>
      </c>
      <c r="AA12" s="50">
        <v>0</v>
      </c>
      <c r="AB12" s="50">
        <v>0</v>
      </c>
      <c r="AC12" s="50">
        <v>2229.9899999999998</v>
      </c>
      <c r="AD12" s="50">
        <v>0</v>
      </c>
      <c r="AE12" s="50">
        <v>0</v>
      </c>
      <c r="AF12" s="50">
        <v>0</v>
      </c>
      <c r="AG12" s="49">
        <v>2229.9899999999998</v>
      </c>
      <c r="AH12" s="51" t="s">
        <v>74</v>
      </c>
      <c r="AI12" s="51" t="s">
        <v>74</v>
      </c>
      <c r="AJ12" s="51" t="s">
        <v>41</v>
      </c>
      <c r="AK12" s="51" t="s">
        <v>74</v>
      </c>
      <c r="AL12" s="51" t="s">
        <v>74</v>
      </c>
      <c r="AM12" s="51" t="s">
        <v>74</v>
      </c>
      <c r="AN12" s="52">
        <v>0</v>
      </c>
      <c r="AO12" s="52">
        <v>0</v>
      </c>
      <c r="AP12" s="52">
        <v>0</v>
      </c>
      <c r="AQ12" s="52">
        <v>0</v>
      </c>
      <c r="AR12" s="52">
        <v>0</v>
      </c>
      <c r="AS12" s="52">
        <v>0</v>
      </c>
      <c r="AT12" s="53" t="s">
        <v>74</v>
      </c>
      <c r="AU12" s="52">
        <v>0</v>
      </c>
      <c r="AV12" s="52"/>
      <c r="AW12" s="52">
        <v>0</v>
      </c>
      <c r="AX12" s="52"/>
      <c r="AY12" s="52"/>
      <c r="AZ12" s="52">
        <v>0</v>
      </c>
      <c r="BA12" s="52">
        <v>0</v>
      </c>
      <c r="BB12" s="54" t="s">
        <v>74</v>
      </c>
      <c r="BC12" s="53" t="s">
        <v>74</v>
      </c>
      <c r="BD12" s="55" t="s">
        <v>74</v>
      </c>
      <c r="BE12" s="55" t="s">
        <v>74</v>
      </c>
      <c r="BF12" s="55" t="s">
        <v>74</v>
      </c>
      <c r="BG12" s="55" t="s">
        <v>74</v>
      </c>
      <c r="BH12" s="52">
        <v>0</v>
      </c>
      <c r="BI12" s="52">
        <v>1343072.12</v>
      </c>
      <c r="BJ12" s="52">
        <v>1343072.12</v>
      </c>
      <c r="BK12" s="56">
        <v>42887</v>
      </c>
      <c r="BL12" s="57">
        <v>1343072.12</v>
      </c>
      <c r="BM12" s="47">
        <v>0</v>
      </c>
      <c r="BN12" s="9"/>
      <c r="BO12" s="9"/>
      <c r="BP12" s="9"/>
      <c r="BQ12" s="9"/>
      <c r="BR12" s="9"/>
      <c r="BS12" s="9"/>
      <c r="BT12" s="9"/>
      <c r="BU12" s="9"/>
      <c r="BV12" s="9"/>
      <c r="BW12" s="9"/>
    </row>
    <row r="13" spans="1:75" ht="128.25" hidden="1" outlineLevel="2" x14ac:dyDescent="0.25">
      <c r="A13" s="43" t="s">
        <v>71</v>
      </c>
      <c r="B13" s="44" t="s">
        <v>72</v>
      </c>
      <c r="C13" s="45">
        <v>2017</v>
      </c>
      <c r="D13" s="46" t="s">
        <v>84</v>
      </c>
      <c r="E13" s="47">
        <v>0</v>
      </c>
      <c r="F13" s="47">
        <v>0</v>
      </c>
      <c r="G13" s="47">
        <v>0</v>
      </c>
      <c r="H13" s="47">
        <v>0</v>
      </c>
      <c r="I13" s="47">
        <v>0</v>
      </c>
      <c r="J13" s="47">
        <v>0</v>
      </c>
      <c r="K13" s="47">
        <v>0</v>
      </c>
      <c r="L13" s="47">
        <v>1345302.11</v>
      </c>
      <c r="M13" s="47">
        <v>1345302.11</v>
      </c>
      <c r="N13" s="47">
        <v>0</v>
      </c>
      <c r="O13" s="47">
        <v>0</v>
      </c>
      <c r="P13" s="47">
        <v>0</v>
      </c>
      <c r="Q13" s="47">
        <v>0</v>
      </c>
      <c r="R13" s="47">
        <v>0</v>
      </c>
      <c r="S13" s="47">
        <v>0</v>
      </c>
      <c r="T13" s="47">
        <v>0</v>
      </c>
      <c r="U13" s="47">
        <v>0</v>
      </c>
      <c r="V13" s="47">
        <v>0</v>
      </c>
      <c r="W13" s="47">
        <v>0</v>
      </c>
      <c r="X13" s="47">
        <v>0</v>
      </c>
      <c r="Y13" s="48">
        <v>1345302.11</v>
      </c>
      <c r="Z13" s="49">
        <v>0</v>
      </c>
      <c r="AA13" s="50">
        <v>0</v>
      </c>
      <c r="AB13" s="50">
        <v>0</v>
      </c>
      <c r="AC13" s="50">
        <v>3120.73</v>
      </c>
      <c r="AD13" s="50">
        <v>0</v>
      </c>
      <c r="AE13" s="50">
        <v>0</v>
      </c>
      <c r="AF13" s="50">
        <v>0</v>
      </c>
      <c r="AG13" s="49">
        <v>3120.73</v>
      </c>
      <c r="AH13" s="51" t="s">
        <v>74</v>
      </c>
      <c r="AI13" s="51" t="s">
        <v>74</v>
      </c>
      <c r="AJ13" s="51" t="s">
        <v>85</v>
      </c>
      <c r="AK13" s="51" t="s">
        <v>74</v>
      </c>
      <c r="AL13" s="51" t="s">
        <v>74</v>
      </c>
      <c r="AM13" s="51" t="s">
        <v>74</v>
      </c>
      <c r="AN13" s="52">
        <v>0</v>
      </c>
      <c r="AO13" s="52">
        <v>0</v>
      </c>
      <c r="AP13" s="52">
        <v>0</v>
      </c>
      <c r="AQ13" s="52">
        <v>0</v>
      </c>
      <c r="AR13" s="52">
        <v>0</v>
      </c>
      <c r="AS13" s="52">
        <v>0</v>
      </c>
      <c r="AT13" s="53" t="s">
        <v>74</v>
      </c>
      <c r="AU13" s="52">
        <v>0</v>
      </c>
      <c r="AV13" s="52"/>
      <c r="AW13" s="52">
        <v>0</v>
      </c>
      <c r="AX13" s="52"/>
      <c r="AY13" s="52"/>
      <c r="AZ13" s="52">
        <v>0</v>
      </c>
      <c r="BA13" s="52">
        <v>0</v>
      </c>
      <c r="BB13" s="54" t="s">
        <v>74</v>
      </c>
      <c r="BC13" s="53" t="s">
        <v>74</v>
      </c>
      <c r="BD13" s="55" t="s">
        <v>74</v>
      </c>
      <c r="BE13" s="55" t="s">
        <v>74</v>
      </c>
      <c r="BF13" s="55" t="s">
        <v>74</v>
      </c>
      <c r="BG13" s="55" t="s">
        <v>74</v>
      </c>
      <c r="BH13" s="52">
        <v>0</v>
      </c>
      <c r="BI13" s="52">
        <v>1342181.38</v>
      </c>
      <c r="BJ13" s="52">
        <v>1342181.38</v>
      </c>
      <c r="BK13" s="56">
        <v>42917</v>
      </c>
      <c r="BL13" s="57">
        <v>1342181.38</v>
      </c>
      <c r="BM13" s="47">
        <v>0</v>
      </c>
      <c r="BN13" s="9"/>
      <c r="BO13" s="9"/>
      <c r="BP13" s="9"/>
      <c r="BQ13" s="9"/>
      <c r="BR13" s="9"/>
      <c r="BS13" s="9"/>
      <c r="BT13" s="9"/>
      <c r="BU13" s="9"/>
      <c r="BV13" s="9"/>
      <c r="BW13" s="9"/>
    </row>
    <row r="14" spans="1:75" ht="26.25" hidden="1" outlineLevel="2" x14ac:dyDescent="0.25">
      <c r="A14" s="43" t="s">
        <v>71</v>
      </c>
      <c r="B14" s="44" t="s">
        <v>72</v>
      </c>
      <c r="C14" s="45">
        <v>2017</v>
      </c>
      <c r="D14" s="46" t="s">
        <v>86</v>
      </c>
      <c r="E14" s="47">
        <v>0</v>
      </c>
      <c r="F14" s="47">
        <v>0</v>
      </c>
      <c r="G14" s="47">
        <v>0</v>
      </c>
      <c r="H14" s="47">
        <v>0</v>
      </c>
      <c r="I14" s="47">
        <v>0</v>
      </c>
      <c r="J14" s="47">
        <v>0</v>
      </c>
      <c r="K14" s="47">
        <v>0</v>
      </c>
      <c r="L14" s="47">
        <v>1345302.11</v>
      </c>
      <c r="M14" s="47">
        <v>1345302.11</v>
      </c>
      <c r="N14" s="47">
        <v>0</v>
      </c>
      <c r="O14" s="47">
        <v>0</v>
      </c>
      <c r="P14" s="47">
        <v>0</v>
      </c>
      <c r="Q14" s="47">
        <v>0</v>
      </c>
      <c r="R14" s="47">
        <v>0</v>
      </c>
      <c r="S14" s="47">
        <v>0</v>
      </c>
      <c r="T14" s="47">
        <v>0</v>
      </c>
      <c r="U14" s="47">
        <v>0</v>
      </c>
      <c r="V14" s="47">
        <v>0</v>
      </c>
      <c r="W14" s="47">
        <v>0</v>
      </c>
      <c r="X14" s="47">
        <v>0</v>
      </c>
      <c r="Y14" s="48">
        <v>1345302.11</v>
      </c>
      <c r="Z14" s="49">
        <v>0</v>
      </c>
      <c r="AA14" s="50">
        <v>0</v>
      </c>
      <c r="AB14" s="50">
        <v>0</v>
      </c>
      <c r="AC14" s="50">
        <v>3120.73</v>
      </c>
      <c r="AD14" s="50">
        <v>0</v>
      </c>
      <c r="AE14" s="50">
        <v>0</v>
      </c>
      <c r="AF14" s="50">
        <v>0</v>
      </c>
      <c r="AG14" s="49">
        <v>3120.73</v>
      </c>
      <c r="AH14" s="51" t="s">
        <v>74</v>
      </c>
      <c r="AI14" s="51" t="s">
        <v>74</v>
      </c>
      <c r="AJ14" s="51" t="s">
        <v>87</v>
      </c>
      <c r="AK14" s="51" t="s">
        <v>74</v>
      </c>
      <c r="AL14" s="51" t="s">
        <v>74</v>
      </c>
      <c r="AM14" s="51" t="s">
        <v>74</v>
      </c>
      <c r="AN14" s="52">
        <v>0</v>
      </c>
      <c r="AO14" s="52">
        <v>0</v>
      </c>
      <c r="AP14" s="52">
        <v>0</v>
      </c>
      <c r="AQ14" s="52">
        <v>0</v>
      </c>
      <c r="AR14" s="52">
        <v>0</v>
      </c>
      <c r="AS14" s="52">
        <v>0</v>
      </c>
      <c r="AT14" s="53" t="s">
        <v>74</v>
      </c>
      <c r="AU14" s="52">
        <v>0</v>
      </c>
      <c r="AV14" s="52"/>
      <c r="AW14" s="52">
        <v>0</v>
      </c>
      <c r="AX14" s="52"/>
      <c r="AY14" s="52"/>
      <c r="AZ14" s="52">
        <v>0</v>
      </c>
      <c r="BA14" s="52">
        <v>0</v>
      </c>
      <c r="BB14" s="54" t="s">
        <v>74</v>
      </c>
      <c r="BC14" s="53" t="s">
        <v>74</v>
      </c>
      <c r="BD14" s="55" t="s">
        <v>74</v>
      </c>
      <c r="BE14" s="55" t="s">
        <v>74</v>
      </c>
      <c r="BF14" s="55" t="s">
        <v>74</v>
      </c>
      <c r="BG14" s="55" t="s">
        <v>74</v>
      </c>
      <c r="BH14" s="52">
        <v>0</v>
      </c>
      <c r="BI14" s="52">
        <v>1342181.38</v>
      </c>
      <c r="BJ14" s="52">
        <v>1342181.38</v>
      </c>
      <c r="BK14" s="56">
        <v>42948</v>
      </c>
      <c r="BL14" s="57">
        <v>1342181.38</v>
      </c>
      <c r="BM14" s="47">
        <v>0</v>
      </c>
      <c r="BN14" s="9"/>
      <c r="BO14" s="9"/>
      <c r="BP14" s="9"/>
      <c r="BQ14" s="9"/>
      <c r="BR14" s="9"/>
      <c r="BS14" s="9"/>
      <c r="BT14" s="9"/>
      <c r="BU14" s="9"/>
      <c r="BV14" s="9"/>
      <c r="BW14" s="9"/>
    </row>
    <row r="15" spans="1:75" ht="128.25" hidden="1" outlineLevel="2" x14ac:dyDescent="0.25">
      <c r="A15" s="43" t="s">
        <v>71</v>
      </c>
      <c r="B15" s="44" t="s">
        <v>72</v>
      </c>
      <c r="C15" s="45">
        <v>2017</v>
      </c>
      <c r="D15" s="46" t="s">
        <v>88</v>
      </c>
      <c r="E15" s="47">
        <v>0</v>
      </c>
      <c r="F15" s="47">
        <v>0</v>
      </c>
      <c r="G15" s="47">
        <v>0</v>
      </c>
      <c r="H15" s="47">
        <v>0</v>
      </c>
      <c r="I15" s="47">
        <v>0</v>
      </c>
      <c r="J15" s="47">
        <v>0</v>
      </c>
      <c r="K15" s="47">
        <v>0</v>
      </c>
      <c r="L15" s="47">
        <v>1345302.11</v>
      </c>
      <c r="M15" s="47">
        <v>1345302.11</v>
      </c>
      <c r="N15" s="47">
        <v>0</v>
      </c>
      <c r="O15" s="47">
        <v>0</v>
      </c>
      <c r="P15" s="47">
        <v>0</v>
      </c>
      <c r="Q15" s="47">
        <v>0</v>
      </c>
      <c r="R15" s="47">
        <v>0</v>
      </c>
      <c r="S15" s="47">
        <v>0</v>
      </c>
      <c r="T15" s="47">
        <v>0</v>
      </c>
      <c r="U15" s="47">
        <v>0</v>
      </c>
      <c r="V15" s="47">
        <v>0</v>
      </c>
      <c r="W15" s="47">
        <v>0</v>
      </c>
      <c r="X15" s="47">
        <v>0</v>
      </c>
      <c r="Y15" s="48">
        <v>1345302.11</v>
      </c>
      <c r="Z15" s="49">
        <v>0</v>
      </c>
      <c r="AA15" s="50">
        <v>0</v>
      </c>
      <c r="AB15" s="50">
        <v>0</v>
      </c>
      <c r="AC15" s="50">
        <v>3120.73</v>
      </c>
      <c r="AD15" s="50">
        <v>0</v>
      </c>
      <c r="AE15" s="50">
        <v>0</v>
      </c>
      <c r="AF15" s="50">
        <v>0</v>
      </c>
      <c r="AG15" s="49">
        <v>3120.73</v>
      </c>
      <c r="AH15" s="51" t="s">
        <v>74</v>
      </c>
      <c r="AI15" s="51" t="s">
        <v>74</v>
      </c>
      <c r="AJ15" s="51" t="s">
        <v>85</v>
      </c>
      <c r="AK15" s="51" t="s">
        <v>74</v>
      </c>
      <c r="AL15" s="51" t="s">
        <v>74</v>
      </c>
      <c r="AM15" s="51" t="s">
        <v>74</v>
      </c>
      <c r="AN15" s="52">
        <v>0</v>
      </c>
      <c r="AO15" s="52">
        <v>0</v>
      </c>
      <c r="AP15" s="52">
        <v>0</v>
      </c>
      <c r="AQ15" s="52">
        <v>0</v>
      </c>
      <c r="AR15" s="52">
        <v>0</v>
      </c>
      <c r="AS15" s="52">
        <v>0</v>
      </c>
      <c r="AT15" s="53" t="s">
        <v>74</v>
      </c>
      <c r="AU15" s="52">
        <v>0</v>
      </c>
      <c r="AV15" s="52"/>
      <c r="AW15" s="52">
        <v>0</v>
      </c>
      <c r="AX15" s="52"/>
      <c r="AY15" s="52"/>
      <c r="AZ15" s="52">
        <v>0</v>
      </c>
      <c r="BA15" s="52">
        <v>0</v>
      </c>
      <c r="BB15" s="54" t="s">
        <v>74</v>
      </c>
      <c r="BC15" s="53" t="s">
        <v>74</v>
      </c>
      <c r="BD15" s="55" t="s">
        <v>74</v>
      </c>
      <c r="BE15" s="55" t="s">
        <v>74</v>
      </c>
      <c r="BF15" s="55" t="s">
        <v>74</v>
      </c>
      <c r="BG15" s="55" t="s">
        <v>74</v>
      </c>
      <c r="BH15" s="52">
        <v>0</v>
      </c>
      <c r="BI15" s="52">
        <v>1342181.38</v>
      </c>
      <c r="BJ15" s="52">
        <v>1342181.38</v>
      </c>
      <c r="BK15" s="56">
        <v>42979</v>
      </c>
      <c r="BL15" s="57">
        <v>1342181.38</v>
      </c>
      <c r="BM15" s="47">
        <v>0</v>
      </c>
      <c r="BN15" s="9"/>
      <c r="BO15" s="9"/>
      <c r="BP15" s="9"/>
      <c r="BQ15" s="9"/>
      <c r="BR15" s="9"/>
      <c r="BS15" s="9"/>
      <c r="BT15" s="9"/>
      <c r="BU15" s="9"/>
      <c r="BV15" s="9"/>
      <c r="BW15" s="9"/>
    </row>
    <row r="16" spans="1:75" ht="128.25" hidden="1" outlineLevel="2" x14ac:dyDescent="0.25">
      <c r="A16" s="43" t="s">
        <v>71</v>
      </c>
      <c r="B16" s="44" t="s">
        <v>72</v>
      </c>
      <c r="C16" s="45">
        <v>2017</v>
      </c>
      <c r="D16" s="46" t="s">
        <v>89</v>
      </c>
      <c r="E16" s="47">
        <v>0</v>
      </c>
      <c r="F16" s="47">
        <v>0</v>
      </c>
      <c r="G16" s="47">
        <v>0</v>
      </c>
      <c r="H16" s="47">
        <v>0</v>
      </c>
      <c r="I16" s="47">
        <v>0</v>
      </c>
      <c r="J16" s="47">
        <v>0</v>
      </c>
      <c r="K16" s="47">
        <v>0</v>
      </c>
      <c r="L16" s="47">
        <v>1345302.11</v>
      </c>
      <c r="M16" s="47">
        <v>1345302.11</v>
      </c>
      <c r="N16" s="47">
        <v>0</v>
      </c>
      <c r="O16" s="47">
        <v>0</v>
      </c>
      <c r="P16" s="47">
        <v>0</v>
      </c>
      <c r="Q16" s="47">
        <v>0</v>
      </c>
      <c r="R16" s="47">
        <v>0</v>
      </c>
      <c r="S16" s="47">
        <v>0</v>
      </c>
      <c r="T16" s="47">
        <v>0</v>
      </c>
      <c r="U16" s="47">
        <v>0</v>
      </c>
      <c r="V16" s="47">
        <v>0</v>
      </c>
      <c r="W16" s="47">
        <v>0</v>
      </c>
      <c r="X16" s="47">
        <v>0</v>
      </c>
      <c r="Y16" s="48">
        <v>1345302.11</v>
      </c>
      <c r="Z16" s="49">
        <v>0</v>
      </c>
      <c r="AA16" s="50">
        <v>0</v>
      </c>
      <c r="AB16" s="50">
        <v>0</v>
      </c>
      <c r="AC16" s="50">
        <v>2496.83</v>
      </c>
      <c r="AD16" s="50">
        <v>0</v>
      </c>
      <c r="AE16" s="50">
        <v>0</v>
      </c>
      <c r="AF16" s="50">
        <v>0</v>
      </c>
      <c r="AG16" s="49">
        <v>2496.83</v>
      </c>
      <c r="AH16" s="51" t="s">
        <v>74</v>
      </c>
      <c r="AI16" s="51" t="s">
        <v>74</v>
      </c>
      <c r="AJ16" s="51" t="s">
        <v>85</v>
      </c>
      <c r="AK16" s="51" t="s">
        <v>74</v>
      </c>
      <c r="AL16" s="51" t="s">
        <v>74</v>
      </c>
      <c r="AM16" s="51" t="s">
        <v>74</v>
      </c>
      <c r="AN16" s="52">
        <v>0</v>
      </c>
      <c r="AO16" s="52">
        <v>0</v>
      </c>
      <c r="AP16" s="52">
        <v>0</v>
      </c>
      <c r="AQ16" s="52">
        <v>0</v>
      </c>
      <c r="AR16" s="52">
        <v>0</v>
      </c>
      <c r="AS16" s="52">
        <v>0</v>
      </c>
      <c r="AT16" s="53" t="s">
        <v>74</v>
      </c>
      <c r="AU16" s="52">
        <v>0</v>
      </c>
      <c r="AV16" s="52"/>
      <c r="AW16" s="52">
        <v>0</v>
      </c>
      <c r="AX16" s="52"/>
      <c r="AY16" s="52"/>
      <c r="AZ16" s="52">
        <v>0</v>
      </c>
      <c r="BA16" s="52">
        <v>0</v>
      </c>
      <c r="BB16" s="54" t="s">
        <v>74</v>
      </c>
      <c r="BC16" s="53" t="s">
        <v>74</v>
      </c>
      <c r="BD16" s="55" t="s">
        <v>74</v>
      </c>
      <c r="BE16" s="55" t="s">
        <v>74</v>
      </c>
      <c r="BF16" s="55" t="s">
        <v>74</v>
      </c>
      <c r="BG16" s="55" t="s">
        <v>74</v>
      </c>
      <c r="BH16" s="52">
        <v>0</v>
      </c>
      <c r="BI16" s="52">
        <v>1342805.28</v>
      </c>
      <c r="BJ16" s="52">
        <v>1342805.28</v>
      </c>
      <c r="BK16" s="56">
        <v>43009</v>
      </c>
      <c r="BL16" s="57">
        <v>1342805.28</v>
      </c>
      <c r="BM16" s="47">
        <v>0</v>
      </c>
      <c r="BN16" s="9"/>
      <c r="BO16" s="9"/>
      <c r="BP16" s="9"/>
      <c r="BQ16" s="9"/>
      <c r="BR16" s="9"/>
      <c r="BS16" s="9"/>
      <c r="BT16" s="9"/>
      <c r="BU16" s="9"/>
      <c r="BV16" s="9"/>
      <c r="BW16" s="9"/>
    </row>
    <row r="17" spans="1:75" ht="26.25" hidden="1" outlineLevel="2" x14ac:dyDescent="0.25">
      <c r="A17" s="43" t="s">
        <v>71</v>
      </c>
      <c r="B17" s="44" t="s">
        <v>72</v>
      </c>
      <c r="C17" s="45">
        <v>2017</v>
      </c>
      <c r="D17" s="46" t="s">
        <v>90</v>
      </c>
      <c r="E17" s="47">
        <v>0</v>
      </c>
      <c r="F17" s="47">
        <v>0</v>
      </c>
      <c r="G17" s="47">
        <v>0</v>
      </c>
      <c r="H17" s="47">
        <v>0</v>
      </c>
      <c r="I17" s="47">
        <v>0</v>
      </c>
      <c r="J17" s="47">
        <v>0</v>
      </c>
      <c r="K17" s="47">
        <v>0</v>
      </c>
      <c r="L17" s="47">
        <v>1345302.11</v>
      </c>
      <c r="M17" s="47">
        <v>1345302.11</v>
      </c>
      <c r="N17" s="47">
        <v>0</v>
      </c>
      <c r="O17" s="47">
        <v>0</v>
      </c>
      <c r="P17" s="47">
        <v>0</v>
      </c>
      <c r="Q17" s="47">
        <v>0</v>
      </c>
      <c r="R17" s="47">
        <v>0</v>
      </c>
      <c r="S17" s="47">
        <v>0</v>
      </c>
      <c r="T17" s="47">
        <v>0</v>
      </c>
      <c r="U17" s="47">
        <v>0</v>
      </c>
      <c r="V17" s="47">
        <v>0</v>
      </c>
      <c r="W17" s="47">
        <v>0</v>
      </c>
      <c r="X17" s="47">
        <v>0</v>
      </c>
      <c r="Y17" s="48">
        <v>1345302.11</v>
      </c>
      <c r="Z17" s="49">
        <v>0</v>
      </c>
      <c r="AA17" s="50">
        <v>0</v>
      </c>
      <c r="AB17" s="50">
        <v>0</v>
      </c>
      <c r="AC17" s="50">
        <v>2331.63</v>
      </c>
      <c r="AD17" s="50">
        <v>9920.0400000000009</v>
      </c>
      <c r="AE17" s="50">
        <v>0</v>
      </c>
      <c r="AF17" s="50">
        <v>0</v>
      </c>
      <c r="AG17" s="49">
        <v>12251.67</v>
      </c>
      <c r="AH17" s="51" t="s">
        <v>74</v>
      </c>
      <c r="AI17" s="51" t="s">
        <v>74</v>
      </c>
      <c r="AJ17" s="51" t="s">
        <v>91</v>
      </c>
      <c r="AK17" s="51" t="s">
        <v>92</v>
      </c>
      <c r="AL17" s="51" t="s">
        <v>74</v>
      </c>
      <c r="AM17" s="51" t="s">
        <v>74</v>
      </c>
      <c r="AN17" s="52">
        <v>0</v>
      </c>
      <c r="AO17" s="52">
        <v>0</v>
      </c>
      <c r="AP17" s="52">
        <v>0</v>
      </c>
      <c r="AQ17" s="52">
        <v>0</v>
      </c>
      <c r="AR17" s="52">
        <v>0</v>
      </c>
      <c r="AS17" s="52">
        <v>0</v>
      </c>
      <c r="AT17" s="53" t="s">
        <v>74</v>
      </c>
      <c r="AU17" s="52">
        <v>0</v>
      </c>
      <c r="AV17" s="52"/>
      <c r="AW17" s="52">
        <v>0</v>
      </c>
      <c r="AX17" s="52"/>
      <c r="AY17" s="52"/>
      <c r="AZ17" s="52">
        <v>0</v>
      </c>
      <c r="BA17" s="52">
        <v>0</v>
      </c>
      <c r="BB17" s="54" t="s">
        <v>74</v>
      </c>
      <c r="BC17" s="53" t="s">
        <v>74</v>
      </c>
      <c r="BD17" s="55" t="s">
        <v>74</v>
      </c>
      <c r="BE17" s="55" t="s">
        <v>74</v>
      </c>
      <c r="BF17" s="55" t="s">
        <v>74</v>
      </c>
      <c r="BG17" s="55" t="s">
        <v>74</v>
      </c>
      <c r="BH17" s="52">
        <v>0</v>
      </c>
      <c r="BI17" s="52">
        <v>1333050.44</v>
      </c>
      <c r="BJ17" s="52">
        <v>1333050.44</v>
      </c>
      <c r="BK17" s="56">
        <v>43040</v>
      </c>
      <c r="BL17" s="57">
        <v>1333050.44</v>
      </c>
      <c r="BM17" s="47">
        <v>0</v>
      </c>
      <c r="BN17" s="9"/>
      <c r="BO17" s="9"/>
      <c r="BP17" s="9"/>
      <c r="BQ17" s="9"/>
      <c r="BR17" s="9"/>
      <c r="BS17" s="9"/>
      <c r="BT17" s="9"/>
      <c r="BU17" s="9"/>
      <c r="BV17" s="9"/>
      <c r="BW17" s="9"/>
    </row>
    <row r="18" spans="1:75" ht="51.75" hidden="1" outlineLevel="2" x14ac:dyDescent="0.25">
      <c r="A18" s="43" t="s">
        <v>71</v>
      </c>
      <c r="B18" s="44" t="s">
        <v>72</v>
      </c>
      <c r="C18" s="45">
        <v>2017</v>
      </c>
      <c r="D18" s="46" t="s">
        <v>93</v>
      </c>
      <c r="E18" s="47">
        <v>0</v>
      </c>
      <c r="F18" s="47">
        <v>0</v>
      </c>
      <c r="G18" s="47">
        <v>0</v>
      </c>
      <c r="H18" s="47">
        <v>0</v>
      </c>
      <c r="I18" s="47">
        <v>0</v>
      </c>
      <c r="J18" s="47">
        <v>0</v>
      </c>
      <c r="K18" s="47">
        <v>0</v>
      </c>
      <c r="L18" s="47">
        <v>1345302.11</v>
      </c>
      <c r="M18" s="47">
        <v>1345302.11</v>
      </c>
      <c r="N18" s="47">
        <v>0</v>
      </c>
      <c r="O18" s="47">
        <v>0</v>
      </c>
      <c r="P18" s="47">
        <v>0</v>
      </c>
      <c r="Q18" s="47">
        <v>0</v>
      </c>
      <c r="R18" s="47">
        <v>0</v>
      </c>
      <c r="S18" s="47">
        <v>0</v>
      </c>
      <c r="T18" s="47">
        <v>0</v>
      </c>
      <c r="U18" s="47">
        <v>0</v>
      </c>
      <c r="V18" s="47">
        <v>0</v>
      </c>
      <c r="W18" s="47">
        <v>0</v>
      </c>
      <c r="X18" s="47">
        <v>0</v>
      </c>
      <c r="Y18" s="48">
        <v>1345302.11</v>
      </c>
      <c r="Z18" s="49">
        <v>0</v>
      </c>
      <c r="AA18" s="50">
        <v>0</v>
      </c>
      <c r="AB18" s="50">
        <v>0</v>
      </c>
      <c r="AC18" s="50">
        <v>2154.3200000000002</v>
      </c>
      <c r="AD18" s="50">
        <v>15176.82</v>
      </c>
      <c r="AE18" s="50">
        <v>0</v>
      </c>
      <c r="AF18" s="50">
        <v>0</v>
      </c>
      <c r="AG18" s="49">
        <v>17331.14</v>
      </c>
      <c r="AH18" s="51" t="s">
        <v>74</v>
      </c>
      <c r="AI18" s="51" t="s">
        <v>74</v>
      </c>
      <c r="AJ18" s="51" t="s">
        <v>94</v>
      </c>
      <c r="AK18" s="51" t="s">
        <v>95</v>
      </c>
      <c r="AL18" s="51" t="s">
        <v>74</v>
      </c>
      <c r="AM18" s="51" t="s">
        <v>74</v>
      </c>
      <c r="AN18" s="52">
        <v>0</v>
      </c>
      <c r="AO18" s="52">
        <v>0</v>
      </c>
      <c r="AP18" s="52">
        <v>0</v>
      </c>
      <c r="AQ18" s="52">
        <v>0</v>
      </c>
      <c r="AR18" s="52">
        <v>0</v>
      </c>
      <c r="AS18" s="52">
        <v>0</v>
      </c>
      <c r="AT18" s="53" t="s">
        <v>74</v>
      </c>
      <c r="AU18" s="52">
        <v>0</v>
      </c>
      <c r="AV18" s="52"/>
      <c r="AW18" s="52">
        <v>0</v>
      </c>
      <c r="AX18" s="52"/>
      <c r="AY18" s="52"/>
      <c r="AZ18" s="52">
        <v>0</v>
      </c>
      <c r="BA18" s="52">
        <v>0</v>
      </c>
      <c r="BB18" s="54" t="s">
        <v>74</v>
      </c>
      <c r="BC18" s="53" t="s">
        <v>74</v>
      </c>
      <c r="BD18" s="55" t="s">
        <v>74</v>
      </c>
      <c r="BE18" s="55" t="s">
        <v>74</v>
      </c>
      <c r="BF18" s="55" t="s">
        <v>74</v>
      </c>
      <c r="BG18" s="55" t="s">
        <v>74</v>
      </c>
      <c r="BH18" s="52">
        <v>0</v>
      </c>
      <c r="BI18" s="52">
        <v>1327970.97</v>
      </c>
      <c r="BJ18" s="52">
        <v>1327970.97</v>
      </c>
      <c r="BK18" s="56">
        <v>43070</v>
      </c>
      <c r="BL18" s="57">
        <v>1327970.97</v>
      </c>
      <c r="BM18" s="47">
        <v>0</v>
      </c>
      <c r="BN18" s="9"/>
      <c r="BO18" s="9"/>
      <c r="BP18" s="9"/>
      <c r="BQ18" s="9"/>
      <c r="BR18" s="9"/>
      <c r="BS18" s="9"/>
      <c r="BT18" s="9"/>
      <c r="BU18" s="9"/>
      <c r="BV18" s="9"/>
      <c r="BW18" s="9"/>
    </row>
    <row r="19" spans="1:75" ht="26.25" hidden="1" outlineLevel="2" x14ac:dyDescent="0.25">
      <c r="A19" s="43" t="s">
        <v>71</v>
      </c>
      <c r="B19" s="44" t="s">
        <v>72</v>
      </c>
      <c r="C19" s="45">
        <v>2018</v>
      </c>
      <c r="D19" s="46" t="s">
        <v>73</v>
      </c>
      <c r="E19" s="47">
        <v>0</v>
      </c>
      <c r="F19" s="47">
        <v>0</v>
      </c>
      <c r="G19" s="47">
        <v>0</v>
      </c>
      <c r="H19" s="47">
        <v>0</v>
      </c>
      <c r="I19" s="47">
        <v>0</v>
      </c>
      <c r="J19" s="47">
        <v>0</v>
      </c>
      <c r="K19" s="47">
        <v>0</v>
      </c>
      <c r="L19" s="47">
        <v>1345302.11</v>
      </c>
      <c r="M19" s="47">
        <v>1345302.11</v>
      </c>
      <c r="N19" s="47">
        <v>0</v>
      </c>
      <c r="O19" s="47">
        <v>0</v>
      </c>
      <c r="P19" s="47">
        <v>0</v>
      </c>
      <c r="Q19" s="47">
        <v>0</v>
      </c>
      <c r="R19" s="47">
        <v>0</v>
      </c>
      <c r="S19" s="47">
        <v>0</v>
      </c>
      <c r="T19" s="47">
        <v>0</v>
      </c>
      <c r="U19" s="47">
        <v>0</v>
      </c>
      <c r="V19" s="47">
        <v>0</v>
      </c>
      <c r="W19" s="47">
        <v>0</v>
      </c>
      <c r="X19" s="47">
        <v>0</v>
      </c>
      <c r="Y19" s="48">
        <v>1345302.11</v>
      </c>
      <c r="Z19" s="49">
        <v>0</v>
      </c>
      <c r="AA19" s="50">
        <v>0</v>
      </c>
      <c r="AB19" s="50">
        <v>0</v>
      </c>
      <c r="AC19" s="50">
        <v>3068.84</v>
      </c>
      <c r="AD19" s="50">
        <v>11116.25</v>
      </c>
      <c r="AE19" s="50">
        <v>0</v>
      </c>
      <c r="AF19" s="50">
        <v>0</v>
      </c>
      <c r="AG19" s="49">
        <v>14185.09</v>
      </c>
      <c r="AH19" s="51" t="s">
        <v>74</v>
      </c>
      <c r="AI19" s="51" t="s">
        <v>74</v>
      </c>
      <c r="AJ19" s="51" t="s">
        <v>96</v>
      </c>
      <c r="AK19" s="51" t="s">
        <v>97</v>
      </c>
      <c r="AL19" s="51" t="s">
        <v>74</v>
      </c>
      <c r="AM19" s="51" t="s">
        <v>74</v>
      </c>
      <c r="AN19" s="52">
        <v>0</v>
      </c>
      <c r="AO19" s="52">
        <v>0</v>
      </c>
      <c r="AP19" s="52">
        <v>0</v>
      </c>
      <c r="AQ19" s="52">
        <v>0</v>
      </c>
      <c r="AR19" s="52">
        <v>0</v>
      </c>
      <c r="AS19" s="52">
        <v>0</v>
      </c>
      <c r="AT19" s="53" t="s">
        <v>74</v>
      </c>
      <c r="AU19" s="52">
        <v>0</v>
      </c>
      <c r="AV19" s="52"/>
      <c r="AW19" s="52">
        <v>0</v>
      </c>
      <c r="AX19" s="52"/>
      <c r="AY19" s="52"/>
      <c r="AZ19" s="52">
        <v>0</v>
      </c>
      <c r="BA19" s="52">
        <v>0</v>
      </c>
      <c r="BB19" s="54" t="s">
        <v>74</v>
      </c>
      <c r="BC19" s="53" t="s">
        <v>74</v>
      </c>
      <c r="BD19" s="55" t="s">
        <v>74</v>
      </c>
      <c r="BE19" s="55" t="s">
        <v>74</v>
      </c>
      <c r="BF19" s="55" t="s">
        <v>74</v>
      </c>
      <c r="BG19" s="55" t="s">
        <v>74</v>
      </c>
      <c r="BH19" s="52">
        <v>0</v>
      </c>
      <c r="BI19" s="52">
        <v>1331117.02</v>
      </c>
      <c r="BJ19" s="52">
        <v>1331117.02</v>
      </c>
      <c r="BK19" s="56">
        <v>43101</v>
      </c>
      <c r="BL19" s="57">
        <v>1331117.02</v>
      </c>
      <c r="BM19" s="47">
        <v>0</v>
      </c>
      <c r="BN19" s="9"/>
      <c r="BO19" s="9"/>
      <c r="BP19" s="9"/>
      <c r="BQ19" s="9"/>
      <c r="BR19" s="9"/>
      <c r="BS19" s="9"/>
      <c r="BT19" s="9"/>
      <c r="BU19" s="9"/>
      <c r="BV19" s="9"/>
      <c r="BW19" s="9"/>
    </row>
    <row r="20" spans="1:75" ht="64.5" hidden="1" outlineLevel="2" x14ac:dyDescent="0.25">
      <c r="A20" s="43" t="s">
        <v>71</v>
      </c>
      <c r="B20" s="44" t="s">
        <v>72</v>
      </c>
      <c r="C20" s="45">
        <v>2018</v>
      </c>
      <c r="D20" s="46" t="s">
        <v>75</v>
      </c>
      <c r="E20" s="47">
        <v>0</v>
      </c>
      <c r="F20" s="47">
        <v>0</v>
      </c>
      <c r="G20" s="47">
        <v>0</v>
      </c>
      <c r="H20" s="47">
        <v>0</v>
      </c>
      <c r="I20" s="47">
        <v>0</v>
      </c>
      <c r="J20" s="47">
        <v>0</v>
      </c>
      <c r="K20" s="47">
        <v>0</v>
      </c>
      <c r="L20" s="47">
        <v>1345302.11</v>
      </c>
      <c r="M20" s="47">
        <v>1345302.11</v>
      </c>
      <c r="N20" s="47">
        <v>0</v>
      </c>
      <c r="O20" s="47">
        <v>0</v>
      </c>
      <c r="P20" s="47">
        <v>0</v>
      </c>
      <c r="Q20" s="47">
        <v>0</v>
      </c>
      <c r="R20" s="47">
        <v>0</v>
      </c>
      <c r="S20" s="47">
        <v>0</v>
      </c>
      <c r="T20" s="47">
        <v>0</v>
      </c>
      <c r="U20" s="47">
        <v>0</v>
      </c>
      <c r="V20" s="47">
        <v>0</v>
      </c>
      <c r="W20" s="47">
        <v>0</v>
      </c>
      <c r="X20" s="47">
        <v>0</v>
      </c>
      <c r="Y20" s="48">
        <v>1345302.11</v>
      </c>
      <c r="Z20" s="49">
        <v>0</v>
      </c>
      <c r="AA20" s="50">
        <v>0</v>
      </c>
      <c r="AB20" s="50">
        <v>0</v>
      </c>
      <c r="AC20" s="50">
        <v>3686.43</v>
      </c>
      <c r="AD20" s="50">
        <v>11837.25</v>
      </c>
      <c r="AE20" s="50">
        <v>0</v>
      </c>
      <c r="AF20" s="50">
        <v>349217.96</v>
      </c>
      <c r="AG20" s="49">
        <v>364741.64</v>
      </c>
      <c r="AH20" s="51" t="s">
        <v>74</v>
      </c>
      <c r="AI20" s="51" t="s">
        <v>74</v>
      </c>
      <c r="AJ20" s="51" t="s">
        <v>98</v>
      </c>
      <c r="AK20" s="51" t="s">
        <v>99</v>
      </c>
      <c r="AL20" s="51" t="s">
        <v>74</v>
      </c>
      <c r="AM20" s="51" t="s">
        <v>100</v>
      </c>
      <c r="AN20" s="52">
        <v>0</v>
      </c>
      <c r="AO20" s="52">
        <v>0</v>
      </c>
      <c r="AP20" s="52">
        <v>0</v>
      </c>
      <c r="AQ20" s="52">
        <v>0</v>
      </c>
      <c r="AR20" s="52">
        <v>0</v>
      </c>
      <c r="AS20" s="52">
        <v>0</v>
      </c>
      <c r="AT20" s="53" t="s">
        <v>74</v>
      </c>
      <c r="AU20" s="52">
        <v>0</v>
      </c>
      <c r="AV20" s="52"/>
      <c r="AW20" s="52">
        <v>0</v>
      </c>
      <c r="AX20" s="52"/>
      <c r="AY20" s="52"/>
      <c r="AZ20" s="52">
        <v>0</v>
      </c>
      <c r="BA20" s="52">
        <v>0</v>
      </c>
      <c r="BB20" s="54" t="s">
        <v>74</v>
      </c>
      <c r="BC20" s="53" t="s">
        <v>74</v>
      </c>
      <c r="BD20" s="55" t="s">
        <v>74</v>
      </c>
      <c r="BE20" s="55" t="s">
        <v>74</v>
      </c>
      <c r="BF20" s="55" t="s">
        <v>74</v>
      </c>
      <c r="BG20" s="55" t="s">
        <v>74</v>
      </c>
      <c r="BH20" s="52">
        <v>0</v>
      </c>
      <c r="BI20" s="52">
        <v>980560.47</v>
      </c>
      <c r="BJ20" s="52">
        <v>980560.47</v>
      </c>
      <c r="BK20" s="56">
        <v>43132</v>
      </c>
      <c r="BL20" s="57">
        <v>980560.47400000005</v>
      </c>
      <c r="BM20" s="47">
        <v>0</v>
      </c>
      <c r="BN20" s="9"/>
      <c r="BO20" s="9"/>
      <c r="BP20" s="9"/>
      <c r="BQ20" s="9"/>
      <c r="BR20" s="9"/>
      <c r="BS20" s="9"/>
      <c r="BT20" s="9"/>
      <c r="BU20" s="9"/>
      <c r="BV20" s="9"/>
      <c r="BW20" s="9"/>
    </row>
    <row r="21" spans="1:75" ht="64.5" hidden="1" outlineLevel="2" x14ac:dyDescent="0.25">
      <c r="A21" s="43" t="s">
        <v>71</v>
      </c>
      <c r="B21" s="44" t="s">
        <v>72</v>
      </c>
      <c r="C21" s="45">
        <v>2018</v>
      </c>
      <c r="D21" s="46" t="s">
        <v>77</v>
      </c>
      <c r="E21" s="47">
        <v>0</v>
      </c>
      <c r="F21" s="47">
        <v>0</v>
      </c>
      <c r="G21" s="47">
        <v>0</v>
      </c>
      <c r="H21" s="47">
        <v>0</v>
      </c>
      <c r="I21" s="47">
        <v>0</v>
      </c>
      <c r="J21" s="47">
        <v>0</v>
      </c>
      <c r="K21" s="47">
        <v>0</v>
      </c>
      <c r="L21" s="47">
        <v>1210771.8999999999</v>
      </c>
      <c r="M21" s="47">
        <v>1210771.8999999999</v>
      </c>
      <c r="N21" s="47">
        <v>226029.04</v>
      </c>
      <c r="O21" s="47">
        <v>0</v>
      </c>
      <c r="P21" s="47">
        <v>0</v>
      </c>
      <c r="Q21" s="47">
        <v>0</v>
      </c>
      <c r="R21" s="47">
        <v>0</v>
      </c>
      <c r="S21" s="47">
        <v>0</v>
      </c>
      <c r="T21" s="47">
        <v>0</v>
      </c>
      <c r="U21" s="47">
        <v>0</v>
      </c>
      <c r="V21" s="47">
        <v>0</v>
      </c>
      <c r="W21" s="47">
        <v>0</v>
      </c>
      <c r="X21" s="47">
        <v>0</v>
      </c>
      <c r="Y21" s="48">
        <v>1436800.94</v>
      </c>
      <c r="Z21" s="49">
        <v>0</v>
      </c>
      <c r="AA21" s="50">
        <v>0</v>
      </c>
      <c r="AB21" s="50">
        <v>0</v>
      </c>
      <c r="AC21" s="50">
        <v>3505.16</v>
      </c>
      <c r="AD21" s="50">
        <v>12221.28</v>
      </c>
      <c r="AE21" s="50">
        <v>0</v>
      </c>
      <c r="AF21" s="50">
        <v>1421074.5</v>
      </c>
      <c r="AG21" s="49">
        <v>1436800.94</v>
      </c>
      <c r="AH21" s="51" t="s">
        <v>74</v>
      </c>
      <c r="AI21" s="51" t="s">
        <v>74</v>
      </c>
      <c r="AJ21" s="51" t="s">
        <v>101</v>
      </c>
      <c r="AK21" s="51" t="s">
        <v>102</v>
      </c>
      <c r="AL21" s="51" t="s">
        <v>74</v>
      </c>
      <c r="AM21" s="51" t="s">
        <v>103</v>
      </c>
      <c r="AN21" s="52">
        <v>0</v>
      </c>
      <c r="AO21" s="52">
        <v>0</v>
      </c>
      <c r="AP21" s="52">
        <v>0</v>
      </c>
      <c r="AQ21" s="52">
        <v>0</v>
      </c>
      <c r="AR21" s="52">
        <v>0</v>
      </c>
      <c r="AS21" s="52">
        <v>0</v>
      </c>
      <c r="AT21" s="53" t="s">
        <v>74</v>
      </c>
      <c r="AU21" s="52">
        <v>0</v>
      </c>
      <c r="AV21" s="52"/>
      <c r="AW21" s="52">
        <v>0</v>
      </c>
      <c r="AX21" s="52"/>
      <c r="AY21" s="52"/>
      <c r="AZ21" s="52">
        <v>0</v>
      </c>
      <c r="BA21" s="52">
        <v>0</v>
      </c>
      <c r="BB21" s="54" t="s">
        <v>74</v>
      </c>
      <c r="BC21" s="53" t="s">
        <v>74</v>
      </c>
      <c r="BD21" s="55" t="s">
        <v>74</v>
      </c>
      <c r="BE21" s="55" t="s">
        <v>74</v>
      </c>
      <c r="BF21" s="55" t="s">
        <v>74</v>
      </c>
      <c r="BG21" s="55" t="s">
        <v>74</v>
      </c>
      <c r="BH21" s="52">
        <v>0</v>
      </c>
      <c r="BI21" s="52">
        <v>2.3283064365386999E-10</v>
      </c>
      <c r="BJ21" s="52">
        <v>2.3283064365386999E-10</v>
      </c>
      <c r="BK21" s="56">
        <v>43160</v>
      </c>
      <c r="BL21" s="57"/>
      <c r="BM21" s="47">
        <v>0</v>
      </c>
      <c r="BN21" s="9"/>
      <c r="BO21" s="9"/>
      <c r="BP21" s="9"/>
      <c r="BQ21" s="9"/>
      <c r="BR21" s="9"/>
      <c r="BS21" s="9"/>
      <c r="BT21" s="9"/>
      <c r="BU21" s="9"/>
      <c r="BV21" s="9"/>
      <c r="BW21" s="9"/>
    </row>
    <row r="22" spans="1:75" ht="64.5" hidden="1" outlineLevel="2" x14ac:dyDescent="0.25">
      <c r="A22" s="43" t="s">
        <v>71</v>
      </c>
      <c r="B22" s="44" t="s">
        <v>72</v>
      </c>
      <c r="C22" s="45">
        <v>2018</v>
      </c>
      <c r="D22" s="46" t="s">
        <v>79</v>
      </c>
      <c r="E22" s="47">
        <v>0</v>
      </c>
      <c r="F22" s="47">
        <v>0</v>
      </c>
      <c r="G22" s="47">
        <v>0</v>
      </c>
      <c r="H22" s="47">
        <v>0</v>
      </c>
      <c r="I22" s="47">
        <v>0</v>
      </c>
      <c r="J22" s="47">
        <v>0</v>
      </c>
      <c r="K22" s="47">
        <v>0</v>
      </c>
      <c r="L22" s="47">
        <v>0</v>
      </c>
      <c r="M22" s="47">
        <v>0</v>
      </c>
      <c r="N22" s="47">
        <v>2260290.36</v>
      </c>
      <c r="O22" s="47">
        <v>0</v>
      </c>
      <c r="P22" s="47">
        <v>0</v>
      </c>
      <c r="Q22" s="47">
        <v>0</v>
      </c>
      <c r="R22" s="47">
        <v>0</v>
      </c>
      <c r="S22" s="47">
        <v>0</v>
      </c>
      <c r="T22" s="47">
        <v>0</v>
      </c>
      <c r="U22" s="47">
        <v>0</v>
      </c>
      <c r="V22" s="47">
        <v>0</v>
      </c>
      <c r="W22" s="47">
        <v>0</v>
      </c>
      <c r="X22" s="47">
        <v>0</v>
      </c>
      <c r="Y22" s="48">
        <v>2260290.36</v>
      </c>
      <c r="Z22" s="58">
        <v>890909.3</v>
      </c>
      <c r="AA22" s="50">
        <v>890909.3</v>
      </c>
      <c r="AB22" s="50">
        <v>0</v>
      </c>
      <c r="AC22" s="50">
        <v>4022.17</v>
      </c>
      <c r="AD22" s="50">
        <v>12225.77</v>
      </c>
      <c r="AE22" s="50">
        <v>0</v>
      </c>
      <c r="AF22" s="50">
        <v>1353133.12</v>
      </c>
      <c r="AG22" s="49">
        <v>2260290.36</v>
      </c>
      <c r="AH22" s="51" t="s">
        <v>104</v>
      </c>
      <c r="AI22" s="51" t="s">
        <v>74</v>
      </c>
      <c r="AJ22" s="51" t="s">
        <v>105</v>
      </c>
      <c r="AK22" s="51" t="s">
        <v>106</v>
      </c>
      <c r="AL22" s="51" t="s">
        <v>74</v>
      </c>
      <c r="AM22" s="51" t="s">
        <v>107</v>
      </c>
      <c r="AN22" s="52">
        <v>0</v>
      </c>
      <c r="AO22" s="52">
        <v>0</v>
      </c>
      <c r="AP22" s="52">
        <v>0</v>
      </c>
      <c r="AQ22" s="52">
        <v>0</v>
      </c>
      <c r="AR22" s="52">
        <v>0</v>
      </c>
      <c r="AS22" s="52">
        <v>0</v>
      </c>
      <c r="AT22" s="53" t="s">
        <v>74</v>
      </c>
      <c r="AU22" s="52">
        <v>0</v>
      </c>
      <c r="AV22" s="52"/>
      <c r="AW22" s="52">
        <v>0</v>
      </c>
      <c r="AX22" s="52"/>
      <c r="AY22" s="52"/>
      <c r="AZ22" s="52">
        <v>0</v>
      </c>
      <c r="BA22" s="52">
        <v>0</v>
      </c>
      <c r="BB22" s="54" t="s">
        <v>74</v>
      </c>
      <c r="BC22" s="53" t="s">
        <v>74</v>
      </c>
      <c r="BD22" s="55" t="s">
        <v>74</v>
      </c>
      <c r="BE22" s="55" t="s">
        <v>74</v>
      </c>
      <c r="BF22" s="55" t="s">
        <v>74</v>
      </c>
      <c r="BG22" s="55" t="s">
        <v>74</v>
      </c>
      <c r="BH22" s="52">
        <v>0</v>
      </c>
      <c r="BI22" s="52">
        <v>0</v>
      </c>
      <c r="BJ22" s="52">
        <v>0</v>
      </c>
      <c r="BK22" s="56">
        <v>43191</v>
      </c>
      <c r="BL22" s="57"/>
      <c r="BM22" s="47">
        <v>0</v>
      </c>
      <c r="BN22" s="9"/>
      <c r="BO22" s="9"/>
      <c r="BP22" s="9"/>
      <c r="BQ22" s="9"/>
      <c r="BR22" s="9"/>
      <c r="BS22" s="9"/>
      <c r="BT22" s="9"/>
      <c r="BU22" s="9"/>
      <c r="BV22" s="9"/>
      <c r="BW22" s="9"/>
    </row>
    <row r="23" spans="1:75" ht="64.5" hidden="1" outlineLevel="2" x14ac:dyDescent="0.25">
      <c r="A23" s="43" t="s">
        <v>71</v>
      </c>
      <c r="B23" s="44" t="s">
        <v>72</v>
      </c>
      <c r="C23" s="45">
        <v>2018</v>
      </c>
      <c r="D23" s="46" t="s">
        <v>81</v>
      </c>
      <c r="E23" s="47">
        <v>0</v>
      </c>
      <c r="F23" s="47">
        <v>0</v>
      </c>
      <c r="G23" s="47">
        <v>0</v>
      </c>
      <c r="H23" s="47">
        <v>0</v>
      </c>
      <c r="I23" s="47">
        <v>0</v>
      </c>
      <c r="J23" s="47">
        <v>0</v>
      </c>
      <c r="K23" s="47">
        <v>0</v>
      </c>
      <c r="L23" s="47">
        <v>0</v>
      </c>
      <c r="M23" s="47">
        <v>0</v>
      </c>
      <c r="N23" s="47">
        <v>2260290.36</v>
      </c>
      <c r="O23" s="47">
        <v>0</v>
      </c>
      <c r="P23" s="47">
        <v>0</v>
      </c>
      <c r="Q23" s="47">
        <v>0</v>
      </c>
      <c r="R23" s="47">
        <v>0</v>
      </c>
      <c r="S23" s="47">
        <v>0</v>
      </c>
      <c r="T23" s="47">
        <v>0</v>
      </c>
      <c r="U23" s="47">
        <v>0</v>
      </c>
      <c r="V23" s="47">
        <v>0</v>
      </c>
      <c r="W23" s="47">
        <v>0</v>
      </c>
      <c r="X23" s="47">
        <v>0</v>
      </c>
      <c r="Y23" s="48">
        <v>2260290.36</v>
      </c>
      <c r="Z23" s="58">
        <v>910099.34</v>
      </c>
      <c r="AA23" s="50">
        <v>910099.34</v>
      </c>
      <c r="AB23" s="50">
        <v>0</v>
      </c>
      <c r="AC23" s="50">
        <v>4007.41</v>
      </c>
      <c r="AD23" s="50">
        <v>12299.67</v>
      </c>
      <c r="AE23" s="50">
        <v>0</v>
      </c>
      <c r="AF23" s="50">
        <v>1333883.94</v>
      </c>
      <c r="AG23" s="49">
        <v>2260290.36</v>
      </c>
      <c r="AH23" s="51" t="s">
        <v>104</v>
      </c>
      <c r="AI23" s="51" t="s">
        <v>74</v>
      </c>
      <c r="AJ23" s="51" t="s">
        <v>108</v>
      </c>
      <c r="AK23" s="51" t="s">
        <v>109</v>
      </c>
      <c r="AL23" s="51" t="s">
        <v>74</v>
      </c>
      <c r="AM23" s="51" t="s">
        <v>110</v>
      </c>
      <c r="AN23" s="52">
        <v>0</v>
      </c>
      <c r="AO23" s="52">
        <v>0</v>
      </c>
      <c r="AP23" s="52">
        <v>0</v>
      </c>
      <c r="AQ23" s="52">
        <v>0</v>
      </c>
      <c r="AR23" s="52">
        <v>0</v>
      </c>
      <c r="AS23" s="52">
        <v>0</v>
      </c>
      <c r="AT23" s="53" t="s">
        <v>74</v>
      </c>
      <c r="AU23" s="52">
        <v>0</v>
      </c>
      <c r="AV23" s="52"/>
      <c r="AW23" s="52">
        <v>0</v>
      </c>
      <c r="AX23" s="52"/>
      <c r="AY23" s="52"/>
      <c r="AZ23" s="52">
        <v>0</v>
      </c>
      <c r="BA23" s="52">
        <v>0</v>
      </c>
      <c r="BB23" s="54" t="s">
        <v>74</v>
      </c>
      <c r="BC23" s="53" t="s">
        <v>74</v>
      </c>
      <c r="BD23" s="55" t="s">
        <v>74</v>
      </c>
      <c r="BE23" s="55" t="s">
        <v>74</v>
      </c>
      <c r="BF23" s="55" t="s">
        <v>74</v>
      </c>
      <c r="BG23" s="55" t="s">
        <v>74</v>
      </c>
      <c r="BH23" s="52">
        <v>0</v>
      </c>
      <c r="BI23" s="52">
        <v>4.65661287307739E-10</v>
      </c>
      <c r="BJ23" s="52">
        <v>4.65661287307739E-10</v>
      </c>
      <c r="BK23" s="56">
        <v>43221</v>
      </c>
      <c r="BL23" s="57"/>
      <c r="BM23" s="47">
        <v>0</v>
      </c>
      <c r="BN23" s="9"/>
      <c r="BO23" s="9"/>
      <c r="BP23" s="9"/>
      <c r="BQ23" s="9"/>
      <c r="BR23" s="9"/>
      <c r="BS23" s="9"/>
      <c r="BT23" s="9"/>
      <c r="BU23" s="9"/>
      <c r="BV23" s="9"/>
      <c r="BW23" s="9"/>
    </row>
    <row r="24" spans="1:75" ht="64.5" hidden="1" outlineLevel="2" x14ac:dyDescent="0.25">
      <c r="A24" s="43" t="s">
        <v>71</v>
      </c>
      <c r="B24" s="44" t="s">
        <v>72</v>
      </c>
      <c r="C24" s="45">
        <v>2018</v>
      </c>
      <c r="D24" s="46" t="s">
        <v>83</v>
      </c>
      <c r="E24" s="47">
        <v>0</v>
      </c>
      <c r="F24" s="47">
        <v>0</v>
      </c>
      <c r="G24" s="47">
        <v>0</v>
      </c>
      <c r="H24" s="47">
        <v>0</v>
      </c>
      <c r="I24" s="47">
        <v>0</v>
      </c>
      <c r="J24" s="47">
        <v>0</v>
      </c>
      <c r="K24" s="47">
        <v>0</v>
      </c>
      <c r="L24" s="47">
        <v>0</v>
      </c>
      <c r="M24" s="47">
        <v>0</v>
      </c>
      <c r="N24" s="47">
        <v>2260290.36</v>
      </c>
      <c r="O24" s="47">
        <v>0</v>
      </c>
      <c r="P24" s="47">
        <v>0</v>
      </c>
      <c r="Q24" s="47">
        <v>0</v>
      </c>
      <c r="R24" s="47">
        <v>0</v>
      </c>
      <c r="S24" s="47">
        <v>0</v>
      </c>
      <c r="T24" s="47">
        <v>0</v>
      </c>
      <c r="U24" s="47">
        <v>0</v>
      </c>
      <c r="V24" s="47">
        <v>0</v>
      </c>
      <c r="W24" s="47">
        <v>0</v>
      </c>
      <c r="X24" s="47">
        <v>0</v>
      </c>
      <c r="Y24" s="48">
        <v>2260290.36</v>
      </c>
      <c r="Z24" s="58">
        <v>856812.66</v>
      </c>
      <c r="AA24" s="50">
        <v>856812.66</v>
      </c>
      <c r="AB24" s="50">
        <v>0</v>
      </c>
      <c r="AC24" s="50">
        <v>4391.3100000000004</v>
      </c>
      <c r="AD24" s="50">
        <v>11001.77</v>
      </c>
      <c r="AE24" s="50">
        <v>0</v>
      </c>
      <c r="AF24" s="50">
        <v>1388084.62</v>
      </c>
      <c r="AG24" s="49">
        <v>2260290.36</v>
      </c>
      <c r="AH24" s="51" t="s">
        <v>104</v>
      </c>
      <c r="AI24" s="51" t="s">
        <v>74</v>
      </c>
      <c r="AJ24" s="51" t="s">
        <v>111</v>
      </c>
      <c r="AK24" s="51" t="s">
        <v>112</v>
      </c>
      <c r="AL24" s="51" t="s">
        <v>74</v>
      </c>
      <c r="AM24" s="51" t="s">
        <v>113</v>
      </c>
      <c r="AN24" s="52">
        <v>0</v>
      </c>
      <c r="AO24" s="52">
        <v>0</v>
      </c>
      <c r="AP24" s="52">
        <v>0</v>
      </c>
      <c r="AQ24" s="52">
        <v>0</v>
      </c>
      <c r="AR24" s="52">
        <v>0</v>
      </c>
      <c r="AS24" s="52">
        <v>0</v>
      </c>
      <c r="AT24" s="53" t="s">
        <v>74</v>
      </c>
      <c r="AU24" s="52">
        <v>0</v>
      </c>
      <c r="AV24" s="52"/>
      <c r="AW24" s="52">
        <v>0</v>
      </c>
      <c r="AX24" s="52"/>
      <c r="AY24" s="52"/>
      <c r="AZ24" s="52">
        <v>0</v>
      </c>
      <c r="BA24" s="52">
        <v>0</v>
      </c>
      <c r="BB24" s="54" t="s">
        <v>74</v>
      </c>
      <c r="BC24" s="53" t="s">
        <v>74</v>
      </c>
      <c r="BD24" s="55" t="s">
        <v>74</v>
      </c>
      <c r="BE24" s="55" t="s">
        <v>74</v>
      </c>
      <c r="BF24" s="55" t="s">
        <v>74</v>
      </c>
      <c r="BG24" s="55" t="s">
        <v>74</v>
      </c>
      <c r="BH24" s="52">
        <v>0</v>
      </c>
      <c r="BI24" s="52">
        <v>0</v>
      </c>
      <c r="BJ24" s="52">
        <v>0</v>
      </c>
      <c r="BK24" s="56">
        <v>43252</v>
      </c>
      <c r="BL24" s="57"/>
      <c r="BM24" s="47">
        <v>0</v>
      </c>
      <c r="BN24" s="9"/>
      <c r="BO24" s="9"/>
      <c r="BP24" s="9"/>
      <c r="BQ24" s="9"/>
      <c r="BR24" s="9"/>
      <c r="BS24" s="9"/>
      <c r="BT24" s="9"/>
      <c r="BU24" s="9"/>
      <c r="BV24" s="9"/>
      <c r="BW24" s="9"/>
    </row>
    <row r="25" spans="1:75" ht="64.5" hidden="1" outlineLevel="2" x14ac:dyDescent="0.25">
      <c r="A25" s="43" t="s">
        <v>71</v>
      </c>
      <c r="B25" s="44" t="s">
        <v>72</v>
      </c>
      <c r="C25" s="45">
        <v>2018</v>
      </c>
      <c r="D25" s="46" t="s">
        <v>84</v>
      </c>
      <c r="E25" s="47">
        <v>0</v>
      </c>
      <c r="F25" s="47">
        <v>0</v>
      </c>
      <c r="G25" s="47">
        <v>0</v>
      </c>
      <c r="H25" s="47">
        <v>0</v>
      </c>
      <c r="I25" s="47">
        <v>0</v>
      </c>
      <c r="J25" s="47">
        <v>0</v>
      </c>
      <c r="K25" s="47">
        <v>0</v>
      </c>
      <c r="L25" s="47">
        <v>0</v>
      </c>
      <c r="M25" s="47">
        <v>0</v>
      </c>
      <c r="N25" s="47">
        <v>2260290.36</v>
      </c>
      <c r="O25" s="47">
        <v>0</v>
      </c>
      <c r="P25" s="47">
        <v>0</v>
      </c>
      <c r="Q25" s="47">
        <v>0</v>
      </c>
      <c r="R25" s="47">
        <v>0</v>
      </c>
      <c r="S25" s="47">
        <v>0</v>
      </c>
      <c r="T25" s="47">
        <v>0</v>
      </c>
      <c r="U25" s="47">
        <v>0</v>
      </c>
      <c r="V25" s="47">
        <v>0</v>
      </c>
      <c r="W25" s="47">
        <v>0</v>
      </c>
      <c r="X25" s="47">
        <v>0</v>
      </c>
      <c r="Y25" s="48">
        <v>2260290.36</v>
      </c>
      <c r="Z25" s="58">
        <v>894711.01</v>
      </c>
      <c r="AA25" s="50">
        <v>894711.01</v>
      </c>
      <c r="AB25" s="50">
        <v>0</v>
      </c>
      <c r="AC25" s="50">
        <v>4264.32</v>
      </c>
      <c r="AD25" s="50">
        <v>11694.4</v>
      </c>
      <c r="AE25" s="50">
        <v>0</v>
      </c>
      <c r="AF25" s="50">
        <v>1349620.63</v>
      </c>
      <c r="AG25" s="49">
        <v>2260290.36</v>
      </c>
      <c r="AH25" s="51" t="s">
        <v>104</v>
      </c>
      <c r="AI25" s="51" t="s">
        <v>74</v>
      </c>
      <c r="AJ25" s="51" t="s">
        <v>114</v>
      </c>
      <c r="AK25" s="51" t="s">
        <v>115</v>
      </c>
      <c r="AL25" s="51" t="s">
        <v>74</v>
      </c>
      <c r="AM25" s="51" t="s">
        <v>116</v>
      </c>
      <c r="AN25" s="52">
        <v>0</v>
      </c>
      <c r="AO25" s="52">
        <v>0</v>
      </c>
      <c r="AP25" s="52">
        <v>0</v>
      </c>
      <c r="AQ25" s="52">
        <v>0</v>
      </c>
      <c r="AR25" s="52">
        <v>0</v>
      </c>
      <c r="AS25" s="52">
        <v>0</v>
      </c>
      <c r="AT25" s="53" t="s">
        <v>74</v>
      </c>
      <c r="AU25" s="52">
        <v>0</v>
      </c>
      <c r="AV25" s="52"/>
      <c r="AW25" s="52">
        <v>0</v>
      </c>
      <c r="AX25" s="52"/>
      <c r="AY25" s="52"/>
      <c r="AZ25" s="52">
        <v>0</v>
      </c>
      <c r="BA25" s="52">
        <v>0</v>
      </c>
      <c r="BB25" s="54" t="s">
        <v>74</v>
      </c>
      <c r="BC25" s="53" t="s">
        <v>74</v>
      </c>
      <c r="BD25" s="55" t="s">
        <v>74</v>
      </c>
      <c r="BE25" s="55" t="s">
        <v>74</v>
      </c>
      <c r="BF25" s="55" t="s">
        <v>74</v>
      </c>
      <c r="BG25" s="55" t="s">
        <v>74</v>
      </c>
      <c r="BH25" s="52">
        <v>0</v>
      </c>
      <c r="BI25" s="52">
        <v>4.65661287307739E-10</v>
      </c>
      <c r="BJ25" s="52">
        <v>4.65661287307739E-10</v>
      </c>
      <c r="BK25" s="56">
        <v>43282</v>
      </c>
      <c r="BL25" s="57"/>
      <c r="BM25" s="47">
        <v>0</v>
      </c>
      <c r="BN25" s="9"/>
      <c r="BO25" s="9"/>
      <c r="BP25" s="9"/>
      <c r="BQ25" s="9"/>
      <c r="BR25" s="9"/>
      <c r="BS25" s="9"/>
      <c r="BT25" s="9"/>
      <c r="BU25" s="9"/>
      <c r="BV25" s="9"/>
      <c r="BW25" s="9"/>
    </row>
    <row r="26" spans="1:75" ht="64.5" hidden="1" outlineLevel="2" x14ac:dyDescent="0.25">
      <c r="A26" s="43" t="s">
        <v>71</v>
      </c>
      <c r="B26" s="44" t="s">
        <v>72</v>
      </c>
      <c r="C26" s="45">
        <v>2018</v>
      </c>
      <c r="D26" s="46" t="s">
        <v>86</v>
      </c>
      <c r="E26" s="47">
        <v>0</v>
      </c>
      <c r="F26" s="47">
        <v>0</v>
      </c>
      <c r="G26" s="47">
        <v>0</v>
      </c>
      <c r="H26" s="47">
        <v>0</v>
      </c>
      <c r="I26" s="47">
        <v>0</v>
      </c>
      <c r="J26" s="47">
        <v>0</v>
      </c>
      <c r="K26" s="47">
        <v>0</v>
      </c>
      <c r="L26" s="47">
        <v>0</v>
      </c>
      <c r="M26" s="47">
        <v>0</v>
      </c>
      <c r="N26" s="47">
        <v>2260290.36</v>
      </c>
      <c r="O26" s="47">
        <v>0</v>
      </c>
      <c r="P26" s="47">
        <v>0</v>
      </c>
      <c r="Q26" s="47">
        <v>0</v>
      </c>
      <c r="R26" s="47">
        <v>0</v>
      </c>
      <c r="S26" s="47">
        <v>0</v>
      </c>
      <c r="T26" s="47">
        <v>0</v>
      </c>
      <c r="U26" s="47">
        <v>0</v>
      </c>
      <c r="V26" s="47">
        <v>0</v>
      </c>
      <c r="W26" s="47">
        <v>0</v>
      </c>
      <c r="X26" s="47">
        <v>0</v>
      </c>
      <c r="Y26" s="48">
        <v>2260290.36</v>
      </c>
      <c r="Z26" s="58">
        <v>878591.23</v>
      </c>
      <c r="AA26" s="50">
        <v>878591.23</v>
      </c>
      <c r="AB26" s="50">
        <v>0</v>
      </c>
      <c r="AC26" s="50">
        <v>4460.59</v>
      </c>
      <c r="AD26" s="50">
        <v>10485.379999999999</v>
      </c>
      <c r="AE26" s="50">
        <v>0</v>
      </c>
      <c r="AF26" s="50">
        <v>1366753.16</v>
      </c>
      <c r="AG26" s="49">
        <v>2260290.36</v>
      </c>
      <c r="AH26" s="51" t="s">
        <v>104</v>
      </c>
      <c r="AI26" s="51" t="s">
        <v>74</v>
      </c>
      <c r="AJ26" s="51" t="s">
        <v>117</v>
      </c>
      <c r="AK26" s="51" t="s">
        <v>118</v>
      </c>
      <c r="AL26" s="51" t="s">
        <v>74</v>
      </c>
      <c r="AM26" s="51" t="s">
        <v>119</v>
      </c>
      <c r="AN26" s="52">
        <v>0</v>
      </c>
      <c r="AO26" s="52">
        <v>0</v>
      </c>
      <c r="AP26" s="52">
        <v>0</v>
      </c>
      <c r="AQ26" s="52">
        <v>0</v>
      </c>
      <c r="AR26" s="52">
        <v>0</v>
      </c>
      <c r="AS26" s="52">
        <v>0</v>
      </c>
      <c r="AT26" s="53" t="s">
        <v>74</v>
      </c>
      <c r="AU26" s="52">
        <v>0</v>
      </c>
      <c r="AV26" s="52"/>
      <c r="AW26" s="52">
        <v>0</v>
      </c>
      <c r="AX26" s="52"/>
      <c r="AY26" s="52"/>
      <c r="AZ26" s="52">
        <v>0</v>
      </c>
      <c r="BA26" s="52">
        <v>0</v>
      </c>
      <c r="BB26" s="54" t="s">
        <v>74</v>
      </c>
      <c r="BC26" s="53" t="s">
        <v>74</v>
      </c>
      <c r="BD26" s="55" t="s">
        <v>74</v>
      </c>
      <c r="BE26" s="55" t="s">
        <v>74</v>
      </c>
      <c r="BF26" s="55" t="s">
        <v>74</v>
      </c>
      <c r="BG26" s="55" t="s">
        <v>74</v>
      </c>
      <c r="BH26" s="52">
        <v>0</v>
      </c>
      <c r="BI26" s="52">
        <v>4.65661287307739E-10</v>
      </c>
      <c r="BJ26" s="52">
        <v>4.65661287307739E-10</v>
      </c>
      <c r="BK26" s="56">
        <v>43313</v>
      </c>
      <c r="BL26" s="57"/>
      <c r="BM26" s="47">
        <v>0</v>
      </c>
      <c r="BN26" s="9"/>
      <c r="BO26" s="9"/>
      <c r="BP26" s="9"/>
      <c r="BQ26" s="9"/>
      <c r="BR26" s="9"/>
      <c r="BS26" s="9"/>
      <c r="BT26" s="9"/>
      <c r="BU26" s="9"/>
      <c r="BV26" s="9"/>
      <c r="BW26" s="9"/>
    </row>
    <row r="27" spans="1:75" ht="77.25" hidden="1" outlineLevel="2" x14ac:dyDescent="0.25">
      <c r="A27" s="43" t="s">
        <v>71</v>
      </c>
      <c r="B27" s="44" t="s">
        <v>72</v>
      </c>
      <c r="C27" s="45">
        <v>2018</v>
      </c>
      <c r="D27" s="46" t="s">
        <v>88</v>
      </c>
      <c r="E27" s="47">
        <v>0</v>
      </c>
      <c r="F27" s="47">
        <v>0</v>
      </c>
      <c r="G27" s="47">
        <v>0</v>
      </c>
      <c r="H27" s="47">
        <v>0</v>
      </c>
      <c r="I27" s="47">
        <v>0</v>
      </c>
      <c r="J27" s="47">
        <v>0</v>
      </c>
      <c r="K27" s="47">
        <v>0</v>
      </c>
      <c r="L27" s="47">
        <v>0</v>
      </c>
      <c r="M27" s="47">
        <v>0</v>
      </c>
      <c r="N27" s="47">
        <v>2260290.36</v>
      </c>
      <c r="O27" s="47">
        <v>0</v>
      </c>
      <c r="P27" s="47">
        <v>0</v>
      </c>
      <c r="Q27" s="47">
        <v>0</v>
      </c>
      <c r="R27" s="47">
        <v>0</v>
      </c>
      <c r="S27" s="47">
        <v>0</v>
      </c>
      <c r="T27" s="47">
        <v>0</v>
      </c>
      <c r="U27" s="47">
        <v>0</v>
      </c>
      <c r="V27" s="47">
        <v>0</v>
      </c>
      <c r="W27" s="47">
        <v>0</v>
      </c>
      <c r="X27" s="47">
        <v>0</v>
      </c>
      <c r="Y27" s="48">
        <v>2260290.36</v>
      </c>
      <c r="Z27" s="58">
        <v>865460.38</v>
      </c>
      <c r="AA27" s="50">
        <v>865460.38</v>
      </c>
      <c r="AB27" s="50">
        <v>0</v>
      </c>
      <c r="AC27" s="50">
        <v>4733.7299999999996</v>
      </c>
      <c r="AD27" s="50">
        <v>12472.25</v>
      </c>
      <c r="AE27" s="50">
        <v>0</v>
      </c>
      <c r="AF27" s="50">
        <v>953923.67</v>
      </c>
      <c r="AG27" s="49">
        <v>1836590.03</v>
      </c>
      <c r="AH27" s="51" t="s">
        <v>104</v>
      </c>
      <c r="AI27" s="51" t="s">
        <v>74</v>
      </c>
      <c r="AJ27" s="51" t="s">
        <v>120</v>
      </c>
      <c r="AK27" s="51" t="s">
        <v>121</v>
      </c>
      <c r="AL27" s="51" t="s">
        <v>74</v>
      </c>
      <c r="AM27" s="51" t="s">
        <v>122</v>
      </c>
      <c r="AN27" s="52">
        <v>0</v>
      </c>
      <c r="AO27" s="52">
        <v>0</v>
      </c>
      <c r="AP27" s="52">
        <v>0</v>
      </c>
      <c r="AQ27" s="52">
        <v>0</v>
      </c>
      <c r="AR27" s="52">
        <v>0</v>
      </c>
      <c r="AS27" s="52">
        <v>0</v>
      </c>
      <c r="AT27" s="53" t="s">
        <v>74</v>
      </c>
      <c r="AU27" s="52">
        <v>0</v>
      </c>
      <c r="AV27" s="52"/>
      <c r="AW27" s="52">
        <v>0</v>
      </c>
      <c r="AX27" s="52"/>
      <c r="AY27" s="52"/>
      <c r="AZ27" s="52">
        <v>0</v>
      </c>
      <c r="BA27" s="52">
        <v>0</v>
      </c>
      <c r="BB27" s="54" t="s">
        <v>74</v>
      </c>
      <c r="BC27" s="53" t="s">
        <v>74</v>
      </c>
      <c r="BD27" s="55" t="s">
        <v>74</v>
      </c>
      <c r="BE27" s="55" t="s">
        <v>74</v>
      </c>
      <c r="BF27" s="55" t="s">
        <v>74</v>
      </c>
      <c r="BG27" s="55" t="s">
        <v>74</v>
      </c>
      <c r="BH27" s="52">
        <v>0</v>
      </c>
      <c r="BI27" s="52">
        <v>423700.33</v>
      </c>
      <c r="BJ27" s="52">
        <v>423700.33</v>
      </c>
      <c r="BK27" s="56">
        <v>43344</v>
      </c>
      <c r="BL27" s="57">
        <v>423700.33</v>
      </c>
      <c r="BM27" s="47">
        <v>0</v>
      </c>
      <c r="BN27" s="9"/>
      <c r="BO27" s="9"/>
      <c r="BP27" s="9"/>
      <c r="BQ27" s="9"/>
      <c r="BR27" s="9"/>
      <c r="BS27" s="9"/>
      <c r="BT27" s="9"/>
      <c r="BU27" s="9"/>
      <c r="BV27" s="9"/>
      <c r="BW27" s="9"/>
    </row>
    <row r="28" spans="1:75" ht="26.25" hidden="1" outlineLevel="2" x14ac:dyDescent="0.25">
      <c r="A28" s="43" t="s">
        <v>71</v>
      </c>
      <c r="B28" s="44" t="s">
        <v>72</v>
      </c>
      <c r="C28" s="45">
        <v>2018</v>
      </c>
      <c r="D28" s="46" t="s">
        <v>89</v>
      </c>
      <c r="E28" s="47">
        <v>0</v>
      </c>
      <c r="F28" s="47">
        <v>0</v>
      </c>
      <c r="G28" s="47">
        <v>0</v>
      </c>
      <c r="H28" s="47">
        <v>0</v>
      </c>
      <c r="I28" s="47">
        <v>0</v>
      </c>
      <c r="J28" s="47">
        <v>0</v>
      </c>
      <c r="K28" s="47">
        <v>0</v>
      </c>
      <c r="L28" s="47">
        <v>0</v>
      </c>
      <c r="M28" s="47">
        <v>0</v>
      </c>
      <c r="N28" s="47">
        <v>2260290.36</v>
      </c>
      <c r="O28" s="47">
        <v>0</v>
      </c>
      <c r="P28" s="47">
        <v>0</v>
      </c>
      <c r="Q28" s="47">
        <v>0</v>
      </c>
      <c r="R28" s="47">
        <v>0</v>
      </c>
      <c r="S28" s="47">
        <v>0</v>
      </c>
      <c r="T28" s="47">
        <v>0</v>
      </c>
      <c r="U28" s="47">
        <v>0</v>
      </c>
      <c r="V28" s="47">
        <v>0</v>
      </c>
      <c r="W28" s="47">
        <v>0</v>
      </c>
      <c r="X28" s="47">
        <v>0</v>
      </c>
      <c r="Y28" s="48">
        <v>2260290.36</v>
      </c>
      <c r="Z28" s="58">
        <v>861161.9</v>
      </c>
      <c r="AA28" s="50">
        <v>861161.9</v>
      </c>
      <c r="AB28" s="50">
        <v>0</v>
      </c>
      <c r="AC28" s="50">
        <v>4152.42</v>
      </c>
      <c r="AD28" s="50">
        <v>12764.93</v>
      </c>
      <c r="AE28" s="50">
        <v>0</v>
      </c>
      <c r="AF28" s="50">
        <v>0</v>
      </c>
      <c r="AG28" s="49">
        <v>878079.25</v>
      </c>
      <c r="AH28" s="51" t="s">
        <v>104</v>
      </c>
      <c r="AI28" s="51" t="s">
        <v>74</v>
      </c>
      <c r="AJ28" s="51" t="s">
        <v>123</v>
      </c>
      <c r="AK28" s="51" t="s">
        <v>124</v>
      </c>
      <c r="AL28" s="51" t="s">
        <v>74</v>
      </c>
      <c r="AM28" s="51" t="s">
        <v>74</v>
      </c>
      <c r="AN28" s="52">
        <v>0</v>
      </c>
      <c r="AO28" s="52">
        <v>0</v>
      </c>
      <c r="AP28" s="52">
        <v>0</v>
      </c>
      <c r="AQ28" s="52">
        <v>0</v>
      </c>
      <c r="AR28" s="52">
        <v>0</v>
      </c>
      <c r="AS28" s="52">
        <v>0</v>
      </c>
      <c r="AT28" s="53" t="s">
        <v>74</v>
      </c>
      <c r="AU28" s="52">
        <v>0</v>
      </c>
      <c r="AV28" s="52"/>
      <c r="AW28" s="52">
        <v>0</v>
      </c>
      <c r="AX28" s="52"/>
      <c r="AY28" s="52"/>
      <c r="AZ28" s="52">
        <v>0</v>
      </c>
      <c r="BA28" s="52">
        <v>0</v>
      </c>
      <c r="BB28" s="54" t="s">
        <v>74</v>
      </c>
      <c r="BC28" s="53" t="s">
        <v>74</v>
      </c>
      <c r="BD28" s="55" t="s">
        <v>74</v>
      </c>
      <c r="BE28" s="55" t="s">
        <v>74</v>
      </c>
      <c r="BF28" s="55" t="s">
        <v>74</v>
      </c>
      <c r="BG28" s="55" t="s">
        <v>74</v>
      </c>
      <c r="BH28" s="52">
        <v>0</v>
      </c>
      <c r="BI28" s="52">
        <v>1382211.11</v>
      </c>
      <c r="BJ28" s="52">
        <v>1382211.11</v>
      </c>
      <c r="BK28" s="56">
        <v>43374</v>
      </c>
      <c r="BL28" s="57">
        <v>1382211.11</v>
      </c>
      <c r="BM28" s="47">
        <v>0</v>
      </c>
      <c r="BN28" s="9"/>
      <c r="BO28" s="9"/>
      <c r="BP28" s="9"/>
      <c r="BQ28" s="9"/>
      <c r="BR28" s="9"/>
      <c r="BS28" s="9"/>
      <c r="BT28" s="9"/>
      <c r="BU28" s="9"/>
      <c r="BV28" s="9"/>
      <c r="BW28" s="9"/>
    </row>
    <row r="29" spans="1:75" ht="26.25" hidden="1" outlineLevel="2" x14ac:dyDescent="0.25">
      <c r="A29" s="43" t="s">
        <v>71</v>
      </c>
      <c r="B29" s="44" t="s">
        <v>72</v>
      </c>
      <c r="C29" s="45">
        <v>2018</v>
      </c>
      <c r="D29" s="46" t="s">
        <v>90</v>
      </c>
      <c r="E29" s="47">
        <v>0</v>
      </c>
      <c r="F29" s="47">
        <v>0</v>
      </c>
      <c r="G29" s="47">
        <v>0</v>
      </c>
      <c r="H29" s="47">
        <v>0</v>
      </c>
      <c r="I29" s="47">
        <v>0</v>
      </c>
      <c r="J29" s="47">
        <v>0</v>
      </c>
      <c r="K29" s="47">
        <v>0</v>
      </c>
      <c r="L29" s="47">
        <v>0</v>
      </c>
      <c r="M29" s="47">
        <v>0</v>
      </c>
      <c r="N29" s="47">
        <v>2260290.36</v>
      </c>
      <c r="O29" s="47">
        <v>0</v>
      </c>
      <c r="P29" s="47">
        <v>0</v>
      </c>
      <c r="Q29" s="47">
        <v>0</v>
      </c>
      <c r="R29" s="47">
        <v>0</v>
      </c>
      <c r="S29" s="47">
        <v>0</v>
      </c>
      <c r="T29" s="47">
        <v>0</v>
      </c>
      <c r="U29" s="47">
        <v>0</v>
      </c>
      <c r="V29" s="47">
        <v>0</v>
      </c>
      <c r="W29" s="47">
        <v>0</v>
      </c>
      <c r="X29" s="47">
        <v>0</v>
      </c>
      <c r="Y29" s="48">
        <v>2260290.36</v>
      </c>
      <c r="Z29" s="58">
        <v>884928.52</v>
      </c>
      <c r="AA29" s="50">
        <v>884928.52</v>
      </c>
      <c r="AB29" s="50">
        <v>0</v>
      </c>
      <c r="AC29" s="50">
        <v>4464.63</v>
      </c>
      <c r="AD29" s="50">
        <v>14711.41</v>
      </c>
      <c r="AE29" s="50">
        <v>0</v>
      </c>
      <c r="AF29" s="50">
        <v>0</v>
      </c>
      <c r="AG29" s="49">
        <v>904104.56</v>
      </c>
      <c r="AH29" s="51" t="s">
        <v>104</v>
      </c>
      <c r="AI29" s="51" t="s">
        <v>74</v>
      </c>
      <c r="AJ29" s="51" t="s">
        <v>125</v>
      </c>
      <c r="AK29" s="51" t="s">
        <v>126</v>
      </c>
      <c r="AL29" s="51" t="s">
        <v>74</v>
      </c>
      <c r="AM29" s="51" t="s">
        <v>74</v>
      </c>
      <c r="AN29" s="52">
        <v>0</v>
      </c>
      <c r="AO29" s="52">
        <v>0</v>
      </c>
      <c r="AP29" s="52">
        <v>0</v>
      </c>
      <c r="AQ29" s="52">
        <v>0</v>
      </c>
      <c r="AR29" s="52">
        <v>0</v>
      </c>
      <c r="AS29" s="52">
        <v>0</v>
      </c>
      <c r="AT29" s="53" t="s">
        <v>74</v>
      </c>
      <c r="AU29" s="52">
        <v>0</v>
      </c>
      <c r="AV29" s="52"/>
      <c r="AW29" s="52">
        <v>0</v>
      </c>
      <c r="AX29" s="52"/>
      <c r="AY29" s="52"/>
      <c r="AZ29" s="52">
        <v>0</v>
      </c>
      <c r="BA29" s="52">
        <v>0</v>
      </c>
      <c r="BB29" s="54" t="s">
        <v>74</v>
      </c>
      <c r="BC29" s="53" t="s">
        <v>74</v>
      </c>
      <c r="BD29" s="55" t="s">
        <v>74</v>
      </c>
      <c r="BE29" s="55" t="s">
        <v>74</v>
      </c>
      <c r="BF29" s="55" t="s">
        <v>74</v>
      </c>
      <c r="BG29" s="55" t="s">
        <v>74</v>
      </c>
      <c r="BH29" s="52">
        <v>0</v>
      </c>
      <c r="BI29" s="52">
        <v>1356185.8</v>
      </c>
      <c r="BJ29" s="52">
        <v>1356185.8</v>
      </c>
      <c r="BK29" s="56">
        <v>43405</v>
      </c>
      <c r="BL29" s="57">
        <v>1356185.8</v>
      </c>
      <c r="BM29" s="47">
        <v>0</v>
      </c>
      <c r="BN29" s="9"/>
      <c r="BO29" s="9"/>
      <c r="BP29" s="9"/>
      <c r="BQ29" s="9"/>
      <c r="BR29" s="9"/>
      <c r="BS29" s="9"/>
      <c r="BT29" s="9"/>
      <c r="BU29" s="9"/>
      <c r="BV29" s="9"/>
      <c r="BW29" s="9"/>
    </row>
    <row r="30" spans="1:75" ht="294" hidden="1" outlineLevel="2" x14ac:dyDescent="0.25">
      <c r="A30" s="43" t="s">
        <v>71</v>
      </c>
      <c r="B30" s="44" t="s">
        <v>72</v>
      </c>
      <c r="C30" s="45">
        <v>2018</v>
      </c>
      <c r="D30" s="46" t="s">
        <v>93</v>
      </c>
      <c r="E30" s="47">
        <v>0</v>
      </c>
      <c r="F30" s="47">
        <v>0</v>
      </c>
      <c r="G30" s="47">
        <v>0</v>
      </c>
      <c r="H30" s="47">
        <v>0</v>
      </c>
      <c r="I30" s="47">
        <v>0</v>
      </c>
      <c r="J30" s="47">
        <v>0</v>
      </c>
      <c r="K30" s="47">
        <v>0</v>
      </c>
      <c r="L30" s="47">
        <v>0</v>
      </c>
      <c r="M30" s="47">
        <v>0</v>
      </c>
      <c r="N30" s="47">
        <v>2260290.36</v>
      </c>
      <c r="O30" s="47">
        <v>0</v>
      </c>
      <c r="P30" s="47">
        <v>0</v>
      </c>
      <c r="Q30" s="47">
        <v>0</v>
      </c>
      <c r="R30" s="47">
        <v>0</v>
      </c>
      <c r="S30" s="47">
        <v>0</v>
      </c>
      <c r="T30" s="47">
        <v>0</v>
      </c>
      <c r="U30" s="47">
        <v>0</v>
      </c>
      <c r="V30" s="47">
        <v>0</v>
      </c>
      <c r="W30" s="47">
        <v>0</v>
      </c>
      <c r="X30" s="47">
        <v>0</v>
      </c>
      <c r="Y30" s="48">
        <v>2260290.36</v>
      </c>
      <c r="Z30" s="58">
        <v>882645.15</v>
      </c>
      <c r="AA30" s="50">
        <v>882645.15</v>
      </c>
      <c r="AB30" s="50">
        <v>0</v>
      </c>
      <c r="AC30" s="50">
        <v>4450.26</v>
      </c>
      <c r="AD30" s="50">
        <v>13316.2</v>
      </c>
      <c r="AE30" s="50">
        <v>0</v>
      </c>
      <c r="AF30" s="50">
        <v>0</v>
      </c>
      <c r="AG30" s="49">
        <v>900411.61</v>
      </c>
      <c r="AH30" s="51" t="s">
        <v>104</v>
      </c>
      <c r="AI30" s="51" t="s">
        <v>74</v>
      </c>
      <c r="AJ30" s="51" t="s">
        <v>127</v>
      </c>
      <c r="AK30" s="51" t="s">
        <v>128</v>
      </c>
      <c r="AL30" s="51" t="s">
        <v>74</v>
      </c>
      <c r="AM30" s="51" t="s">
        <v>74</v>
      </c>
      <c r="AN30" s="52">
        <v>169.81</v>
      </c>
      <c r="AO30" s="52">
        <v>0</v>
      </c>
      <c r="AP30" s="52">
        <v>0</v>
      </c>
      <c r="AQ30" s="52">
        <v>0</v>
      </c>
      <c r="AR30" s="52">
        <v>0</v>
      </c>
      <c r="AS30" s="52">
        <v>169.81</v>
      </c>
      <c r="AT30" s="51" t="s">
        <v>129</v>
      </c>
      <c r="AU30" s="52">
        <v>0</v>
      </c>
      <c r="AV30" s="52"/>
      <c r="AW30" s="52">
        <v>0</v>
      </c>
      <c r="AX30" s="52"/>
      <c r="AY30" s="52"/>
      <c r="AZ30" s="52">
        <v>0</v>
      </c>
      <c r="BA30" s="52">
        <v>0</v>
      </c>
      <c r="BB30" s="54" t="s">
        <v>74</v>
      </c>
      <c r="BC30" s="53" t="s">
        <v>74</v>
      </c>
      <c r="BD30" s="55" t="s">
        <v>74</v>
      </c>
      <c r="BE30" s="55" t="s">
        <v>74</v>
      </c>
      <c r="BF30" s="55" t="s">
        <v>74</v>
      </c>
      <c r="BG30" s="55" t="s">
        <v>74</v>
      </c>
      <c r="BH30" s="52">
        <v>169.81</v>
      </c>
      <c r="BI30" s="52">
        <v>1360048.56</v>
      </c>
      <c r="BJ30" s="52">
        <v>1359878.75</v>
      </c>
      <c r="BK30" s="56">
        <v>43435</v>
      </c>
      <c r="BL30" s="57">
        <v>1360048.56</v>
      </c>
      <c r="BM30" s="47">
        <v>0</v>
      </c>
      <c r="BN30" s="9"/>
      <c r="BO30" s="9"/>
      <c r="BP30" s="9"/>
      <c r="BQ30" s="9"/>
      <c r="BR30" s="9"/>
      <c r="BS30" s="9"/>
      <c r="BT30" s="9"/>
      <c r="BU30" s="9"/>
      <c r="BV30" s="9"/>
      <c r="BW30" s="9"/>
    </row>
    <row r="31" spans="1:75" ht="90" hidden="1" outlineLevel="2" x14ac:dyDescent="0.25">
      <c r="A31" s="43" t="s">
        <v>71</v>
      </c>
      <c r="B31" s="44" t="s">
        <v>72</v>
      </c>
      <c r="C31" s="45">
        <v>2019</v>
      </c>
      <c r="D31" s="46" t="s">
        <v>73</v>
      </c>
      <c r="E31" s="47">
        <v>0</v>
      </c>
      <c r="F31" s="47">
        <v>0</v>
      </c>
      <c r="G31" s="47">
        <v>0</v>
      </c>
      <c r="H31" s="47">
        <v>0</v>
      </c>
      <c r="I31" s="47">
        <v>0</v>
      </c>
      <c r="J31" s="47">
        <v>0</v>
      </c>
      <c r="K31" s="47">
        <v>0</v>
      </c>
      <c r="L31" s="47">
        <v>0</v>
      </c>
      <c r="M31" s="47">
        <v>0</v>
      </c>
      <c r="N31" s="47">
        <v>2260290.36</v>
      </c>
      <c r="O31" s="47">
        <v>0</v>
      </c>
      <c r="P31" s="47">
        <v>0</v>
      </c>
      <c r="Q31" s="47">
        <v>0</v>
      </c>
      <c r="R31" s="47">
        <v>0</v>
      </c>
      <c r="S31" s="47">
        <v>0</v>
      </c>
      <c r="T31" s="47">
        <v>0</v>
      </c>
      <c r="U31" s="47">
        <v>0</v>
      </c>
      <c r="V31" s="47">
        <v>0</v>
      </c>
      <c r="W31" s="47">
        <v>0</v>
      </c>
      <c r="X31" s="47">
        <v>0</v>
      </c>
      <c r="Y31" s="48">
        <v>2260290.36</v>
      </c>
      <c r="Z31" s="58">
        <v>905180.76</v>
      </c>
      <c r="AA31" s="50">
        <v>905180.76</v>
      </c>
      <c r="AB31" s="50">
        <v>0</v>
      </c>
      <c r="AC31" s="50">
        <v>7432.76</v>
      </c>
      <c r="AD31" s="50">
        <v>29091.01</v>
      </c>
      <c r="AE31" s="50">
        <v>0</v>
      </c>
      <c r="AF31" s="50">
        <v>0</v>
      </c>
      <c r="AG31" s="49">
        <v>941704.53</v>
      </c>
      <c r="AH31" s="51" t="s">
        <v>104</v>
      </c>
      <c r="AI31" s="51" t="s">
        <v>74</v>
      </c>
      <c r="AJ31" s="51" t="s">
        <v>130</v>
      </c>
      <c r="AK31" s="51" t="s">
        <v>131</v>
      </c>
      <c r="AL31" s="51" t="s">
        <v>74</v>
      </c>
      <c r="AM31" s="51" t="s">
        <v>74</v>
      </c>
      <c r="AN31" s="52">
        <v>314.20999999999998</v>
      </c>
      <c r="AO31" s="52">
        <v>0</v>
      </c>
      <c r="AP31" s="52">
        <v>0</v>
      </c>
      <c r="AQ31" s="52">
        <v>0</v>
      </c>
      <c r="AR31" s="52">
        <v>0</v>
      </c>
      <c r="AS31" s="52">
        <v>314.20999999999998</v>
      </c>
      <c r="AT31" s="51" t="s">
        <v>132</v>
      </c>
      <c r="AU31" s="52">
        <v>0</v>
      </c>
      <c r="AV31" s="52"/>
      <c r="AW31" s="52">
        <v>0</v>
      </c>
      <c r="AX31" s="52"/>
      <c r="AY31" s="52"/>
      <c r="AZ31" s="52">
        <v>0</v>
      </c>
      <c r="BA31" s="52">
        <v>0</v>
      </c>
      <c r="BB31" s="54" t="s">
        <v>74</v>
      </c>
      <c r="BC31" s="53" t="s">
        <v>74</v>
      </c>
      <c r="BD31" s="55" t="s">
        <v>74</v>
      </c>
      <c r="BE31" s="55" t="s">
        <v>74</v>
      </c>
      <c r="BF31" s="55" t="s">
        <v>74</v>
      </c>
      <c r="BG31" s="55" t="s">
        <v>74</v>
      </c>
      <c r="BH31" s="52">
        <v>314.20999999999998</v>
      </c>
      <c r="BI31" s="52">
        <v>1318900.04</v>
      </c>
      <c r="BJ31" s="52">
        <v>1318900.04</v>
      </c>
      <c r="BK31" s="56">
        <v>43466</v>
      </c>
      <c r="BL31" s="57">
        <v>1318900.04</v>
      </c>
      <c r="BM31" s="47">
        <v>0</v>
      </c>
      <c r="BN31" s="9"/>
      <c r="BO31" s="9"/>
      <c r="BP31" s="9"/>
      <c r="BQ31" s="9"/>
      <c r="BR31" s="9"/>
      <c r="BS31" s="9"/>
      <c r="BT31" s="9"/>
      <c r="BU31" s="9"/>
      <c r="BV31" s="9"/>
      <c r="BW31" s="9"/>
    </row>
    <row r="32" spans="1:75" ht="26.25" hidden="1" outlineLevel="2" x14ac:dyDescent="0.25">
      <c r="A32" s="43" t="s">
        <v>71</v>
      </c>
      <c r="B32" s="44" t="s">
        <v>72</v>
      </c>
      <c r="C32" s="45">
        <v>2019</v>
      </c>
      <c r="D32" s="46" t="s">
        <v>75</v>
      </c>
      <c r="E32" s="47">
        <v>0</v>
      </c>
      <c r="F32" s="47">
        <v>0</v>
      </c>
      <c r="G32" s="47">
        <v>0</v>
      </c>
      <c r="H32" s="47">
        <v>0</v>
      </c>
      <c r="I32" s="47">
        <v>0</v>
      </c>
      <c r="J32" s="47">
        <v>0</v>
      </c>
      <c r="K32" s="47">
        <v>0</v>
      </c>
      <c r="L32" s="47">
        <v>0</v>
      </c>
      <c r="M32" s="47">
        <v>0</v>
      </c>
      <c r="N32" s="47">
        <v>2260290.36</v>
      </c>
      <c r="O32" s="47">
        <v>0</v>
      </c>
      <c r="P32" s="47">
        <v>0</v>
      </c>
      <c r="Q32" s="47">
        <v>0</v>
      </c>
      <c r="R32" s="47">
        <v>0</v>
      </c>
      <c r="S32" s="47">
        <v>0</v>
      </c>
      <c r="T32" s="47">
        <v>0</v>
      </c>
      <c r="U32" s="47">
        <v>0</v>
      </c>
      <c r="V32" s="47">
        <v>0</v>
      </c>
      <c r="W32" s="47">
        <v>0</v>
      </c>
      <c r="X32" s="47">
        <v>0</v>
      </c>
      <c r="Y32" s="48">
        <v>2260290.36</v>
      </c>
      <c r="Z32" s="58">
        <v>902913.96</v>
      </c>
      <c r="AA32" s="50">
        <v>902913.96</v>
      </c>
      <c r="AB32" s="50">
        <v>0</v>
      </c>
      <c r="AC32" s="50">
        <v>0</v>
      </c>
      <c r="AD32" s="50">
        <v>0</v>
      </c>
      <c r="AE32" s="50">
        <v>0</v>
      </c>
      <c r="AF32" s="50">
        <v>0</v>
      </c>
      <c r="AG32" s="49">
        <v>902913.96</v>
      </c>
      <c r="AH32" s="51" t="s">
        <v>104</v>
      </c>
      <c r="AI32" s="51" t="s">
        <v>74</v>
      </c>
      <c r="AJ32" s="51" t="s">
        <v>74</v>
      </c>
      <c r="AK32" s="51" t="s">
        <v>74</v>
      </c>
      <c r="AL32" s="51" t="s">
        <v>74</v>
      </c>
      <c r="AM32" s="51" t="s">
        <v>74</v>
      </c>
      <c r="AN32" s="52">
        <v>0</v>
      </c>
      <c r="AO32" s="52">
        <v>0</v>
      </c>
      <c r="AP32" s="52">
        <v>0</v>
      </c>
      <c r="AQ32" s="52">
        <v>0</v>
      </c>
      <c r="AR32" s="52">
        <v>0</v>
      </c>
      <c r="AS32" s="52">
        <v>0</v>
      </c>
      <c r="AT32" s="53" t="s">
        <v>74</v>
      </c>
      <c r="AU32" s="52">
        <v>0</v>
      </c>
      <c r="AV32" s="52"/>
      <c r="AW32" s="52">
        <v>0</v>
      </c>
      <c r="AX32" s="52"/>
      <c r="AY32" s="52"/>
      <c r="AZ32" s="52">
        <v>0</v>
      </c>
      <c r="BA32" s="52">
        <v>0</v>
      </c>
      <c r="BB32" s="54" t="s">
        <v>74</v>
      </c>
      <c r="BC32" s="53" t="s">
        <v>74</v>
      </c>
      <c r="BD32" s="55" t="s">
        <v>74</v>
      </c>
      <c r="BE32" s="55" t="s">
        <v>74</v>
      </c>
      <c r="BF32" s="55" t="s">
        <v>74</v>
      </c>
      <c r="BG32" s="55" t="s">
        <v>74</v>
      </c>
      <c r="BH32" s="52">
        <v>0</v>
      </c>
      <c r="BI32" s="52">
        <v>1357376.4</v>
      </c>
      <c r="BJ32" s="52">
        <v>1357376.4</v>
      </c>
      <c r="BK32" s="56">
        <v>43497</v>
      </c>
      <c r="BL32" s="57">
        <v>1357376.4</v>
      </c>
      <c r="BM32" s="47">
        <v>0</v>
      </c>
      <c r="BN32" s="9"/>
      <c r="BO32" s="9"/>
      <c r="BP32" s="9"/>
      <c r="BQ32" s="9"/>
      <c r="BR32" s="9"/>
      <c r="BS32" s="9"/>
      <c r="BT32" s="9"/>
      <c r="BU32" s="9"/>
      <c r="BV32" s="9"/>
      <c r="BW32" s="9"/>
    </row>
    <row r="33" spans="1:75" ht="26.25" hidden="1" outlineLevel="2" x14ac:dyDescent="0.25">
      <c r="A33" s="43" t="s">
        <v>71</v>
      </c>
      <c r="B33" s="44" t="s">
        <v>72</v>
      </c>
      <c r="C33" s="45">
        <v>2019</v>
      </c>
      <c r="D33" s="46" t="s">
        <v>77</v>
      </c>
      <c r="E33" s="47">
        <v>0</v>
      </c>
      <c r="F33" s="47">
        <v>0</v>
      </c>
      <c r="G33" s="47">
        <v>0</v>
      </c>
      <c r="H33" s="47">
        <v>0</v>
      </c>
      <c r="I33" s="47">
        <v>0</v>
      </c>
      <c r="J33" s="47">
        <v>0</v>
      </c>
      <c r="K33" s="47">
        <v>0</v>
      </c>
      <c r="L33" s="47">
        <v>0</v>
      </c>
      <c r="M33" s="47">
        <v>0</v>
      </c>
      <c r="N33" s="47">
        <v>2034261.32</v>
      </c>
      <c r="O33" s="47">
        <v>187321.2</v>
      </c>
      <c r="P33" s="47">
        <v>0</v>
      </c>
      <c r="Q33" s="47">
        <v>0</v>
      </c>
      <c r="R33" s="47">
        <v>0</v>
      </c>
      <c r="S33" s="47">
        <v>0</v>
      </c>
      <c r="T33" s="47">
        <v>0</v>
      </c>
      <c r="U33" s="47">
        <v>0</v>
      </c>
      <c r="V33" s="47">
        <v>0</v>
      </c>
      <c r="W33" s="47">
        <v>0</v>
      </c>
      <c r="X33" s="47">
        <v>0</v>
      </c>
      <c r="Y33" s="48">
        <v>2221582.52</v>
      </c>
      <c r="Z33" s="58">
        <v>859366.72</v>
      </c>
      <c r="AA33" s="50">
        <v>859366.72</v>
      </c>
      <c r="AB33" s="50">
        <v>0</v>
      </c>
      <c r="AC33" s="50">
        <v>3509.41</v>
      </c>
      <c r="AD33" s="50">
        <v>13586.27</v>
      </c>
      <c r="AE33" s="50">
        <v>0</v>
      </c>
      <c r="AF33" s="50">
        <v>0</v>
      </c>
      <c r="AG33" s="49">
        <v>876462.4</v>
      </c>
      <c r="AH33" s="51" t="s">
        <v>104</v>
      </c>
      <c r="AI33" s="51" t="s">
        <v>74</v>
      </c>
      <c r="AJ33" s="51" t="s">
        <v>133</v>
      </c>
      <c r="AK33" s="51" t="s">
        <v>134</v>
      </c>
      <c r="AL33" s="51" t="s">
        <v>74</v>
      </c>
      <c r="AM33" s="51" t="s">
        <v>74</v>
      </c>
      <c r="AN33" s="52">
        <v>0</v>
      </c>
      <c r="AO33" s="52">
        <v>0</v>
      </c>
      <c r="AP33" s="52">
        <v>0</v>
      </c>
      <c r="AQ33" s="52">
        <v>0</v>
      </c>
      <c r="AR33" s="52">
        <v>0</v>
      </c>
      <c r="AS33" s="52">
        <v>0</v>
      </c>
      <c r="AT33" s="53" t="s">
        <v>74</v>
      </c>
      <c r="AU33" s="52">
        <v>0</v>
      </c>
      <c r="AV33" s="52"/>
      <c r="AW33" s="52">
        <v>0</v>
      </c>
      <c r="AX33" s="52"/>
      <c r="AY33" s="52"/>
      <c r="AZ33" s="52">
        <v>0</v>
      </c>
      <c r="BA33" s="52">
        <v>0</v>
      </c>
      <c r="BB33" s="54" t="s">
        <v>74</v>
      </c>
      <c r="BC33" s="53" t="s">
        <v>74</v>
      </c>
      <c r="BD33" s="55" t="s">
        <v>74</v>
      </c>
      <c r="BE33" s="55" t="s">
        <v>74</v>
      </c>
      <c r="BF33" s="55" t="s">
        <v>74</v>
      </c>
      <c r="BG33" s="55" t="s">
        <v>74</v>
      </c>
      <c r="BH33" s="52">
        <v>0</v>
      </c>
      <c r="BI33" s="52">
        <v>1345120.12</v>
      </c>
      <c r="BJ33" s="52">
        <v>1345120.12</v>
      </c>
      <c r="BK33" s="56">
        <v>43525</v>
      </c>
      <c r="BL33" s="57">
        <v>1345120.12</v>
      </c>
      <c r="BM33" s="47">
        <v>0</v>
      </c>
      <c r="BN33" s="9"/>
      <c r="BO33" s="9"/>
      <c r="BP33" s="9"/>
      <c r="BQ33" s="9"/>
      <c r="BR33" s="9"/>
      <c r="BS33" s="9"/>
      <c r="BT33" s="9"/>
      <c r="BU33" s="9"/>
      <c r="BV33" s="9"/>
      <c r="BW33" s="9"/>
    </row>
    <row r="34" spans="1:75" ht="77.25" hidden="1" outlineLevel="2" x14ac:dyDescent="0.25">
      <c r="A34" s="43" t="s">
        <v>71</v>
      </c>
      <c r="B34" s="44" t="s">
        <v>72</v>
      </c>
      <c r="C34" s="45">
        <v>2019</v>
      </c>
      <c r="D34" s="46" t="s">
        <v>79</v>
      </c>
      <c r="E34" s="47">
        <v>0</v>
      </c>
      <c r="F34" s="47">
        <v>0</v>
      </c>
      <c r="G34" s="47">
        <v>0</v>
      </c>
      <c r="H34" s="47">
        <v>0</v>
      </c>
      <c r="I34" s="47">
        <v>0</v>
      </c>
      <c r="J34" s="47">
        <v>0</v>
      </c>
      <c r="K34" s="47">
        <v>0</v>
      </c>
      <c r="L34" s="47">
        <v>0</v>
      </c>
      <c r="M34" s="47">
        <v>0</v>
      </c>
      <c r="N34" s="47">
        <v>0</v>
      </c>
      <c r="O34" s="47">
        <v>1873212.06</v>
      </c>
      <c r="P34" s="47">
        <v>0</v>
      </c>
      <c r="Q34" s="47">
        <v>0</v>
      </c>
      <c r="R34" s="47">
        <v>0</v>
      </c>
      <c r="S34" s="47">
        <v>0</v>
      </c>
      <c r="T34" s="47">
        <v>0</v>
      </c>
      <c r="U34" s="47">
        <v>0</v>
      </c>
      <c r="V34" s="47">
        <v>0</v>
      </c>
      <c r="W34" s="47">
        <v>0</v>
      </c>
      <c r="X34" s="47">
        <v>0</v>
      </c>
      <c r="Y34" s="48">
        <v>1873212.06</v>
      </c>
      <c r="Z34" s="49">
        <v>846133.2</v>
      </c>
      <c r="AA34" s="50">
        <v>846133.2</v>
      </c>
      <c r="AB34" s="50">
        <v>0</v>
      </c>
      <c r="AC34" s="50">
        <v>3557.86</v>
      </c>
      <c r="AD34" s="50">
        <v>13415.32</v>
      </c>
      <c r="AE34" s="50">
        <v>0</v>
      </c>
      <c r="AF34" s="50">
        <v>0</v>
      </c>
      <c r="AG34" s="49">
        <v>863106.38</v>
      </c>
      <c r="AH34" s="51" t="s">
        <v>104</v>
      </c>
      <c r="AI34" s="51" t="s">
        <v>74</v>
      </c>
      <c r="AJ34" s="51" t="s">
        <v>135</v>
      </c>
      <c r="AK34" s="51" t="s">
        <v>136</v>
      </c>
      <c r="AL34" s="51" t="s">
        <v>74</v>
      </c>
      <c r="AM34" s="51" t="s">
        <v>74</v>
      </c>
      <c r="AN34" s="52">
        <v>0</v>
      </c>
      <c r="AO34" s="52">
        <v>0</v>
      </c>
      <c r="AP34" s="52">
        <v>0</v>
      </c>
      <c r="AQ34" s="52">
        <v>0</v>
      </c>
      <c r="AR34" s="52">
        <v>0</v>
      </c>
      <c r="AS34" s="52">
        <v>0</v>
      </c>
      <c r="AT34" s="53" t="s">
        <v>74</v>
      </c>
      <c r="AU34" s="52">
        <v>0</v>
      </c>
      <c r="AV34" s="52"/>
      <c r="AW34" s="52">
        <v>0</v>
      </c>
      <c r="AX34" s="52"/>
      <c r="AY34" s="52"/>
      <c r="AZ34" s="52">
        <v>0</v>
      </c>
      <c r="BA34" s="52">
        <v>0</v>
      </c>
      <c r="BB34" s="54" t="s">
        <v>74</v>
      </c>
      <c r="BC34" s="53" t="s">
        <v>74</v>
      </c>
      <c r="BD34" s="55" t="s">
        <v>74</v>
      </c>
      <c r="BE34" s="55" t="s">
        <v>74</v>
      </c>
      <c r="BF34" s="55" t="s">
        <v>74</v>
      </c>
      <c r="BG34" s="55" t="s">
        <v>74</v>
      </c>
      <c r="BH34" s="52">
        <v>0</v>
      </c>
      <c r="BI34" s="52">
        <v>1010105.68</v>
      </c>
      <c r="BJ34" s="52">
        <v>1010105.68</v>
      </c>
      <c r="BK34" s="56">
        <v>43556</v>
      </c>
      <c r="BL34" s="57">
        <v>1010105.68</v>
      </c>
      <c r="BM34" s="47">
        <v>0</v>
      </c>
      <c r="BN34" s="9"/>
      <c r="BO34" s="9"/>
      <c r="BP34" s="9"/>
      <c r="BQ34" s="9"/>
      <c r="BR34" s="9"/>
      <c r="BS34" s="9"/>
      <c r="BT34" s="9"/>
      <c r="BU34" s="9"/>
      <c r="BV34" s="9"/>
      <c r="BW34" s="9"/>
    </row>
    <row r="35" spans="1:75" ht="26.25" hidden="1" outlineLevel="2" x14ac:dyDescent="0.25">
      <c r="A35" s="43" t="s">
        <v>71</v>
      </c>
      <c r="B35" s="44" t="s">
        <v>72</v>
      </c>
      <c r="C35" s="45">
        <v>2019</v>
      </c>
      <c r="D35" s="46" t="s">
        <v>81</v>
      </c>
      <c r="E35" s="47">
        <v>0</v>
      </c>
      <c r="F35" s="47">
        <v>0</v>
      </c>
      <c r="G35" s="47">
        <v>0</v>
      </c>
      <c r="H35" s="47">
        <v>0</v>
      </c>
      <c r="I35" s="47">
        <v>0</v>
      </c>
      <c r="J35" s="47">
        <v>0</v>
      </c>
      <c r="K35" s="47">
        <v>0</v>
      </c>
      <c r="L35" s="47">
        <v>0</v>
      </c>
      <c r="M35" s="47">
        <v>0</v>
      </c>
      <c r="N35" s="47">
        <v>0</v>
      </c>
      <c r="O35" s="47">
        <v>1873212.06</v>
      </c>
      <c r="P35" s="47">
        <v>0</v>
      </c>
      <c r="Q35" s="47">
        <v>0</v>
      </c>
      <c r="R35" s="47">
        <v>0</v>
      </c>
      <c r="S35" s="47">
        <v>0</v>
      </c>
      <c r="T35" s="47">
        <v>0</v>
      </c>
      <c r="U35" s="47">
        <v>0</v>
      </c>
      <c r="V35" s="47">
        <v>0</v>
      </c>
      <c r="W35" s="47">
        <v>0</v>
      </c>
      <c r="X35" s="47">
        <v>0</v>
      </c>
      <c r="Y35" s="48">
        <v>1873212.06</v>
      </c>
      <c r="Z35" s="58">
        <v>858441.08</v>
      </c>
      <c r="AA35" s="50">
        <v>858441.08</v>
      </c>
      <c r="AB35" s="50">
        <v>0</v>
      </c>
      <c r="AC35" s="50">
        <v>3360.23</v>
      </c>
      <c r="AD35" s="50">
        <v>14561.25</v>
      </c>
      <c r="AE35" s="50">
        <v>0</v>
      </c>
      <c r="AF35" s="50">
        <v>0</v>
      </c>
      <c r="AG35" s="49">
        <v>876362.56</v>
      </c>
      <c r="AH35" s="51" t="s">
        <v>104</v>
      </c>
      <c r="AI35" s="51" t="s">
        <v>74</v>
      </c>
      <c r="AJ35" s="51" t="s">
        <v>137</v>
      </c>
      <c r="AK35" s="51" t="s">
        <v>138</v>
      </c>
      <c r="AL35" s="51" t="s">
        <v>74</v>
      </c>
      <c r="AM35" s="51" t="s">
        <v>74</v>
      </c>
      <c r="AN35" s="52">
        <v>0</v>
      </c>
      <c r="AO35" s="52">
        <v>0</v>
      </c>
      <c r="AP35" s="52">
        <v>0</v>
      </c>
      <c r="AQ35" s="52">
        <v>0</v>
      </c>
      <c r="AR35" s="52">
        <v>0</v>
      </c>
      <c r="AS35" s="52">
        <v>0</v>
      </c>
      <c r="AT35" s="53" t="s">
        <v>74</v>
      </c>
      <c r="AU35" s="52">
        <v>0</v>
      </c>
      <c r="AV35" s="52"/>
      <c r="AW35" s="52">
        <v>0</v>
      </c>
      <c r="AX35" s="52"/>
      <c r="AY35" s="52"/>
      <c r="AZ35" s="52">
        <v>0</v>
      </c>
      <c r="BA35" s="52">
        <v>0</v>
      </c>
      <c r="BB35" s="54" t="s">
        <v>74</v>
      </c>
      <c r="BC35" s="53" t="s">
        <v>74</v>
      </c>
      <c r="BD35" s="55" t="s">
        <v>74</v>
      </c>
      <c r="BE35" s="55" t="s">
        <v>74</v>
      </c>
      <c r="BF35" s="55" t="s">
        <v>74</v>
      </c>
      <c r="BG35" s="55" t="s">
        <v>74</v>
      </c>
      <c r="BH35" s="52">
        <v>0</v>
      </c>
      <c r="BI35" s="52">
        <v>996849.5</v>
      </c>
      <c r="BJ35" s="52">
        <v>996849.5</v>
      </c>
      <c r="BK35" s="56">
        <v>43586</v>
      </c>
      <c r="BL35" s="57">
        <v>996849.5</v>
      </c>
      <c r="BM35" s="47">
        <v>0</v>
      </c>
      <c r="BN35" s="9"/>
      <c r="BO35" s="9"/>
      <c r="BP35" s="9"/>
      <c r="BQ35" s="9"/>
      <c r="BR35" s="9"/>
      <c r="BS35" s="9"/>
      <c r="BT35" s="9"/>
      <c r="BU35" s="9"/>
      <c r="BV35" s="9"/>
      <c r="BW35" s="9"/>
    </row>
    <row r="36" spans="1:75" ht="26.25" hidden="1" outlineLevel="2" x14ac:dyDescent="0.25">
      <c r="A36" s="43" t="s">
        <v>71</v>
      </c>
      <c r="B36" s="44" t="s">
        <v>72</v>
      </c>
      <c r="C36" s="45">
        <v>2019</v>
      </c>
      <c r="D36" s="46" t="s">
        <v>83</v>
      </c>
      <c r="E36" s="47">
        <v>0</v>
      </c>
      <c r="F36" s="47">
        <v>0</v>
      </c>
      <c r="G36" s="47">
        <v>0</v>
      </c>
      <c r="H36" s="47">
        <v>0</v>
      </c>
      <c r="I36" s="47">
        <v>0</v>
      </c>
      <c r="J36" s="47">
        <v>0</v>
      </c>
      <c r="K36" s="47">
        <v>0</v>
      </c>
      <c r="L36" s="47">
        <v>0</v>
      </c>
      <c r="M36" s="47">
        <v>0</v>
      </c>
      <c r="N36" s="47">
        <v>0</v>
      </c>
      <c r="O36" s="47">
        <v>1873212.06</v>
      </c>
      <c r="P36" s="47">
        <v>0</v>
      </c>
      <c r="Q36" s="47">
        <v>0</v>
      </c>
      <c r="R36" s="47">
        <v>0</v>
      </c>
      <c r="S36" s="47">
        <v>0</v>
      </c>
      <c r="T36" s="47">
        <v>0</v>
      </c>
      <c r="U36" s="47">
        <v>0</v>
      </c>
      <c r="V36" s="47">
        <v>0</v>
      </c>
      <c r="W36" s="47">
        <v>0</v>
      </c>
      <c r="X36" s="47">
        <v>0</v>
      </c>
      <c r="Y36" s="48">
        <v>1873212.06</v>
      </c>
      <c r="Z36" s="58">
        <v>830700.03</v>
      </c>
      <c r="AA36" s="50">
        <v>830700.03</v>
      </c>
      <c r="AB36" s="50">
        <v>0</v>
      </c>
      <c r="AC36" s="50">
        <v>0</v>
      </c>
      <c r="AD36" s="50">
        <v>0</v>
      </c>
      <c r="AE36" s="50">
        <v>0</v>
      </c>
      <c r="AF36" s="50">
        <v>0</v>
      </c>
      <c r="AG36" s="49">
        <v>830700.03</v>
      </c>
      <c r="AH36" s="51" t="s">
        <v>104</v>
      </c>
      <c r="AI36" s="51" t="s">
        <v>74</v>
      </c>
      <c r="AJ36" s="51" t="s">
        <v>74</v>
      </c>
      <c r="AK36" s="51" t="s">
        <v>74</v>
      </c>
      <c r="AL36" s="51" t="s">
        <v>74</v>
      </c>
      <c r="AM36" s="51" t="s">
        <v>74</v>
      </c>
      <c r="AN36" s="52">
        <v>0</v>
      </c>
      <c r="AO36" s="52">
        <v>0</v>
      </c>
      <c r="AP36" s="52">
        <v>0</v>
      </c>
      <c r="AQ36" s="52">
        <v>0</v>
      </c>
      <c r="AR36" s="52">
        <v>0</v>
      </c>
      <c r="AS36" s="52">
        <v>0</v>
      </c>
      <c r="AT36" s="53" t="s">
        <v>74</v>
      </c>
      <c r="AU36" s="52">
        <v>0</v>
      </c>
      <c r="AV36" s="52"/>
      <c r="AW36" s="52">
        <v>0</v>
      </c>
      <c r="AX36" s="52"/>
      <c r="AY36" s="52"/>
      <c r="AZ36" s="52">
        <v>0</v>
      </c>
      <c r="BA36" s="52">
        <v>0</v>
      </c>
      <c r="BB36" s="54" t="s">
        <v>74</v>
      </c>
      <c r="BC36" s="53" t="s">
        <v>74</v>
      </c>
      <c r="BD36" s="55" t="s">
        <v>74</v>
      </c>
      <c r="BE36" s="55" t="s">
        <v>74</v>
      </c>
      <c r="BF36" s="55" t="s">
        <v>74</v>
      </c>
      <c r="BG36" s="55" t="s">
        <v>74</v>
      </c>
      <c r="BH36" s="52">
        <v>0</v>
      </c>
      <c r="BI36" s="52">
        <v>1042512.03</v>
      </c>
      <c r="BJ36" s="52">
        <v>1042512.03</v>
      </c>
      <c r="BK36" s="56">
        <v>43617</v>
      </c>
      <c r="BL36" s="57">
        <v>1042512.03</v>
      </c>
      <c r="BM36" s="47">
        <v>0</v>
      </c>
      <c r="BN36" s="9"/>
      <c r="BO36" s="9"/>
      <c r="BP36" s="9"/>
      <c r="BQ36" s="9"/>
      <c r="BR36" s="9"/>
      <c r="BS36" s="9"/>
      <c r="BT36" s="9"/>
      <c r="BU36" s="9"/>
      <c r="BV36" s="9"/>
      <c r="BW36" s="9"/>
    </row>
    <row r="37" spans="1:75" ht="26.25" hidden="1" outlineLevel="2" x14ac:dyDescent="0.25">
      <c r="A37" s="43" t="s">
        <v>71</v>
      </c>
      <c r="B37" s="44" t="s">
        <v>72</v>
      </c>
      <c r="C37" s="45">
        <v>2019</v>
      </c>
      <c r="D37" s="46" t="s">
        <v>84</v>
      </c>
      <c r="E37" s="47">
        <v>0</v>
      </c>
      <c r="F37" s="47">
        <v>0</v>
      </c>
      <c r="G37" s="47">
        <v>0</v>
      </c>
      <c r="H37" s="47">
        <v>0</v>
      </c>
      <c r="I37" s="47">
        <v>0</v>
      </c>
      <c r="J37" s="47">
        <v>0</v>
      </c>
      <c r="K37" s="47">
        <v>0</v>
      </c>
      <c r="L37" s="47">
        <v>0</v>
      </c>
      <c r="M37" s="47">
        <v>0</v>
      </c>
      <c r="N37" s="47">
        <v>0</v>
      </c>
      <c r="O37" s="47">
        <v>1873212.06</v>
      </c>
      <c r="P37" s="47">
        <v>0</v>
      </c>
      <c r="Q37" s="47">
        <v>0</v>
      </c>
      <c r="R37" s="47">
        <v>0</v>
      </c>
      <c r="S37" s="47">
        <v>0</v>
      </c>
      <c r="T37" s="47">
        <v>0</v>
      </c>
      <c r="U37" s="47">
        <v>0</v>
      </c>
      <c r="V37" s="47">
        <v>0</v>
      </c>
      <c r="W37" s="47">
        <v>0</v>
      </c>
      <c r="X37" s="47">
        <v>0</v>
      </c>
      <c r="Y37" s="48">
        <v>1873212.06</v>
      </c>
      <c r="Z37" s="58">
        <v>843643.35</v>
      </c>
      <c r="AA37" s="50">
        <v>843643.35</v>
      </c>
      <c r="AB37" s="50">
        <v>0</v>
      </c>
      <c r="AC37" s="50">
        <v>3190.16</v>
      </c>
      <c r="AD37" s="50">
        <v>13215.85</v>
      </c>
      <c r="AE37" s="50">
        <v>0</v>
      </c>
      <c r="AF37" s="50">
        <v>0</v>
      </c>
      <c r="AG37" s="49">
        <v>860049.36</v>
      </c>
      <c r="AH37" s="51" t="s">
        <v>104</v>
      </c>
      <c r="AI37" s="51" t="s">
        <v>74</v>
      </c>
      <c r="AJ37" s="51" t="s">
        <v>139</v>
      </c>
      <c r="AK37" s="51" t="s">
        <v>140</v>
      </c>
      <c r="AL37" s="51" t="s">
        <v>74</v>
      </c>
      <c r="AM37" s="51" t="s">
        <v>74</v>
      </c>
      <c r="AN37" s="52">
        <v>0</v>
      </c>
      <c r="AO37" s="52">
        <v>0</v>
      </c>
      <c r="AP37" s="52">
        <v>0</v>
      </c>
      <c r="AQ37" s="52">
        <v>0</v>
      </c>
      <c r="AR37" s="52">
        <v>0</v>
      </c>
      <c r="AS37" s="52">
        <v>0</v>
      </c>
      <c r="AT37" s="53" t="s">
        <v>74</v>
      </c>
      <c r="AU37" s="52">
        <v>0</v>
      </c>
      <c r="AV37" s="52"/>
      <c r="AW37" s="52">
        <v>0</v>
      </c>
      <c r="AX37" s="52"/>
      <c r="AY37" s="52"/>
      <c r="AZ37" s="52">
        <v>0</v>
      </c>
      <c r="BA37" s="52">
        <v>0</v>
      </c>
      <c r="BB37" s="54" t="s">
        <v>74</v>
      </c>
      <c r="BC37" s="53" t="s">
        <v>74</v>
      </c>
      <c r="BD37" s="55" t="s">
        <v>74</v>
      </c>
      <c r="BE37" s="55" t="s">
        <v>74</v>
      </c>
      <c r="BF37" s="55" t="s">
        <v>74</v>
      </c>
      <c r="BG37" s="55" t="s">
        <v>74</v>
      </c>
      <c r="BH37" s="52">
        <v>0</v>
      </c>
      <c r="BI37" s="52">
        <v>1013162.7</v>
      </c>
      <c r="BJ37" s="52">
        <v>1013162.7</v>
      </c>
      <c r="BK37" s="56">
        <v>43647</v>
      </c>
      <c r="BL37" s="57">
        <v>1013162.7</v>
      </c>
      <c r="BM37" s="47">
        <v>0</v>
      </c>
      <c r="BN37" s="9"/>
      <c r="BO37" s="9"/>
      <c r="BP37" s="9"/>
      <c r="BQ37" s="9"/>
      <c r="BR37" s="9"/>
      <c r="BS37" s="9"/>
      <c r="BT37" s="9"/>
      <c r="BU37" s="9"/>
      <c r="BV37" s="9"/>
      <c r="BW37" s="9"/>
    </row>
    <row r="38" spans="1:75" ht="128.25" hidden="1" outlineLevel="2" x14ac:dyDescent="0.25">
      <c r="A38" s="43" t="s">
        <v>71</v>
      </c>
      <c r="B38" s="44" t="s">
        <v>72</v>
      </c>
      <c r="C38" s="45">
        <v>2019</v>
      </c>
      <c r="D38" s="46" t="s">
        <v>86</v>
      </c>
      <c r="E38" s="47">
        <v>0</v>
      </c>
      <c r="F38" s="47">
        <v>0</v>
      </c>
      <c r="G38" s="47">
        <v>0</v>
      </c>
      <c r="H38" s="47">
        <v>0</v>
      </c>
      <c r="I38" s="47">
        <v>0</v>
      </c>
      <c r="J38" s="47">
        <v>0</v>
      </c>
      <c r="K38" s="47">
        <v>0</v>
      </c>
      <c r="L38" s="47">
        <v>0</v>
      </c>
      <c r="M38" s="47">
        <v>0</v>
      </c>
      <c r="N38" s="47">
        <v>0</v>
      </c>
      <c r="O38" s="47">
        <v>1873212.06</v>
      </c>
      <c r="P38" s="47">
        <v>0</v>
      </c>
      <c r="Q38" s="47">
        <v>0</v>
      </c>
      <c r="R38" s="47">
        <v>0</v>
      </c>
      <c r="S38" s="47">
        <v>0</v>
      </c>
      <c r="T38" s="47">
        <v>0</v>
      </c>
      <c r="U38" s="47">
        <v>0</v>
      </c>
      <c r="V38" s="47">
        <v>0</v>
      </c>
      <c r="W38" s="47">
        <v>0</v>
      </c>
      <c r="X38" s="47">
        <v>0</v>
      </c>
      <c r="Y38" s="48">
        <v>1873212.06</v>
      </c>
      <c r="Z38" s="58">
        <v>900137.45</v>
      </c>
      <c r="AA38" s="50">
        <v>868636.98</v>
      </c>
      <c r="AB38" s="50">
        <v>0</v>
      </c>
      <c r="AC38" s="50">
        <v>3407.43</v>
      </c>
      <c r="AD38" s="50">
        <v>11441.8</v>
      </c>
      <c r="AE38" s="50">
        <v>0</v>
      </c>
      <c r="AF38" s="50">
        <v>0</v>
      </c>
      <c r="AG38" s="49">
        <v>883486.21</v>
      </c>
      <c r="AH38" s="51" t="s">
        <v>141</v>
      </c>
      <c r="AI38" s="51" t="s">
        <v>74</v>
      </c>
      <c r="AJ38" s="51" t="s">
        <v>142</v>
      </c>
      <c r="AK38" s="51" t="s">
        <v>143</v>
      </c>
      <c r="AL38" s="51" t="s">
        <v>74</v>
      </c>
      <c r="AM38" s="51" t="s">
        <v>74</v>
      </c>
      <c r="AN38" s="52"/>
      <c r="AO38" s="52">
        <v>0</v>
      </c>
      <c r="AP38" s="52"/>
      <c r="AQ38" s="52"/>
      <c r="AR38" s="52"/>
      <c r="AS38" s="52">
        <v>0</v>
      </c>
      <c r="AT38" s="53" t="s">
        <v>74</v>
      </c>
      <c r="AU38" s="59">
        <v>161831.84</v>
      </c>
      <c r="AV38" s="52"/>
      <c r="AW38" s="52">
        <v>0</v>
      </c>
      <c r="AX38" s="52"/>
      <c r="AY38" s="52"/>
      <c r="AZ38" s="52">
        <v>0</v>
      </c>
      <c r="BA38" s="52">
        <v>161831.84</v>
      </c>
      <c r="BB38" s="55" t="s">
        <v>144</v>
      </c>
      <c r="BC38" s="51" t="s">
        <v>74</v>
      </c>
      <c r="BD38" s="54" t="s">
        <v>74</v>
      </c>
      <c r="BE38" s="54" t="s">
        <v>74</v>
      </c>
      <c r="BF38" s="54" t="s">
        <v>74</v>
      </c>
      <c r="BG38" s="54" t="s">
        <v>74</v>
      </c>
      <c r="BH38" s="52">
        <v>161831.84</v>
      </c>
      <c r="BI38" s="52">
        <v>1151557.69</v>
      </c>
      <c r="BJ38" s="52">
        <v>989725.85</v>
      </c>
      <c r="BK38" s="56">
        <v>43678</v>
      </c>
      <c r="BL38" s="57">
        <v>1151557.69</v>
      </c>
      <c r="BM38" s="47">
        <v>0</v>
      </c>
      <c r="BN38" s="9"/>
      <c r="BO38" s="9"/>
      <c r="BP38" s="9"/>
      <c r="BQ38" s="9"/>
      <c r="BR38" s="9"/>
      <c r="BS38" s="9"/>
      <c r="BT38" s="9"/>
      <c r="BU38" s="9"/>
      <c r="BV38" s="9"/>
      <c r="BW38" s="9"/>
    </row>
    <row r="39" spans="1:75" ht="64.5" hidden="1" outlineLevel="2" x14ac:dyDescent="0.25">
      <c r="A39" s="43" t="s">
        <v>71</v>
      </c>
      <c r="B39" s="44" t="s">
        <v>72</v>
      </c>
      <c r="C39" s="45">
        <v>2019</v>
      </c>
      <c r="D39" s="46" t="s">
        <v>88</v>
      </c>
      <c r="E39" s="47">
        <v>0</v>
      </c>
      <c r="F39" s="47">
        <v>0</v>
      </c>
      <c r="G39" s="47">
        <v>0</v>
      </c>
      <c r="H39" s="47">
        <v>0</v>
      </c>
      <c r="I39" s="47">
        <v>0</v>
      </c>
      <c r="J39" s="47">
        <v>0</v>
      </c>
      <c r="K39" s="47">
        <v>0</v>
      </c>
      <c r="L39" s="47">
        <v>0</v>
      </c>
      <c r="M39" s="47">
        <v>0</v>
      </c>
      <c r="N39" s="47">
        <v>0</v>
      </c>
      <c r="O39" s="47">
        <v>1873212.06</v>
      </c>
      <c r="P39" s="47">
        <v>0</v>
      </c>
      <c r="Q39" s="47">
        <v>0</v>
      </c>
      <c r="R39" s="47">
        <v>0</v>
      </c>
      <c r="S39" s="47">
        <v>0</v>
      </c>
      <c r="T39" s="47">
        <v>0</v>
      </c>
      <c r="U39" s="47">
        <v>0</v>
      </c>
      <c r="V39" s="47">
        <v>0</v>
      </c>
      <c r="W39" s="47">
        <v>0</v>
      </c>
      <c r="X39" s="47">
        <v>0</v>
      </c>
      <c r="Y39" s="48">
        <v>1873212.06</v>
      </c>
      <c r="Z39" s="58">
        <v>843055.73</v>
      </c>
      <c r="AA39" s="50">
        <v>843055.73</v>
      </c>
      <c r="AB39" s="50">
        <v>31500.47</v>
      </c>
      <c r="AC39" s="50">
        <v>6732.24</v>
      </c>
      <c r="AD39" s="50">
        <v>22354.87</v>
      </c>
      <c r="AE39" s="50">
        <v>0</v>
      </c>
      <c r="AF39" s="50">
        <v>0</v>
      </c>
      <c r="AG39" s="49">
        <v>903643.31</v>
      </c>
      <c r="AH39" s="51" t="s">
        <v>104</v>
      </c>
      <c r="AI39" s="51" t="s">
        <v>145</v>
      </c>
      <c r="AJ39" s="51" t="s">
        <v>146</v>
      </c>
      <c r="AK39" s="51" t="s">
        <v>147</v>
      </c>
      <c r="AL39" s="51" t="s">
        <v>74</v>
      </c>
      <c r="AM39" s="51" t="s">
        <v>74</v>
      </c>
      <c r="AN39" s="52">
        <v>0</v>
      </c>
      <c r="AO39" s="52">
        <v>0</v>
      </c>
      <c r="AP39" s="52">
        <v>0</v>
      </c>
      <c r="AQ39" s="52">
        <v>0</v>
      </c>
      <c r="AR39" s="52">
        <v>0</v>
      </c>
      <c r="AS39" s="52">
        <v>0</v>
      </c>
      <c r="AT39" s="53" t="s">
        <v>74</v>
      </c>
      <c r="AU39" s="52">
        <v>0</v>
      </c>
      <c r="AV39" s="52"/>
      <c r="AW39" s="52">
        <v>0</v>
      </c>
      <c r="AX39" s="52"/>
      <c r="AY39" s="52"/>
      <c r="AZ39" s="52">
        <v>0</v>
      </c>
      <c r="BA39" s="52">
        <v>0</v>
      </c>
      <c r="BB39" s="54" t="s">
        <v>74</v>
      </c>
      <c r="BC39" s="53" t="s">
        <v>74</v>
      </c>
      <c r="BD39" s="55" t="s">
        <v>74</v>
      </c>
      <c r="BE39" s="55" t="s">
        <v>74</v>
      </c>
      <c r="BF39" s="55" t="s">
        <v>74</v>
      </c>
      <c r="BG39" s="55" t="s">
        <v>74</v>
      </c>
      <c r="BH39" s="52">
        <v>0</v>
      </c>
      <c r="BI39" s="52">
        <v>969568.75</v>
      </c>
      <c r="BJ39" s="52">
        <v>969568.75</v>
      </c>
      <c r="BK39" s="56">
        <v>43709</v>
      </c>
      <c r="BL39" s="57">
        <v>969568.75</v>
      </c>
      <c r="BM39" s="47">
        <v>0</v>
      </c>
      <c r="BN39" s="9"/>
      <c r="BO39" s="9"/>
      <c r="BP39" s="9"/>
      <c r="BQ39" s="9"/>
      <c r="BR39" s="9"/>
      <c r="BS39" s="9"/>
      <c r="BT39" s="9"/>
      <c r="BU39" s="9"/>
      <c r="BV39" s="9"/>
      <c r="BW39" s="9"/>
    </row>
    <row r="40" spans="1:75" ht="39" hidden="1" outlineLevel="2" x14ac:dyDescent="0.25">
      <c r="A40" s="43" t="s">
        <v>71</v>
      </c>
      <c r="B40" s="44" t="s">
        <v>72</v>
      </c>
      <c r="C40" s="45">
        <v>2019</v>
      </c>
      <c r="D40" s="46" t="s">
        <v>89</v>
      </c>
      <c r="E40" s="47">
        <v>0</v>
      </c>
      <c r="F40" s="47">
        <v>0</v>
      </c>
      <c r="G40" s="47">
        <v>0</v>
      </c>
      <c r="H40" s="47">
        <v>0</v>
      </c>
      <c r="I40" s="47">
        <v>0</v>
      </c>
      <c r="J40" s="47">
        <v>0</v>
      </c>
      <c r="K40" s="47">
        <v>0</v>
      </c>
      <c r="L40" s="47">
        <v>0</v>
      </c>
      <c r="M40" s="47">
        <v>0</v>
      </c>
      <c r="N40" s="47">
        <v>0</v>
      </c>
      <c r="O40" s="47">
        <v>1873212.06</v>
      </c>
      <c r="P40" s="47">
        <v>0</v>
      </c>
      <c r="Q40" s="47">
        <v>0</v>
      </c>
      <c r="R40" s="47">
        <v>0</v>
      </c>
      <c r="S40" s="47">
        <v>0</v>
      </c>
      <c r="T40" s="47">
        <v>0</v>
      </c>
      <c r="U40" s="47">
        <v>0</v>
      </c>
      <c r="V40" s="47">
        <v>0</v>
      </c>
      <c r="W40" s="47">
        <v>0</v>
      </c>
      <c r="X40" s="47">
        <v>0</v>
      </c>
      <c r="Y40" s="48">
        <v>1873212.06</v>
      </c>
      <c r="Z40" s="58">
        <v>775699.06</v>
      </c>
      <c r="AA40" s="50">
        <v>775699.06</v>
      </c>
      <c r="AB40" s="50">
        <v>2455.84</v>
      </c>
      <c r="AC40" s="50">
        <v>0</v>
      </c>
      <c r="AD40" s="50">
        <v>0</v>
      </c>
      <c r="AE40" s="50">
        <v>0</v>
      </c>
      <c r="AF40" s="50">
        <v>0</v>
      </c>
      <c r="AG40" s="49">
        <v>778154.9</v>
      </c>
      <c r="AH40" s="51" t="s">
        <v>104</v>
      </c>
      <c r="AI40" s="51" t="s">
        <v>148</v>
      </c>
      <c r="AJ40" s="51" t="s">
        <v>74</v>
      </c>
      <c r="AK40" s="51" t="s">
        <v>74</v>
      </c>
      <c r="AL40" s="51" t="s">
        <v>74</v>
      </c>
      <c r="AM40" s="51" t="s">
        <v>74</v>
      </c>
      <c r="AN40" s="52">
        <v>0</v>
      </c>
      <c r="AO40" s="52">
        <v>0</v>
      </c>
      <c r="AP40" s="52">
        <v>0</v>
      </c>
      <c r="AQ40" s="52">
        <v>0</v>
      </c>
      <c r="AR40" s="52">
        <v>0</v>
      </c>
      <c r="AS40" s="52">
        <v>0</v>
      </c>
      <c r="AT40" s="53" t="s">
        <v>74</v>
      </c>
      <c r="AU40" s="52">
        <v>0</v>
      </c>
      <c r="AV40" s="52"/>
      <c r="AW40" s="52">
        <v>0</v>
      </c>
      <c r="AX40" s="52"/>
      <c r="AY40" s="52"/>
      <c r="AZ40" s="52">
        <v>0</v>
      </c>
      <c r="BA40" s="52">
        <v>0</v>
      </c>
      <c r="BB40" s="54" t="s">
        <v>74</v>
      </c>
      <c r="BC40" s="53" t="s">
        <v>74</v>
      </c>
      <c r="BD40" s="55" t="s">
        <v>74</v>
      </c>
      <c r="BE40" s="55" t="s">
        <v>74</v>
      </c>
      <c r="BF40" s="55" t="s">
        <v>74</v>
      </c>
      <c r="BG40" s="55" t="s">
        <v>74</v>
      </c>
      <c r="BH40" s="52">
        <v>0</v>
      </c>
      <c r="BI40" s="52">
        <v>1095057.1599999999</v>
      </c>
      <c r="BJ40" s="52">
        <v>1095057.1599999999</v>
      </c>
      <c r="BK40" s="56">
        <v>43739</v>
      </c>
      <c r="BL40" s="57">
        <v>1095057.1599999999</v>
      </c>
      <c r="BM40" s="47">
        <v>0</v>
      </c>
      <c r="BN40" s="9"/>
      <c r="BO40" s="9"/>
      <c r="BP40" s="9"/>
      <c r="BQ40" s="9"/>
      <c r="BR40" s="9"/>
      <c r="BS40" s="9"/>
      <c r="BT40" s="9"/>
      <c r="BU40" s="9"/>
      <c r="BV40" s="9"/>
      <c r="BW40" s="9"/>
    </row>
    <row r="41" spans="1:75" ht="64.5" hidden="1" outlineLevel="2" x14ac:dyDescent="0.25">
      <c r="A41" s="43" t="s">
        <v>71</v>
      </c>
      <c r="B41" s="44" t="s">
        <v>72</v>
      </c>
      <c r="C41" s="45">
        <v>2019</v>
      </c>
      <c r="D41" s="46" t="s">
        <v>90</v>
      </c>
      <c r="E41" s="47">
        <v>0</v>
      </c>
      <c r="F41" s="47">
        <v>0</v>
      </c>
      <c r="G41" s="47">
        <v>0</v>
      </c>
      <c r="H41" s="47">
        <v>0</v>
      </c>
      <c r="I41" s="47">
        <v>0</v>
      </c>
      <c r="J41" s="47">
        <v>0</v>
      </c>
      <c r="K41" s="47">
        <v>0</v>
      </c>
      <c r="L41" s="47">
        <v>0</v>
      </c>
      <c r="M41" s="47">
        <v>0</v>
      </c>
      <c r="N41" s="47">
        <v>0</v>
      </c>
      <c r="O41" s="47">
        <v>1873212.06</v>
      </c>
      <c r="P41" s="47">
        <v>0</v>
      </c>
      <c r="Q41" s="47">
        <v>0</v>
      </c>
      <c r="R41" s="47">
        <v>0</v>
      </c>
      <c r="S41" s="47">
        <v>0</v>
      </c>
      <c r="T41" s="47">
        <v>0</v>
      </c>
      <c r="U41" s="47">
        <v>0</v>
      </c>
      <c r="V41" s="47">
        <v>0</v>
      </c>
      <c r="W41" s="47">
        <v>0</v>
      </c>
      <c r="X41" s="47">
        <v>0</v>
      </c>
      <c r="Y41" s="48">
        <v>1873212.06</v>
      </c>
      <c r="Z41" s="58">
        <v>752505.19</v>
      </c>
      <c r="AA41" s="50">
        <v>752505.19</v>
      </c>
      <c r="AB41" s="50">
        <v>0</v>
      </c>
      <c r="AC41" s="50">
        <v>3839.28</v>
      </c>
      <c r="AD41" s="50">
        <v>16305.75</v>
      </c>
      <c r="AE41" s="50">
        <v>0</v>
      </c>
      <c r="AF41" s="50">
        <v>0</v>
      </c>
      <c r="AG41" s="49">
        <v>772650.22</v>
      </c>
      <c r="AH41" s="51" t="s">
        <v>104</v>
      </c>
      <c r="AI41" s="51" t="s">
        <v>74</v>
      </c>
      <c r="AJ41" s="51" t="s">
        <v>149</v>
      </c>
      <c r="AK41" s="51" t="s">
        <v>150</v>
      </c>
      <c r="AL41" s="51" t="s">
        <v>74</v>
      </c>
      <c r="AM41" s="51" t="s">
        <v>74</v>
      </c>
      <c r="AN41" s="52"/>
      <c r="AO41" s="52"/>
      <c r="AP41" s="52"/>
      <c r="AQ41" s="52"/>
      <c r="AR41" s="52"/>
      <c r="AS41" s="52">
        <v>0</v>
      </c>
      <c r="AT41" s="53" t="s">
        <v>74</v>
      </c>
      <c r="AU41" s="52">
        <v>17974.650000000001</v>
      </c>
      <c r="AV41" s="52"/>
      <c r="AW41" s="52">
        <v>0</v>
      </c>
      <c r="AX41" s="52"/>
      <c r="AY41" s="52"/>
      <c r="AZ41" s="52">
        <v>0</v>
      </c>
      <c r="BA41" s="52">
        <v>17974.650000000001</v>
      </c>
      <c r="BB41" s="55" t="s">
        <v>151</v>
      </c>
      <c r="BC41" s="51" t="s">
        <v>74</v>
      </c>
      <c r="BD41" s="54" t="s">
        <v>74</v>
      </c>
      <c r="BE41" s="54" t="s">
        <v>74</v>
      </c>
      <c r="BF41" s="54" t="s">
        <v>74</v>
      </c>
      <c r="BG41" s="54" t="s">
        <v>74</v>
      </c>
      <c r="BH41" s="52">
        <v>17974.650000000001</v>
      </c>
      <c r="BI41" s="52">
        <v>1118536.49</v>
      </c>
      <c r="BJ41" s="52">
        <v>1100561.8400000001</v>
      </c>
      <c r="BK41" s="56">
        <v>43770</v>
      </c>
      <c r="BL41" s="57">
        <v>1118536.49</v>
      </c>
      <c r="BM41" s="47">
        <v>0</v>
      </c>
      <c r="BN41" s="9"/>
      <c r="BO41" s="9"/>
      <c r="BP41" s="9"/>
      <c r="BQ41" s="9"/>
      <c r="BR41" s="9"/>
      <c r="BS41" s="9"/>
      <c r="BT41" s="9"/>
      <c r="BU41" s="9"/>
      <c r="BV41" s="9"/>
      <c r="BW41" s="9"/>
    </row>
    <row r="42" spans="1:75" ht="64.5" hidden="1" outlineLevel="2" x14ac:dyDescent="0.25">
      <c r="A42" s="43" t="s">
        <v>71</v>
      </c>
      <c r="B42" s="44" t="s">
        <v>72</v>
      </c>
      <c r="C42" s="45">
        <v>2019</v>
      </c>
      <c r="D42" s="46" t="s">
        <v>93</v>
      </c>
      <c r="E42" s="47">
        <v>0</v>
      </c>
      <c r="F42" s="47">
        <v>0</v>
      </c>
      <c r="G42" s="47">
        <v>0</v>
      </c>
      <c r="H42" s="47">
        <v>0</v>
      </c>
      <c r="I42" s="47">
        <v>0</v>
      </c>
      <c r="J42" s="47">
        <v>0</v>
      </c>
      <c r="K42" s="47">
        <v>0</v>
      </c>
      <c r="L42" s="47">
        <v>0</v>
      </c>
      <c r="M42" s="47">
        <v>0</v>
      </c>
      <c r="N42" s="47">
        <v>0</v>
      </c>
      <c r="O42" s="47">
        <v>1873212.06</v>
      </c>
      <c r="P42" s="47">
        <v>0</v>
      </c>
      <c r="Q42" s="47">
        <v>0</v>
      </c>
      <c r="R42" s="47">
        <v>0</v>
      </c>
      <c r="S42" s="47">
        <v>0</v>
      </c>
      <c r="T42" s="47">
        <v>0</v>
      </c>
      <c r="U42" s="47">
        <v>0</v>
      </c>
      <c r="V42" s="47">
        <v>0</v>
      </c>
      <c r="W42" s="47">
        <v>0</v>
      </c>
      <c r="X42" s="47">
        <v>0</v>
      </c>
      <c r="Y42" s="48">
        <v>1873212.06</v>
      </c>
      <c r="Z42" s="58">
        <v>713993.97</v>
      </c>
      <c r="AA42" s="50">
        <v>713993.97</v>
      </c>
      <c r="AB42" s="50">
        <v>0</v>
      </c>
      <c r="AC42" s="50">
        <v>7858.2</v>
      </c>
      <c r="AD42" s="50">
        <v>31726.77</v>
      </c>
      <c r="AE42" s="50">
        <v>0</v>
      </c>
      <c r="AF42" s="50">
        <v>0</v>
      </c>
      <c r="AG42" s="49">
        <v>753578.94</v>
      </c>
      <c r="AH42" s="51" t="s">
        <v>104</v>
      </c>
      <c r="AI42" s="51" t="s">
        <v>74</v>
      </c>
      <c r="AJ42" s="51" t="s">
        <v>152</v>
      </c>
      <c r="AK42" s="51" t="s">
        <v>153</v>
      </c>
      <c r="AL42" s="51" t="s">
        <v>74</v>
      </c>
      <c r="AM42" s="51" t="s">
        <v>74</v>
      </c>
      <c r="AN42" s="52">
        <v>0</v>
      </c>
      <c r="AO42" s="52">
        <v>7445.19</v>
      </c>
      <c r="AP42" s="52">
        <v>0</v>
      </c>
      <c r="AQ42" s="52">
        <v>0</v>
      </c>
      <c r="AR42" s="52">
        <v>0</v>
      </c>
      <c r="AS42" s="52">
        <v>7445.19</v>
      </c>
      <c r="AT42" s="51" t="s">
        <v>154</v>
      </c>
      <c r="AU42" s="59">
        <v>1508.97</v>
      </c>
      <c r="AV42" s="52"/>
      <c r="AW42" s="52">
        <v>0</v>
      </c>
      <c r="AX42" s="52"/>
      <c r="AY42" s="52"/>
      <c r="AZ42" s="52">
        <v>0</v>
      </c>
      <c r="BA42" s="52">
        <v>1508.97</v>
      </c>
      <c r="BB42" s="55" t="s">
        <v>155</v>
      </c>
      <c r="BC42" s="51" t="s">
        <v>74</v>
      </c>
      <c r="BD42" s="54" t="s">
        <v>74</v>
      </c>
      <c r="BE42" s="54" t="s">
        <v>74</v>
      </c>
      <c r="BF42" s="54" t="s">
        <v>74</v>
      </c>
      <c r="BG42" s="54" t="s">
        <v>74</v>
      </c>
      <c r="BH42" s="52">
        <v>8954.16</v>
      </c>
      <c r="BI42" s="52">
        <v>1128587.28</v>
      </c>
      <c r="BJ42" s="52">
        <v>1127078.31</v>
      </c>
      <c r="BK42" s="56">
        <v>43800</v>
      </c>
      <c r="BL42" s="57">
        <v>1128587.28</v>
      </c>
      <c r="BM42" s="47">
        <v>0</v>
      </c>
      <c r="BN42" s="9"/>
      <c r="BO42" s="9"/>
      <c r="BP42" s="9"/>
      <c r="BQ42" s="9"/>
      <c r="BR42" s="9"/>
      <c r="BS42" s="9"/>
      <c r="BT42" s="9"/>
      <c r="BU42" s="9"/>
      <c r="BV42" s="9"/>
      <c r="BW42" s="9"/>
    </row>
    <row r="43" spans="1:75" ht="26.25" hidden="1" outlineLevel="2" x14ac:dyDescent="0.25">
      <c r="A43" s="43" t="s">
        <v>71</v>
      </c>
      <c r="B43" s="44" t="s">
        <v>72</v>
      </c>
      <c r="C43" s="45">
        <v>2020</v>
      </c>
      <c r="D43" s="46" t="s">
        <v>73</v>
      </c>
      <c r="E43" s="47">
        <v>0</v>
      </c>
      <c r="F43" s="47">
        <v>0</v>
      </c>
      <c r="G43" s="47">
        <v>0</v>
      </c>
      <c r="H43" s="47">
        <v>0</v>
      </c>
      <c r="I43" s="47">
        <v>0</v>
      </c>
      <c r="J43" s="47">
        <v>0</v>
      </c>
      <c r="K43" s="47">
        <v>0</v>
      </c>
      <c r="L43" s="47">
        <v>0</v>
      </c>
      <c r="M43" s="47">
        <v>0</v>
      </c>
      <c r="N43" s="47">
        <v>0</v>
      </c>
      <c r="O43" s="47">
        <v>1873212.06</v>
      </c>
      <c r="P43" s="47">
        <v>0</v>
      </c>
      <c r="Q43" s="47">
        <v>0</v>
      </c>
      <c r="R43" s="47">
        <v>0</v>
      </c>
      <c r="S43" s="47">
        <v>0</v>
      </c>
      <c r="T43" s="47">
        <v>0</v>
      </c>
      <c r="U43" s="47">
        <v>0</v>
      </c>
      <c r="V43" s="47">
        <v>0</v>
      </c>
      <c r="W43" s="47">
        <v>0</v>
      </c>
      <c r="X43" s="47">
        <v>0</v>
      </c>
      <c r="Y43" s="48">
        <v>1873212.06</v>
      </c>
      <c r="Z43" s="58">
        <v>683619.36</v>
      </c>
      <c r="AA43" s="50">
        <v>683619.36</v>
      </c>
      <c r="AB43" s="50">
        <v>0</v>
      </c>
      <c r="AC43" s="50">
        <v>3626.14</v>
      </c>
      <c r="AD43" s="50">
        <v>13172.63</v>
      </c>
      <c r="AE43" s="50">
        <v>0</v>
      </c>
      <c r="AF43" s="50">
        <v>0</v>
      </c>
      <c r="AG43" s="49">
        <v>700418.13</v>
      </c>
      <c r="AH43" s="51" t="s">
        <v>104</v>
      </c>
      <c r="AI43" s="51" t="s">
        <v>74</v>
      </c>
      <c r="AJ43" s="51" t="s">
        <v>156</v>
      </c>
      <c r="AK43" s="51" t="s">
        <v>157</v>
      </c>
      <c r="AL43" s="51" t="s">
        <v>74</v>
      </c>
      <c r="AM43" s="51" t="s">
        <v>74</v>
      </c>
      <c r="AN43" s="52">
        <v>0</v>
      </c>
      <c r="AO43" s="52">
        <v>0</v>
      </c>
      <c r="AP43" s="52">
        <v>0</v>
      </c>
      <c r="AQ43" s="52">
        <v>0</v>
      </c>
      <c r="AR43" s="52">
        <v>0</v>
      </c>
      <c r="AS43" s="52">
        <v>0</v>
      </c>
      <c r="AT43" s="53" t="s">
        <v>74</v>
      </c>
      <c r="AU43" s="52">
        <v>0</v>
      </c>
      <c r="AV43" s="52"/>
      <c r="AW43" s="52">
        <v>0</v>
      </c>
      <c r="AX43" s="52"/>
      <c r="AY43" s="52"/>
      <c r="AZ43" s="52">
        <v>0</v>
      </c>
      <c r="BA43" s="52">
        <v>0</v>
      </c>
      <c r="BB43" s="54" t="s">
        <v>74</v>
      </c>
      <c r="BC43" s="53" t="s">
        <v>74</v>
      </c>
      <c r="BD43" s="55" t="s">
        <v>74</v>
      </c>
      <c r="BE43" s="55" t="s">
        <v>74</v>
      </c>
      <c r="BF43" s="55" t="s">
        <v>74</v>
      </c>
      <c r="BG43" s="55" t="s">
        <v>74</v>
      </c>
      <c r="BH43" s="52">
        <v>0</v>
      </c>
      <c r="BI43" s="52">
        <v>1172793.93</v>
      </c>
      <c r="BJ43" s="52">
        <v>1172793.93</v>
      </c>
      <c r="BK43" s="56">
        <v>43831</v>
      </c>
      <c r="BL43" s="57">
        <v>1172793.93</v>
      </c>
      <c r="BM43" s="47">
        <v>0</v>
      </c>
      <c r="BN43" s="9"/>
      <c r="BO43" s="9"/>
      <c r="BP43" s="9"/>
      <c r="BQ43" s="9"/>
      <c r="BR43" s="9"/>
      <c r="BS43" s="9"/>
      <c r="BT43" s="9"/>
      <c r="BU43" s="9"/>
      <c r="BV43" s="9"/>
      <c r="BW43" s="9"/>
    </row>
    <row r="44" spans="1:75" ht="26.25" hidden="1" outlineLevel="2" x14ac:dyDescent="0.25">
      <c r="A44" s="43" t="s">
        <v>71</v>
      </c>
      <c r="B44" s="44" t="s">
        <v>72</v>
      </c>
      <c r="C44" s="45">
        <v>2020</v>
      </c>
      <c r="D44" s="46" t="s">
        <v>75</v>
      </c>
      <c r="E44" s="47">
        <v>0</v>
      </c>
      <c r="F44" s="47">
        <v>0</v>
      </c>
      <c r="G44" s="47">
        <v>0</v>
      </c>
      <c r="H44" s="47">
        <v>0</v>
      </c>
      <c r="I44" s="47">
        <v>0</v>
      </c>
      <c r="J44" s="47">
        <v>0</v>
      </c>
      <c r="K44" s="47">
        <v>0</v>
      </c>
      <c r="L44" s="47">
        <v>0</v>
      </c>
      <c r="M44" s="47">
        <v>0</v>
      </c>
      <c r="N44" s="47">
        <v>0</v>
      </c>
      <c r="O44" s="47">
        <v>1873212.06</v>
      </c>
      <c r="P44" s="47">
        <v>0</v>
      </c>
      <c r="Q44" s="47">
        <v>0</v>
      </c>
      <c r="R44" s="47">
        <v>0</v>
      </c>
      <c r="S44" s="47">
        <v>0</v>
      </c>
      <c r="T44" s="47">
        <v>0</v>
      </c>
      <c r="U44" s="47">
        <v>0</v>
      </c>
      <c r="V44" s="47">
        <v>0</v>
      </c>
      <c r="W44" s="47">
        <v>0</v>
      </c>
      <c r="X44" s="47">
        <v>0</v>
      </c>
      <c r="Y44" s="48">
        <v>1873212.06</v>
      </c>
      <c r="Z44" s="58">
        <v>677252.49</v>
      </c>
      <c r="AA44" s="50">
        <v>677252.49</v>
      </c>
      <c r="AB44" s="50">
        <v>0</v>
      </c>
      <c r="AC44" s="50">
        <v>0</v>
      </c>
      <c r="AD44" s="50">
        <v>13656.65</v>
      </c>
      <c r="AE44" s="50">
        <v>0</v>
      </c>
      <c r="AF44" s="50">
        <v>0</v>
      </c>
      <c r="AG44" s="49">
        <v>690909.14</v>
      </c>
      <c r="AH44" s="51" t="s">
        <v>104</v>
      </c>
      <c r="AI44" s="51" t="s">
        <v>74</v>
      </c>
      <c r="AJ44" s="51" t="s">
        <v>74</v>
      </c>
      <c r="AK44" s="51" t="s">
        <v>158</v>
      </c>
      <c r="AL44" s="51" t="s">
        <v>74</v>
      </c>
      <c r="AM44" s="51" t="s">
        <v>74</v>
      </c>
      <c r="AN44" s="52">
        <v>0</v>
      </c>
      <c r="AO44" s="52">
        <v>0</v>
      </c>
      <c r="AP44" s="52">
        <v>0</v>
      </c>
      <c r="AQ44" s="52">
        <v>0</v>
      </c>
      <c r="AR44" s="52">
        <v>0</v>
      </c>
      <c r="AS44" s="52">
        <v>0</v>
      </c>
      <c r="AT44" s="53" t="s">
        <v>74</v>
      </c>
      <c r="AU44" s="52">
        <v>0</v>
      </c>
      <c r="AV44" s="52"/>
      <c r="AW44" s="52">
        <v>0</v>
      </c>
      <c r="AX44" s="52"/>
      <c r="AY44" s="52"/>
      <c r="AZ44" s="52">
        <v>0</v>
      </c>
      <c r="BA44" s="52">
        <v>0</v>
      </c>
      <c r="BB44" s="54" t="s">
        <v>74</v>
      </c>
      <c r="BC44" s="53" t="s">
        <v>74</v>
      </c>
      <c r="BD44" s="55" t="s">
        <v>74</v>
      </c>
      <c r="BE44" s="55" t="s">
        <v>74</v>
      </c>
      <c r="BF44" s="55" t="s">
        <v>74</v>
      </c>
      <c r="BG44" s="55" t="s">
        <v>74</v>
      </c>
      <c r="BH44" s="52">
        <v>0</v>
      </c>
      <c r="BI44" s="52">
        <v>1182302.92</v>
      </c>
      <c r="BJ44" s="52">
        <v>985575.08</v>
      </c>
      <c r="BK44" s="56">
        <v>43862</v>
      </c>
      <c r="BL44" s="57">
        <v>1182302.92</v>
      </c>
      <c r="BM44" s="47">
        <v>0</v>
      </c>
      <c r="BN44" s="9"/>
      <c r="BO44" s="9"/>
      <c r="BP44" s="9"/>
      <c r="BQ44" s="9"/>
      <c r="BR44" s="9"/>
      <c r="BS44" s="9"/>
      <c r="BT44" s="9"/>
      <c r="BU44" s="9"/>
      <c r="BV44" s="9"/>
      <c r="BW44" s="9"/>
    </row>
    <row r="45" spans="1:75" ht="128.25" hidden="1" outlineLevel="2" x14ac:dyDescent="0.25">
      <c r="A45" s="43" t="s">
        <v>71</v>
      </c>
      <c r="B45" s="44" t="s">
        <v>72</v>
      </c>
      <c r="C45" s="45">
        <v>2020</v>
      </c>
      <c r="D45" s="46" t="s">
        <v>77</v>
      </c>
      <c r="E45" s="47">
        <v>0</v>
      </c>
      <c r="F45" s="47">
        <v>0</v>
      </c>
      <c r="G45" s="47">
        <v>0</v>
      </c>
      <c r="H45" s="47">
        <v>0</v>
      </c>
      <c r="I45" s="47">
        <v>0</v>
      </c>
      <c r="J45" s="47">
        <v>0</v>
      </c>
      <c r="K45" s="47">
        <v>0</v>
      </c>
      <c r="L45" s="47">
        <v>0</v>
      </c>
      <c r="M45" s="47">
        <v>0</v>
      </c>
      <c r="N45" s="47">
        <v>0</v>
      </c>
      <c r="O45" s="47">
        <v>1685890.76</v>
      </c>
      <c r="P45" s="47">
        <v>190189.81</v>
      </c>
      <c r="Q45" s="47">
        <v>0</v>
      </c>
      <c r="R45" s="47">
        <v>0</v>
      </c>
      <c r="S45" s="47">
        <v>0</v>
      </c>
      <c r="T45" s="47">
        <v>0</v>
      </c>
      <c r="U45" s="47">
        <v>0</v>
      </c>
      <c r="V45" s="47">
        <v>0</v>
      </c>
      <c r="W45" s="47">
        <v>0</v>
      </c>
      <c r="X45" s="47">
        <v>0</v>
      </c>
      <c r="Y45" s="48">
        <v>1876080.57</v>
      </c>
      <c r="Z45" s="58">
        <v>693445.45</v>
      </c>
      <c r="AA45" s="50">
        <v>693445.45</v>
      </c>
      <c r="AB45" s="50">
        <v>0</v>
      </c>
      <c r="AC45" s="50">
        <v>0</v>
      </c>
      <c r="AD45" s="50">
        <v>12505.5</v>
      </c>
      <c r="AE45" s="50">
        <v>0</v>
      </c>
      <c r="AF45" s="50">
        <v>0</v>
      </c>
      <c r="AG45" s="49">
        <v>705950.95</v>
      </c>
      <c r="AH45" s="51" t="s">
        <v>104</v>
      </c>
      <c r="AI45" s="51" t="s">
        <v>74</v>
      </c>
      <c r="AJ45" s="51" t="s">
        <v>74</v>
      </c>
      <c r="AK45" s="51" t="s">
        <v>159</v>
      </c>
      <c r="AL45" s="51" t="s">
        <v>74</v>
      </c>
      <c r="AM45" s="51" t="s">
        <v>74</v>
      </c>
      <c r="AN45" s="52"/>
      <c r="AO45" s="52"/>
      <c r="AP45" s="52"/>
      <c r="AQ45" s="52"/>
      <c r="AR45" s="52"/>
      <c r="AS45" s="52">
        <v>0</v>
      </c>
      <c r="AT45" s="53" t="s">
        <v>74</v>
      </c>
      <c r="AU45" s="52">
        <v>42030.06</v>
      </c>
      <c r="AV45" s="52"/>
      <c r="AW45" s="52">
        <v>0</v>
      </c>
      <c r="AX45" s="52"/>
      <c r="AY45" s="52"/>
      <c r="AZ45" s="52">
        <v>0</v>
      </c>
      <c r="BA45" s="52">
        <v>42030.06</v>
      </c>
      <c r="BB45" s="55" t="s">
        <v>160</v>
      </c>
      <c r="BC45" s="51" t="s">
        <v>74</v>
      </c>
      <c r="BD45" s="54" t="s">
        <v>74</v>
      </c>
      <c r="BE45" s="54" t="s">
        <v>74</v>
      </c>
      <c r="BF45" s="54" t="s">
        <v>74</v>
      </c>
      <c r="BG45" s="54" t="s">
        <v>74</v>
      </c>
      <c r="BH45" s="52">
        <v>42030.06</v>
      </c>
      <c r="BI45" s="52">
        <v>1212159.68</v>
      </c>
      <c r="BJ45" s="52">
        <v>1170129.6200000001</v>
      </c>
      <c r="BK45" s="56">
        <v>43891</v>
      </c>
      <c r="BL45" s="57">
        <v>1212159.68</v>
      </c>
      <c r="BM45" s="47">
        <v>0</v>
      </c>
      <c r="BN45" s="9"/>
      <c r="BO45" s="9"/>
      <c r="BP45" s="9"/>
      <c r="BQ45" s="9"/>
      <c r="BR45" s="9"/>
      <c r="BS45" s="9"/>
      <c r="BT45" s="9"/>
      <c r="BU45" s="9"/>
      <c r="BV45" s="9"/>
      <c r="BW45" s="9"/>
    </row>
    <row r="46" spans="1:75" ht="26.25" hidden="1" outlineLevel="2" x14ac:dyDescent="0.25">
      <c r="A46" s="43" t="s">
        <v>71</v>
      </c>
      <c r="B46" s="44" t="s">
        <v>72</v>
      </c>
      <c r="C46" s="45">
        <v>2020</v>
      </c>
      <c r="D46" s="46" t="s">
        <v>79</v>
      </c>
      <c r="E46" s="47">
        <v>0</v>
      </c>
      <c r="F46" s="47">
        <v>0</v>
      </c>
      <c r="G46" s="47">
        <v>0</v>
      </c>
      <c r="H46" s="47">
        <v>0</v>
      </c>
      <c r="I46" s="47">
        <v>0</v>
      </c>
      <c r="J46" s="47">
        <v>0</v>
      </c>
      <c r="K46" s="47">
        <v>0</v>
      </c>
      <c r="L46" s="47">
        <v>0</v>
      </c>
      <c r="M46" s="47">
        <v>0</v>
      </c>
      <c r="N46" s="47">
        <v>0</v>
      </c>
      <c r="O46" s="47">
        <v>0</v>
      </c>
      <c r="P46" s="47">
        <v>1901898.09</v>
      </c>
      <c r="Q46" s="47">
        <v>0</v>
      </c>
      <c r="R46" s="47">
        <v>0</v>
      </c>
      <c r="S46" s="47">
        <v>0</v>
      </c>
      <c r="T46" s="47">
        <v>0</v>
      </c>
      <c r="U46" s="47">
        <v>0</v>
      </c>
      <c r="V46" s="47">
        <v>0</v>
      </c>
      <c r="W46" s="47">
        <v>0</v>
      </c>
      <c r="X46" s="47">
        <v>0</v>
      </c>
      <c r="Y46" s="48">
        <v>1901898.09</v>
      </c>
      <c r="Z46" s="58">
        <v>633681.09</v>
      </c>
      <c r="AA46" s="50">
        <v>633681.09</v>
      </c>
      <c r="AB46" s="50">
        <v>0</v>
      </c>
      <c r="AC46" s="50">
        <v>0</v>
      </c>
      <c r="AD46" s="50">
        <v>11788.91</v>
      </c>
      <c r="AE46" s="50">
        <v>0</v>
      </c>
      <c r="AF46" s="50">
        <v>0</v>
      </c>
      <c r="AG46" s="49">
        <v>645470</v>
      </c>
      <c r="AH46" s="51" t="s">
        <v>104</v>
      </c>
      <c r="AI46" s="51" t="s">
        <v>74</v>
      </c>
      <c r="AJ46" s="51" t="s">
        <v>74</v>
      </c>
      <c r="AK46" s="51" t="s">
        <v>161</v>
      </c>
      <c r="AL46" s="51" t="s">
        <v>74</v>
      </c>
      <c r="AM46" s="51" t="s">
        <v>74</v>
      </c>
      <c r="AN46" s="52">
        <v>0</v>
      </c>
      <c r="AO46" s="52">
        <v>0</v>
      </c>
      <c r="AP46" s="52">
        <v>0</v>
      </c>
      <c r="AQ46" s="52">
        <v>0</v>
      </c>
      <c r="AR46" s="52">
        <v>0</v>
      </c>
      <c r="AS46" s="52">
        <v>0</v>
      </c>
      <c r="AT46" s="53" t="s">
        <v>74</v>
      </c>
      <c r="AU46" s="52">
        <v>0</v>
      </c>
      <c r="AV46" s="52"/>
      <c r="AW46" s="52">
        <v>0</v>
      </c>
      <c r="AX46" s="52"/>
      <c r="AY46" s="52"/>
      <c r="AZ46" s="52">
        <v>0</v>
      </c>
      <c r="BA46" s="52">
        <v>0</v>
      </c>
      <c r="BB46" s="54" t="s">
        <v>74</v>
      </c>
      <c r="BC46" s="53" t="s">
        <v>74</v>
      </c>
      <c r="BD46" s="55" t="s">
        <v>74</v>
      </c>
      <c r="BE46" s="55" t="s">
        <v>74</v>
      </c>
      <c r="BF46" s="55" t="s">
        <v>74</v>
      </c>
      <c r="BG46" s="55" t="s">
        <v>74</v>
      </c>
      <c r="BH46" s="52">
        <v>0</v>
      </c>
      <c r="BI46" s="52">
        <v>1256428.0900000001</v>
      </c>
      <c r="BJ46" s="52">
        <v>1256428.0900000001</v>
      </c>
      <c r="BK46" s="56">
        <v>43922</v>
      </c>
      <c r="BL46" s="57">
        <v>1256428.0900000001</v>
      </c>
      <c r="BM46" s="47">
        <v>0</v>
      </c>
      <c r="BN46" s="9"/>
      <c r="BO46" s="9"/>
      <c r="BP46" s="9"/>
      <c r="BQ46" s="9"/>
      <c r="BR46" s="9"/>
      <c r="BS46" s="9"/>
      <c r="BT46" s="9"/>
      <c r="BU46" s="9"/>
      <c r="BV46" s="9"/>
      <c r="BW46" s="9"/>
    </row>
    <row r="47" spans="1:75" ht="26.25" hidden="1" outlineLevel="2" x14ac:dyDescent="0.25">
      <c r="A47" s="43" t="s">
        <v>71</v>
      </c>
      <c r="B47" s="44" t="s">
        <v>72</v>
      </c>
      <c r="C47" s="45">
        <v>2020</v>
      </c>
      <c r="D47" s="46" t="s">
        <v>81</v>
      </c>
      <c r="E47" s="47">
        <v>0</v>
      </c>
      <c r="F47" s="47">
        <v>0</v>
      </c>
      <c r="G47" s="47">
        <v>0</v>
      </c>
      <c r="H47" s="47">
        <v>0</v>
      </c>
      <c r="I47" s="47">
        <v>0</v>
      </c>
      <c r="J47" s="47">
        <v>0</v>
      </c>
      <c r="K47" s="47">
        <v>0</v>
      </c>
      <c r="L47" s="47">
        <v>0</v>
      </c>
      <c r="M47" s="47">
        <v>0</v>
      </c>
      <c r="N47" s="47">
        <v>0</v>
      </c>
      <c r="O47" s="47">
        <v>0</v>
      </c>
      <c r="P47" s="47">
        <v>1901898.09</v>
      </c>
      <c r="Q47" s="47">
        <v>0</v>
      </c>
      <c r="R47" s="47">
        <v>0</v>
      </c>
      <c r="S47" s="47">
        <v>0</v>
      </c>
      <c r="T47" s="47">
        <v>0</v>
      </c>
      <c r="U47" s="47">
        <v>0</v>
      </c>
      <c r="V47" s="47">
        <v>0</v>
      </c>
      <c r="W47" s="47">
        <v>0</v>
      </c>
      <c r="X47" s="47">
        <v>0</v>
      </c>
      <c r="Y47" s="48">
        <v>1901898.09</v>
      </c>
      <c r="Z47" s="60">
        <v>656799.18999999994</v>
      </c>
      <c r="AA47" s="61">
        <v>656799.18999999994</v>
      </c>
      <c r="AB47" s="50">
        <v>0</v>
      </c>
      <c r="AC47" s="50">
        <v>0</v>
      </c>
      <c r="AD47" s="50">
        <v>10738.2</v>
      </c>
      <c r="AE47" s="50">
        <v>0</v>
      </c>
      <c r="AF47" s="50">
        <v>0</v>
      </c>
      <c r="AG47" s="49">
        <v>667537.39</v>
      </c>
      <c r="AH47" s="51" t="s">
        <v>104</v>
      </c>
      <c r="AI47" s="51" t="s">
        <v>74</v>
      </c>
      <c r="AJ47" s="51" t="s">
        <v>74</v>
      </c>
      <c r="AK47" s="51" t="s">
        <v>162</v>
      </c>
      <c r="AL47" s="51" t="s">
        <v>74</v>
      </c>
      <c r="AM47" s="51" t="s">
        <v>74</v>
      </c>
      <c r="AN47" s="52">
        <v>0</v>
      </c>
      <c r="AO47" s="52">
        <v>0</v>
      </c>
      <c r="AP47" s="52">
        <v>0</v>
      </c>
      <c r="AQ47" s="52">
        <v>0</v>
      </c>
      <c r="AR47" s="52">
        <v>0</v>
      </c>
      <c r="AS47" s="52">
        <v>0</v>
      </c>
      <c r="AT47" s="53" t="s">
        <v>74</v>
      </c>
      <c r="AU47" s="52">
        <v>0</v>
      </c>
      <c r="AV47" s="52"/>
      <c r="AW47" s="52">
        <v>0</v>
      </c>
      <c r="AX47" s="52"/>
      <c r="AY47" s="52"/>
      <c r="AZ47" s="52">
        <v>0</v>
      </c>
      <c r="BA47" s="52">
        <v>0</v>
      </c>
      <c r="BB47" s="54" t="s">
        <v>74</v>
      </c>
      <c r="BC47" s="53" t="s">
        <v>74</v>
      </c>
      <c r="BD47" s="55" t="s">
        <v>74</v>
      </c>
      <c r="BE47" s="55" t="s">
        <v>74</v>
      </c>
      <c r="BF47" s="55" t="s">
        <v>74</v>
      </c>
      <c r="BG47" s="55" t="s">
        <v>74</v>
      </c>
      <c r="BH47" s="52">
        <v>0</v>
      </c>
      <c r="BI47" s="52">
        <v>1234360.7</v>
      </c>
      <c r="BJ47" s="52">
        <v>1234360.7</v>
      </c>
      <c r="BK47" s="56">
        <v>43952</v>
      </c>
      <c r="BL47" s="57">
        <v>1234360.7</v>
      </c>
      <c r="BM47" s="47">
        <v>0</v>
      </c>
      <c r="BN47" s="9"/>
      <c r="BO47" s="9"/>
      <c r="BP47" s="9"/>
      <c r="BQ47" s="9"/>
      <c r="BR47" s="9"/>
      <c r="BS47" s="9"/>
      <c r="BT47" s="9"/>
      <c r="BU47" s="9"/>
      <c r="BV47" s="9"/>
      <c r="BW47" s="9"/>
    </row>
    <row r="48" spans="1:75" ht="26.25" hidden="1" outlineLevel="2" x14ac:dyDescent="0.25">
      <c r="A48" s="43" t="s">
        <v>71</v>
      </c>
      <c r="B48" s="44" t="s">
        <v>72</v>
      </c>
      <c r="C48" s="45">
        <v>2020</v>
      </c>
      <c r="D48" s="46" t="s">
        <v>83</v>
      </c>
      <c r="E48" s="47">
        <v>0</v>
      </c>
      <c r="F48" s="47">
        <v>0</v>
      </c>
      <c r="G48" s="47">
        <v>0</v>
      </c>
      <c r="H48" s="47">
        <v>0</v>
      </c>
      <c r="I48" s="47">
        <v>0</v>
      </c>
      <c r="J48" s="47">
        <v>0</v>
      </c>
      <c r="K48" s="47">
        <v>0</v>
      </c>
      <c r="L48" s="47">
        <v>0</v>
      </c>
      <c r="M48" s="47">
        <v>0</v>
      </c>
      <c r="N48" s="47">
        <v>0</v>
      </c>
      <c r="O48" s="47">
        <v>0</v>
      </c>
      <c r="P48" s="47">
        <v>1901898.09</v>
      </c>
      <c r="Q48" s="47">
        <v>0</v>
      </c>
      <c r="R48" s="47">
        <v>0</v>
      </c>
      <c r="S48" s="47">
        <v>0</v>
      </c>
      <c r="T48" s="47">
        <v>0</v>
      </c>
      <c r="U48" s="47">
        <v>0</v>
      </c>
      <c r="V48" s="47">
        <v>0</v>
      </c>
      <c r="W48" s="47">
        <v>0</v>
      </c>
      <c r="X48" s="47">
        <v>0</v>
      </c>
      <c r="Y48" s="48">
        <v>1901898.09</v>
      </c>
      <c r="Z48" s="58">
        <v>646047.89</v>
      </c>
      <c r="AA48" s="50">
        <v>646047.89</v>
      </c>
      <c r="AB48" s="50">
        <v>0</v>
      </c>
      <c r="AC48" s="50">
        <v>0</v>
      </c>
      <c r="AD48" s="62">
        <v>8090.39</v>
      </c>
      <c r="AE48" s="50">
        <v>0</v>
      </c>
      <c r="AF48" s="50">
        <v>0</v>
      </c>
      <c r="AG48" s="49">
        <v>654138.28</v>
      </c>
      <c r="AH48" s="51" t="s">
        <v>104</v>
      </c>
      <c r="AI48" s="51" t="s">
        <v>74</v>
      </c>
      <c r="AJ48" s="51" t="s">
        <v>74</v>
      </c>
      <c r="AK48" s="51" t="s">
        <v>163</v>
      </c>
      <c r="AL48" s="51" t="s">
        <v>74</v>
      </c>
      <c r="AM48" s="51" t="s">
        <v>74</v>
      </c>
      <c r="AN48" s="52">
        <v>0</v>
      </c>
      <c r="AO48" s="52">
        <v>0</v>
      </c>
      <c r="AP48" s="52">
        <v>0</v>
      </c>
      <c r="AQ48" s="52">
        <v>0</v>
      </c>
      <c r="AR48" s="52">
        <v>0</v>
      </c>
      <c r="AS48" s="52">
        <v>0</v>
      </c>
      <c r="AT48" s="53" t="s">
        <v>74</v>
      </c>
      <c r="AU48" s="52">
        <v>0</v>
      </c>
      <c r="AV48" s="52"/>
      <c r="AW48" s="52">
        <v>0</v>
      </c>
      <c r="AX48" s="52"/>
      <c r="AY48" s="52"/>
      <c r="AZ48" s="52">
        <v>0</v>
      </c>
      <c r="BA48" s="52">
        <v>0</v>
      </c>
      <c r="BB48" s="54" t="s">
        <v>74</v>
      </c>
      <c r="BC48" s="53" t="s">
        <v>74</v>
      </c>
      <c r="BD48" s="55" t="s">
        <v>74</v>
      </c>
      <c r="BE48" s="55" t="s">
        <v>74</v>
      </c>
      <c r="BF48" s="55" t="s">
        <v>74</v>
      </c>
      <c r="BG48" s="55" t="s">
        <v>74</v>
      </c>
      <c r="BH48" s="52">
        <v>0</v>
      </c>
      <c r="BI48" s="52">
        <v>1247759.81</v>
      </c>
      <c r="BJ48" s="52">
        <v>1247759.81</v>
      </c>
      <c r="BK48" s="56">
        <v>43983</v>
      </c>
      <c r="BL48" s="63">
        <v>1247759.81</v>
      </c>
      <c r="BM48" s="47">
        <v>0</v>
      </c>
      <c r="BN48" s="9"/>
      <c r="BO48" s="9"/>
      <c r="BP48" s="9"/>
      <c r="BQ48" s="9"/>
      <c r="BR48" s="9"/>
      <c r="BS48" s="9"/>
      <c r="BT48" s="9"/>
      <c r="BU48" s="9"/>
      <c r="BV48" s="9"/>
      <c r="BW48" s="9"/>
    </row>
    <row r="49" spans="1:75" ht="102.75" hidden="1" outlineLevel="2" x14ac:dyDescent="0.25">
      <c r="A49" s="43" t="s">
        <v>71</v>
      </c>
      <c r="B49" s="44" t="s">
        <v>72</v>
      </c>
      <c r="C49" s="45">
        <v>2020</v>
      </c>
      <c r="D49" s="46" t="s">
        <v>84</v>
      </c>
      <c r="E49" s="47">
        <v>0</v>
      </c>
      <c r="F49" s="47">
        <v>0</v>
      </c>
      <c r="G49" s="47">
        <v>0</v>
      </c>
      <c r="H49" s="47">
        <v>0</v>
      </c>
      <c r="I49" s="47">
        <v>0</v>
      </c>
      <c r="J49" s="47">
        <v>0</v>
      </c>
      <c r="K49" s="47">
        <v>0</v>
      </c>
      <c r="L49" s="47">
        <v>0</v>
      </c>
      <c r="M49" s="47">
        <v>0</v>
      </c>
      <c r="N49" s="47">
        <v>0</v>
      </c>
      <c r="O49" s="47">
        <v>0</v>
      </c>
      <c r="P49" s="47">
        <v>1901898.09</v>
      </c>
      <c r="Q49" s="47">
        <v>0</v>
      </c>
      <c r="R49" s="47">
        <v>0</v>
      </c>
      <c r="S49" s="47">
        <v>0</v>
      </c>
      <c r="T49" s="47">
        <v>0</v>
      </c>
      <c r="U49" s="47">
        <v>0</v>
      </c>
      <c r="V49" s="47">
        <v>0</v>
      </c>
      <c r="W49" s="47">
        <v>0</v>
      </c>
      <c r="X49" s="47">
        <v>0</v>
      </c>
      <c r="Y49" s="48">
        <v>1901898.09</v>
      </c>
      <c r="Z49" s="64">
        <v>677446.12</v>
      </c>
      <c r="AA49" s="50">
        <v>677446.12</v>
      </c>
      <c r="AB49" s="50">
        <v>0</v>
      </c>
      <c r="AC49" s="62">
        <v>3155.7</v>
      </c>
      <c r="AD49" s="62">
        <v>8147.64</v>
      </c>
      <c r="AE49" s="50">
        <v>0</v>
      </c>
      <c r="AF49" s="50">
        <v>0</v>
      </c>
      <c r="AG49" s="49">
        <v>688749.46</v>
      </c>
      <c r="AH49" s="51" t="s">
        <v>104</v>
      </c>
      <c r="AI49" s="51" t="s">
        <v>74</v>
      </c>
      <c r="AJ49" s="51" t="s">
        <v>164</v>
      </c>
      <c r="AK49" s="51" t="s">
        <v>165</v>
      </c>
      <c r="AL49" s="51" t="s">
        <v>74</v>
      </c>
      <c r="AM49" s="51" t="s">
        <v>74</v>
      </c>
      <c r="AN49" s="52"/>
      <c r="AO49" s="52"/>
      <c r="AP49" s="52"/>
      <c r="AQ49" s="52"/>
      <c r="AR49" s="52"/>
      <c r="AS49" s="52">
        <v>0</v>
      </c>
      <c r="AT49" s="53" t="s">
        <v>74</v>
      </c>
      <c r="AU49" s="52">
        <v>0</v>
      </c>
      <c r="AV49" s="52"/>
      <c r="AW49" s="59">
        <v>25910</v>
      </c>
      <c r="AX49" s="52"/>
      <c r="AY49" s="52"/>
      <c r="AZ49" s="52">
        <v>0</v>
      </c>
      <c r="BA49" s="52">
        <v>25910</v>
      </c>
      <c r="BB49" s="54" t="s">
        <v>74</v>
      </c>
      <c r="BC49" s="53" t="s">
        <v>74</v>
      </c>
      <c r="BD49" s="55" t="s">
        <v>166</v>
      </c>
      <c r="BE49" s="55" t="s">
        <v>74</v>
      </c>
      <c r="BF49" s="55" t="s">
        <v>74</v>
      </c>
      <c r="BG49" s="55" t="s">
        <v>74</v>
      </c>
      <c r="BH49" s="52">
        <v>25910</v>
      </c>
      <c r="BI49" s="52">
        <v>1239058.6299999999</v>
      </c>
      <c r="BJ49" s="52">
        <v>1213148.6299999999</v>
      </c>
      <c r="BK49" s="56">
        <v>44013</v>
      </c>
      <c r="BL49" s="63">
        <v>1239058.6299999999</v>
      </c>
      <c r="BM49" s="47">
        <v>0</v>
      </c>
      <c r="BN49" s="9"/>
      <c r="BO49" s="9"/>
      <c r="BP49" s="9"/>
      <c r="BQ49" s="9"/>
      <c r="BR49" s="9"/>
      <c r="BS49" s="9"/>
      <c r="BT49" s="9"/>
      <c r="BU49" s="9"/>
      <c r="BV49" s="9"/>
      <c r="BW49" s="9"/>
    </row>
    <row r="50" spans="1:75" ht="26.25" hidden="1" outlineLevel="2" x14ac:dyDescent="0.25">
      <c r="A50" s="43" t="s">
        <v>71</v>
      </c>
      <c r="B50" s="44" t="s">
        <v>72</v>
      </c>
      <c r="C50" s="45">
        <v>2020</v>
      </c>
      <c r="D50" s="46" t="s">
        <v>86</v>
      </c>
      <c r="E50" s="47">
        <v>0</v>
      </c>
      <c r="F50" s="47">
        <v>0</v>
      </c>
      <c r="G50" s="47">
        <v>0</v>
      </c>
      <c r="H50" s="47">
        <v>0</v>
      </c>
      <c r="I50" s="47">
        <v>0</v>
      </c>
      <c r="J50" s="47">
        <v>0</v>
      </c>
      <c r="K50" s="47">
        <v>0</v>
      </c>
      <c r="L50" s="47">
        <v>0</v>
      </c>
      <c r="M50" s="47">
        <v>0</v>
      </c>
      <c r="N50" s="47">
        <v>0</v>
      </c>
      <c r="O50" s="47">
        <v>0</v>
      </c>
      <c r="P50" s="47">
        <v>1901898.09</v>
      </c>
      <c r="Q50" s="47">
        <v>0</v>
      </c>
      <c r="R50" s="47">
        <v>0</v>
      </c>
      <c r="S50" s="47">
        <v>0</v>
      </c>
      <c r="T50" s="47">
        <v>0</v>
      </c>
      <c r="U50" s="47">
        <v>0</v>
      </c>
      <c r="V50" s="47">
        <v>0</v>
      </c>
      <c r="W50" s="47">
        <v>0</v>
      </c>
      <c r="X50" s="47">
        <v>0</v>
      </c>
      <c r="Y50" s="48">
        <v>1901898.09</v>
      </c>
      <c r="Z50" s="65">
        <v>677357.98</v>
      </c>
      <c r="AA50" s="61">
        <v>677357.98</v>
      </c>
      <c r="AB50" s="50">
        <v>0</v>
      </c>
      <c r="AC50" s="62">
        <v>3113.65</v>
      </c>
      <c r="AD50" s="62">
        <v>7364.32</v>
      </c>
      <c r="AE50" s="50">
        <v>0</v>
      </c>
      <c r="AF50" s="50">
        <v>0</v>
      </c>
      <c r="AG50" s="49">
        <v>687835.95</v>
      </c>
      <c r="AH50" s="51" t="s">
        <v>104</v>
      </c>
      <c r="AI50" s="51" t="s">
        <v>74</v>
      </c>
      <c r="AJ50" s="51" t="s">
        <v>167</v>
      </c>
      <c r="AK50" s="51" t="s">
        <v>168</v>
      </c>
      <c r="AL50" s="51" t="s">
        <v>74</v>
      </c>
      <c r="AM50" s="51" t="s">
        <v>74</v>
      </c>
      <c r="AN50" s="52">
        <v>0</v>
      </c>
      <c r="AO50" s="52">
        <v>0</v>
      </c>
      <c r="AP50" s="52">
        <v>0</v>
      </c>
      <c r="AQ50" s="52">
        <v>0</v>
      </c>
      <c r="AR50" s="52">
        <v>0</v>
      </c>
      <c r="AS50" s="52">
        <v>0</v>
      </c>
      <c r="AT50" s="53" t="s">
        <v>74</v>
      </c>
      <c r="AU50" s="52">
        <v>0</v>
      </c>
      <c r="AV50" s="52"/>
      <c r="AW50" s="52">
        <v>0</v>
      </c>
      <c r="AX50" s="52"/>
      <c r="AY50" s="52"/>
      <c r="AZ50" s="52">
        <v>0</v>
      </c>
      <c r="BA50" s="52">
        <v>0</v>
      </c>
      <c r="BB50" s="54" t="s">
        <v>74</v>
      </c>
      <c r="BC50" s="53" t="s">
        <v>74</v>
      </c>
      <c r="BD50" s="55" t="s">
        <v>74</v>
      </c>
      <c r="BE50" s="55" t="s">
        <v>74</v>
      </c>
      <c r="BF50" s="55" t="s">
        <v>74</v>
      </c>
      <c r="BG50" s="55" t="s">
        <v>74</v>
      </c>
      <c r="BH50" s="52">
        <v>0</v>
      </c>
      <c r="BI50" s="52">
        <v>1214062.1399999999</v>
      </c>
      <c r="BJ50" s="52">
        <v>1214062.1399999999</v>
      </c>
      <c r="BK50" s="56">
        <v>44044</v>
      </c>
      <c r="BL50" s="63">
        <v>1214062.1399999999</v>
      </c>
      <c r="BM50" s="47">
        <v>0</v>
      </c>
      <c r="BN50" s="9"/>
      <c r="BO50" s="9"/>
      <c r="BP50" s="9"/>
      <c r="BQ50" s="9"/>
      <c r="BR50" s="9"/>
      <c r="BS50" s="9"/>
      <c r="BT50" s="9"/>
      <c r="BU50" s="9"/>
      <c r="BV50" s="9"/>
      <c r="BW50" s="9"/>
    </row>
    <row r="51" spans="1:75" ht="26.25" hidden="1" outlineLevel="2" x14ac:dyDescent="0.25">
      <c r="A51" s="43" t="s">
        <v>71</v>
      </c>
      <c r="B51" s="44" t="s">
        <v>72</v>
      </c>
      <c r="C51" s="45">
        <v>2020</v>
      </c>
      <c r="D51" s="46" t="s">
        <v>88</v>
      </c>
      <c r="E51" s="47">
        <v>0</v>
      </c>
      <c r="F51" s="47">
        <v>0</v>
      </c>
      <c r="G51" s="47">
        <v>0</v>
      </c>
      <c r="H51" s="47">
        <v>0</v>
      </c>
      <c r="I51" s="47">
        <v>0</v>
      </c>
      <c r="J51" s="47">
        <v>0</v>
      </c>
      <c r="K51" s="47">
        <v>0</v>
      </c>
      <c r="L51" s="47">
        <v>0</v>
      </c>
      <c r="M51" s="47">
        <v>0</v>
      </c>
      <c r="N51" s="47">
        <v>0</v>
      </c>
      <c r="O51" s="47">
        <v>0</v>
      </c>
      <c r="P51" s="47">
        <v>1901898.09</v>
      </c>
      <c r="Q51" s="47">
        <v>0</v>
      </c>
      <c r="R51" s="47">
        <v>0</v>
      </c>
      <c r="S51" s="47">
        <v>0</v>
      </c>
      <c r="T51" s="47">
        <v>0</v>
      </c>
      <c r="U51" s="47">
        <v>0</v>
      </c>
      <c r="V51" s="47">
        <v>0</v>
      </c>
      <c r="W51" s="47">
        <v>0</v>
      </c>
      <c r="X51" s="47">
        <v>0</v>
      </c>
      <c r="Y51" s="48">
        <v>1901898.09</v>
      </c>
      <c r="Z51" s="66">
        <v>655918.36</v>
      </c>
      <c r="AA51" s="62">
        <v>655918.36</v>
      </c>
      <c r="AB51" s="50">
        <v>0</v>
      </c>
      <c r="AC51" s="62">
        <v>3103.8</v>
      </c>
      <c r="AD51" s="62">
        <v>8397.89</v>
      </c>
      <c r="AE51" s="50">
        <v>0</v>
      </c>
      <c r="AF51" s="50">
        <v>0</v>
      </c>
      <c r="AG51" s="49">
        <v>667420.05000000005</v>
      </c>
      <c r="AH51" s="51" t="s">
        <v>104</v>
      </c>
      <c r="AI51" s="51" t="s">
        <v>74</v>
      </c>
      <c r="AJ51" s="51" t="s">
        <v>169</v>
      </c>
      <c r="AK51" s="51" t="s">
        <v>170</v>
      </c>
      <c r="AL51" s="51" t="s">
        <v>74</v>
      </c>
      <c r="AM51" s="51" t="s">
        <v>74</v>
      </c>
      <c r="AN51" s="52">
        <v>0</v>
      </c>
      <c r="AO51" s="52">
        <v>0</v>
      </c>
      <c r="AP51" s="52">
        <v>0</v>
      </c>
      <c r="AQ51" s="52">
        <v>0</v>
      </c>
      <c r="AR51" s="52">
        <v>0</v>
      </c>
      <c r="AS51" s="52">
        <v>0</v>
      </c>
      <c r="AT51" s="53" t="s">
        <v>74</v>
      </c>
      <c r="AU51" s="52">
        <v>0</v>
      </c>
      <c r="AV51" s="52"/>
      <c r="AW51" s="52">
        <v>0</v>
      </c>
      <c r="AX51" s="52"/>
      <c r="AY51" s="52"/>
      <c r="AZ51" s="52">
        <v>0</v>
      </c>
      <c r="BA51" s="52">
        <v>0</v>
      </c>
      <c r="BB51" s="54" t="s">
        <v>74</v>
      </c>
      <c r="BC51" s="53" t="s">
        <v>74</v>
      </c>
      <c r="BD51" s="55" t="s">
        <v>74</v>
      </c>
      <c r="BE51" s="55" t="s">
        <v>74</v>
      </c>
      <c r="BF51" s="55" t="s">
        <v>74</v>
      </c>
      <c r="BG51" s="55" t="s">
        <v>74</v>
      </c>
      <c r="BH51" s="52">
        <v>0</v>
      </c>
      <c r="BI51" s="52">
        <v>1234478.04</v>
      </c>
      <c r="BJ51" s="52">
        <v>1234478.04</v>
      </c>
      <c r="BK51" s="56">
        <v>44075</v>
      </c>
      <c r="BL51" s="63">
        <v>1234478.04</v>
      </c>
      <c r="BM51" s="47">
        <v>0</v>
      </c>
      <c r="BN51" s="9"/>
      <c r="BO51" s="9"/>
      <c r="BP51" s="9"/>
      <c r="BQ51" s="9"/>
      <c r="BR51" s="9"/>
      <c r="BS51" s="9"/>
      <c r="BT51" s="9"/>
      <c r="BU51" s="9"/>
      <c r="BV51" s="9"/>
      <c r="BW51" s="9"/>
    </row>
    <row r="52" spans="1:75" ht="51.75" hidden="1" outlineLevel="2" x14ac:dyDescent="0.25">
      <c r="A52" s="43" t="s">
        <v>71</v>
      </c>
      <c r="B52" s="44" t="s">
        <v>72</v>
      </c>
      <c r="C52" s="45">
        <v>2020</v>
      </c>
      <c r="D52" s="46" t="s">
        <v>89</v>
      </c>
      <c r="E52" s="47">
        <v>0</v>
      </c>
      <c r="F52" s="47">
        <v>0</v>
      </c>
      <c r="G52" s="47">
        <v>0</v>
      </c>
      <c r="H52" s="47">
        <v>0</v>
      </c>
      <c r="I52" s="47">
        <v>0</v>
      </c>
      <c r="J52" s="47">
        <v>0</v>
      </c>
      <c r="K52" s="47">
        <v>0</v>
      </c>
      <c r="L52" s="47">
        <v>0</v>
      </c>
      <c r="M52" s="47">
        <v>0</v>
      </c>
      <c r="N52" s="47">
        <v>0</v>
      </c>
      <c r="O52" s="47">
        <v>0</v>
      </c>
      <c r="P52" s="47">
        <v>1901898.09</v>
      </c>
      <c r="Q52" s="47">
        <v>0</v>
      </c>
      <c r="R52" s="47">
        <v>0</v>
      </c>
      <c r="S52" s="47">
        <v>0</v>
      </c>
      <c r="T52" s="47">
        <v>0</v>
      </c>
      <c r="U52" s="47">
        <v>0</v>
      </c>
      <c r="V52" s="47">
        <v>0</v>
      </c>
      <c r="W52" s="47">
        <v>0</v>
      </c>
      <c r="X52" s="47">
        <v>0</v>
      </c>
      <c r="Y52" s="48">
        <v>1901898.09</v>
      </c>
      <c r="Z52" s="66">
        <v>663956.64</v>
      </c>
      <c r="AA52" s="62">
        <v>663956.64</v>
      </c>
      <c r="AB52" s="50">
        <v>0</v>
      </c>
      <c r="AC52" s="62">
        <v>20059.740000000002</v>
      </c>
      <c r="AD52" s="62">
        <v>11209.41</v>
      </c>
      <c r="AE52" s="50">
        <v>0</v>
      </c>
      <c r="AF52" s="50">
        <v>0</v>
      </c>
      <c r="AG52" s="49">
        <v>695225.79</v>
      </c>
      <c r="AH52" s="51" t="s">
        <v>104</v>
      </c>
      <c r="AI52" s="51" t="s">
        <v>74</v>
      </c>
      <c r="AJ52" s="51" t="s">
        <v>171</v>
      </c>
      <c r="AK52" s="51" t="s">
        <v>172</v>
      </c>
      <c r="AL52" s="51" t="s">
        <v>74</v>
      </c>
      <c r="AM52" s="51" t="s">
        <v>74</v>
      </c>
      <c r="AN52" s="52">
        <v>0</v>
      </c>
      <c r="AO52" s="52">
        <v>0</v>
      </c>
      <c r="AP52" s="52">
        <v>0</v>
      </c>
      <c r="AQ52" s="52">
        <v>0</v>
      </c>
      <c r="AR52" s="52">
        <v>0</v>
      </c>
      <c r="AS52" s="52">
        <v>0</v>
      </c>
      <c r="AT52" s="53" t="s">
        <v>74</v>
      </c>
      <c r="AU52" s="52">
        <v>0</v>
      </c>
      <c r="AV52" s="52"/>
      <c r="AW52" s="52">
        <v>0</v>
      </c>
      <c r="AX52" s="52"/>
      <c r="AY52" s="52"/>
      <c r="AZ52" s="52">
        <v>0</v>
      </c>
      <c r="BA52" s="52">
        <v>0</v>
      </c>
      <c r="BB52" s="54" t="s">
        <v>74</v>
      </c>
      <c r="BC52" s="53" t="s">
        <v>74</v>
      </c>
      <c r="BD52" s="55" t="s">
        <v>74</v>
      </c>
      <c r="BE52" s="55" t="s">
        <v>74</v>
      </c>
      <c r="BF52" s="55" t="s">
        <v>74</v>
      </c>
      <c r="BG52" s="55" t="s">
        <v>74</v>
      </c>
      <c r="BH52" s="52">
        <v>0</v>
      </c>
      <c r="BI52" s="52">
        <v>1206672.3</v>
      </c>
      <c r="BJ52" s="52">
        <v>1206672.3</v>
      </c>
      <c r="BK52" s="56">
        <v>44105</v>
      </c>
      <c r="BL52" s="63">
        <v>1206672.3</v>
      </c>
      <c r="BM52" s="47">
        <v>0</v>
      </c>
      <c r="BN52" s="9"/>
      <c r="BO52" s="9"/>
      <c r="BP52" s="9"/>
      <c r="BQ52" s="9"/>
      <c r="BR52" s="9"/>
      <c r="BS52" s="9"/>
      <c r="BT52" s="9"/>
      <c r="BU52" s="9"/>
      <c r="BV52" s="9"/>
      <c r="BW52" s="9"/>
    </row>
    <row r="53" spans="1:75" hidden="1" outlineLevel="2" x14ac:dyDescent="0.25">
      <c r="A53" s="43" t="s">
        <v>71</v>
      </c>
      <c r="B53" s="44" t="s">
        <v>72</v>
      </c>
      <c r="C53" s="45">
        <v>2020</v>
      </c>
      <c r="D53" s="46" t="s">
        <v>90</v>
      </c>
      <c r="E53" s="47">
        <v>0</v>
      </c>
      <c r="F53" s="47">
        <v>0</v>
      </c>
      <c r="G53" s="47">
        <v>0</v>
      </c>
      <c r="H53" s="47">
        <v>0</v>
      </c>
      <c r="I53" s="47">
        <v>0</v>
      </c>
      <c r="J53" s="47">
        <v>0</v>
      </c>
      <c r="K53" s="47">
        <v>0</v>
      </c>
      <c r="L53" s="47">
        <v>0</v>
      </c>
      <c r="M53" s="47">
        <v>0</v>
      </c>
      <c r="N53" s="47">
        <v>0</v>
      </c>
      <c r="O53" s="47">
        <v>0</v>
      </c>
      <c r="P53" s="47">
        <v>1901898.09</v>
      </c>
      <c r="Q53" s="47">
        <v>0</v>
      </c>
      <c r="R53" s="47">
        <v>0</v>
      </c>
      <c r="S53" s="47">
        <v>0</v>
      </c>
      <c r="T53" s="47">
        <v>0</v>
      </c>
      <c r="U53" s="47">
        <v>0</v>
      </c>
      <c r="V53" s="47">
        <v>0</v>
      </c>
      <c r="W53" s="47">
        <v>0</v>
      </c>
      <c r="X53" s="47">
        <v>0</v>
      </c>
      <c r="Y53" s="48">
        <v>1901898.09</v>
      </c>
      <c r="Z53" s="66">
        <v>698447.72</v>
      </c>
      <c r="AA53" s="62">
        <v>698447.72</v>
      </c>
      <c r="AB53" s="50">
        <v>0</v>
      </c>
      <c r="AC53" s="62">
        <v>3276.39</v>
      </c>
      <c r="AD53" s="62">
        <v>14200.61</v>
      </c>
      <c r="AE53" s="50">
        <v>0</v>
      </c>
      <c r="AF53" s="50">
        <v>0</v>
      </c>
      <c r="AG53" s="49">
        <v>715924.72</v>
      </c>
      <c r="AH53" s="51" t="s">
        <v>173</v>
      </c>
      <c r="AI53" s="51" t="s">
        <v>74</v>
      </c>
      <c r="AJ53" s="51" t="s">
        <v>174</v>
      </c>
      <c r="AK53" s="51" t="s">
        <v>175</v>
      </c>
      <c r="AL53" s="51" t="s">
        <v>74</v>
      </c>
      <c r="AM53" s="51" t="s">
        <v>74</v>
      </c>
      <c r="AN53" s="52">
        <v>0</v>
      </c>
      <c r="AO53" s="52">
        <v>0</v>
      </c>
      <c r="AP53" s="52">
        <v>0</v>
      </c>
      <c r="AQ53" s="52">
        <v>0</v>
      </c>
      <c r="AR53" s="52">
        <v>0</v>
      </c>
      <c r="AS53" s="52">
        <v>0</v>
      </c>
      <c r="AT53" s="53" t="s">
        <v>74</v>
      </c>
      <c r="AU53" s="52">
        <v>0</v>
      </c>
      <c r="AV53" s="52"/>
      <c r="AW53" s="52">
        <v>0</v>
      </c>
      <c r="AX53" s="52"/>
      <c r="AY53" s="52"/>
      <c r="AZ53" s="52">
        <v>0</v>
      </c>
      <c r="BA53" s="52">
        <v>0</v>
      </c>
      <c r="BB53" s="54" t="s">
        <v>74</v>
      </c>
      <c r="BC53" s="53" t="s">
        <v>74</v>
      </c>
      <c r="BD53" s="55" t="s">
        <v>74</v>
      </c>
      <c r="BE53" s="55" t="s">
        <v>74</v>
      </c>
      <c r="BF53" s="55" t="s">
        <v>74</v>
      </c>
      <c r="BG53" s="55" t="s">
        <v>74</v>
      </c>
      <c r="BH53" s="52">
        <v>0</v>
      </c>
      <c r="BI53" s="52">
        <v>1185973.3700000001</v>
      </c>
      <c r="BJ53" s="52">
        <v>1185973.3700000001</v>
      </c>
      <c r="BK53" s="56">
        <v>44136</v>
      </c>
      <c r="BL53" s="63">
        <v>1185973.3700000001</v>
      </c>
      <c r="BM53" s="47">
        <v>0</v>
      </c>
      <c r="BN53" s="9"/>
      <c r="BO53" s="9"/>
      <c r="BP53" s="9"/>
      <c r="BQ53" s="9"/>
      <c r="BR53" s="9"/>
      <c r="BS53" s="9"/>
      <c r="BT53" s="9"/>
      <c r="BU53" s="9"/>
      <c r="BV53" s="9"/>
      <c r="BW53" s="9"/>
    </row>
    <row r="54" spans="1:75" ht="26.25" hidden="1" outlineLevel="2" x14ac:dyDescent="0.25">
      <c r="A54" s="43" t="s">
        <v>71</v>
      </c>
      <c r="B54" s="44" t="s">
        <v>72</v>
      </c>
      <c r="C54" s="45">
        <v>2020</v>
      </c>
      <c r="D54" s="46" t="s">
        <v>93</v>
      </c>
      <c r="E54" s="47">
        <v>0</v>
      </c>
      <c r="F54" s="47">
        <v>0</v>
      </c>
      <c r="G54" s="47">
        <v>0</v>
      </c>
      <c r="H54" s="47">
        <v>0</v>
      </c>
      <c r="I54" s="47">
        <v>0</v>
      </c>
      <c r="J54" s="47">
        <v>0</v>
      </c>
      <c r="K54" s="47">
        <v>0</v>
      </c>
      <c r="L54" s="47">
        <v>0</v>
      </c>
      <c r="M54" s="47">
        <v>0</v>
      </c>
      <c r="N54" s="47">
        <v>0</v>
      </c>
      <c r="O54" s="47">
        <v>0</v>
      </c>
      <c r="P54" s="47">
        <v>1901898.09</v>
      </c>
      <c r="Q54" s="47">
        <v>0</v>
      </c>
      <c r="R54" s="47">
        <v>0</v>
      </c>
      <c r="S54" s="47">
        <v>0</v>
      </c>
      <c r="T54" s="47">
        <v>0</v>
      </c>
      <c r="U54" s="47">
        <v>0</v>
      </c>
      <c r="V54" s="47">
        <v>0</v>
      </c>
      <c r="W54" s="47">
        <v>0</v>
      </c>
      <c r="X54" s="47">
        <v>0</v>
      </c>
      <c r="Y54" s="48">
        <v>1901898.09</v>
      </c>
      <c r="Z54" s="67">
        <v>681412.39</v>
      </c>
      <c r="AA54" s="62">
        <v>681412.39</v>
      </c>
      <c r="AB54" s="50">
        <v>0</v>
      </c>
      <c r="AC54" s="62">
        <v>3394.61</v>
      </c>
      <c r="AD54" s="62">
        <v>26553.14</v>
      </c>
      <c r="AE54" s="50">
        <v>0</v>
      </c>
      <c r="AF54" s="50">
        <v>0</v>
      </c>
      <c r="AG54" s="49">
        <v>711360.14</v>
      </c>
      <c r="AH54" s="51" t="s">
        <v>104</v>
      </c>
      <c r="AI54" s="51" t="s">
        <v>74</v>
      </c>
      <c r="AJ54" s="51" t="s">
        <v>176</v>
      </c>
      <c r="AK54" s="51" t="s">
        <v>177</v>
      </c>
      <c r="AL54" s="51" t="s">
        <v>74</v>
      </c>
      <c r="AM54" s="51" t="s">
        <v>74</v>
      </c>
      <c r="AN54" s="52">
        <v>0</v>
      </c>
      <c r="AO54" s="52">
        <v>0</v>
      </c>
      <c r="AP54" s="52">
        <v>0</v>
      </c>
      <c r="AQ54" s="52">
        <v>0</v>
      </c>
      <c r="AR54" s="52">
        <v>0</v>
      </c>
      <c r="AS54" s="52">
        <v>0</v>
      </c>
      <c r="AT54" s="53" t="s">
        <v>74</v>
      </c>
      <c r="AU54" s="52">
        <v>0</v>
      </c>
      <c r="AV54" s="52"/>
      <c r="AW54" s="52">
        <v>0</v>
      </c>
      <c r="AX54" s="52"/>
      <c r="AY54" s="52"/>
      <c r="AZ54" s="52">
        <v>0</v>
      </c>
      <c r="BA54" s="52">
        <v>0</v>
      </c>
      <c r="BB54" s="54" t="s">
        <v>74</v>
      </c>
      <c r="BC54" s="53" t="s">
        <v>74</v>
      </c>
      <c r="BD54" s="55" t="s">
        <v>74</v>
      </c>
      <c r="BE54" s="55" t="s">
        <v>74</v>
      </c>
      <c r="BF54" s="55" t="s">
        <v>74</v>
      </c>
      <c r="BG54" s="55" t="s">
        <v>74</v>
      </c>
      <c r="BH54" s="52">
        <v>0</v>
      </c>
      <c r="BI54" s="52">
        <v>1190537.95</v>
      </c>
      <c r="BJ54" s="52">
        <v>1190537.95</v>
      </c>
      <c r="BK54" s="56">
        <v>44166</v>
      </c>
      <c r="BL54" s="63">
        <v>1190537.95</v>
      </c>
      <c r="BM54" s="47">
        <v>0</v>
      </c>
      <c r="BN54" s="9"/>
      <c r="BO54" s="9"/>
      <c r="BP54" s="9"/>
      <c r="BQ54" s="9"/>
      <c r="BR54" s="9"/>
      <c r="BS54" s="9"/>
      <c r="BT54" s="9"/>
      <c r="BU54" s="9"/>
      <c r="BV54" s="9"/>
      <c r="BW54" s="9"/>
    </row>
    <row r="55" spans="1:75" ht="26.25" hidden="1" outlineLevel="2" x14ac:dyDescent="0.25">
      <c r="A55" s="43" t="s">
        <v>71</v>
      </c>
      <c r="B55" s="44" t="s">
        <v>72</v>
      </c>
      <c r="C55" s="45">
        <v>2021</v>
      </c>
      <c r="D55" s="46" t="s">
        <v>73</v>
      </c>
      <c r="E55" s="47">
        <v>0</v>
      </c>
      <c r="F55" s="47">
        <v>0</v>
      </c>
      <c r="G55" s="47">
        <v>0</v>
      </c>
      <c r="H55" s="47">
        <v>0</v>
      </c>
      <c r="I55" s="47">
        <v>0</v>
      </c>
      <c r="J55" s="47">
        <v>0</v>
      </c>
      <c r="K55" s="47">
        <v>0</v>
      </c>
      <c r="L55" s="47">
        <v>0</v>
      </c>
      <c r="M55" s="47">
        <v>0</v>
      </c>
      <c r="N55" s="47">
        <v>0</v>
      </c>
      <c r="O55" s="47">
        <v>0</v>
      </c>
      <c r="P55" s="47">
        <v>1901898.09</v>
      </c>
      <c r="Q55" s="47">
        <v>0</v>
      </c>
      <c r="R55" s="47">
        <v>0</v>
      </c>
      <c r="S55" s="47">
        <v>0</v>
      </c>
      <c r="T55" s="47">
        <v>0</v>
      </c>
      <c r="U55" s="47">
        <v>0</v>
      </c>
      <c r="V55" s="47">
        <v>0</v>
      </c>
      <c r="W55" s="47">
        <v>0</v>
      </c>
      <c r="X55" s="47">
        <v>0</v>
      </c>
      <c r="Y55" s="48">
        <f>SUM(E55:X55)</f>
        <v>1901898.09</v>
      </c>
      <c r="Z55" s="66">
        <v>700193.86</v>
      </c>
      <c r="AA55" s="62">
        <v>700193.86</v>
      </c>
      <c r="AB55" s="50">
        <v>0</v>
      </c>
      <c r="AC55" s="62">
        <v>3592.58</v>
      </c>
      <c r="AD55" s="50">
        <v>0</v>
      </c>
      <c r="AE55" s="50">
        <v>0</v>
      </c>
      <c r="AF55" s="50">
        <v>0</v>
      </c>
      <c r="AG55" s="49">
        <f>SUM(AA55:AF55)</f>
        <v>703786.44</v>
      </c>
      <c r="AH55" s="51" t="s">
        <v>104</v>
      </c>
      <c r="AI55" s="51" t="s">
        <v>74</v>
      </c>
      <c r="AJ55" s="51" t="s">
        <v>178</v>
      </c>
      <c r="AK55" s="51" t="s">
        <v>74</v>
      </c>
      <c r="AL55" s="51" t="s">
        <v>74</v>
      </c>
      <c r="AM55" s="51" t="s">
        <v>74</v>
      </c>
      <c r="AN55" s="52">
        <v>0</v>
      </c>
      <c r="AO55" s="52">
        <v>0</v>
      </c>
      <c r="AP55" s="52">
        <v>0</v>
      </c>
      <c r="AQ55" s="52"/>
      <c r="AR55" s="52">
        <v>0</v>
      </c>
      <c r="AS55" s="52">
        <f>AN55+AO55+AP55+AQ55+AR55</f>
        <v>0</v>
      </c>
      <c r="AT55" s="53" t="s">
        <v>74</v>
      </c>
      <c r="AU55" s="52">
        <v>0</v>
      </c>
      <c r="AV55" s="52"/>
      <c r="AW55" s="52">
        <v>0</v>
      </c>
      <c r="AX55" s="52"/>
      <c r="AY55" s="52"/>
      <c r="AZ55" s="52"/>
      <c r="BA55" s="52">
        <f t="shared" ref="BA55:BA64" si="0">AU55+AW55+AX55+AZ55</f>
        <v>0</v>
      </c>
      <c r="BB55" s="54" t="s">
        <v>74</v>
      </c>
      <c r="BC55" s="53" t="s">
        <v>74</v>
      </c>
      <c r="BD55" s="55" t="s">
        <v>74</v>
      </c>
      <c r="BE55" s="55" t="s">
        <v>74</v>
      </c>
      <c r="BF55" s="55" t="s">
        <v>74</v>
      </c>
      <c r="BG55" s="55" t="s">
        <v>74</v>
      </c>
      <c r="BH55" s="52">
        <f t="shared" ref="BH55:BH64" si="1">AS55+BA55</f>
        <v>0</v>
      </c>
      <c r="BI55" s="52">
        <f t="shared" ref="BI55:BI64" si="2">Y55-AG55+BH55</f>
        <v>1198111.6500000001</v>
      </c>
      <c r="BJ55" s="52">
        <f t="shared" ref="BJ55:BJ64" si="3">BI55-BA55</f>
        <v>1198111.6500000001</v>
      </c>
      <c r="BK55" s="56">
        <v>44197</v>
      </c>
      <c r="BL55" s="57">
        <v>1198111.6499999999</v>
      </c>
      <c r="BM55" s="47">
        <v>0</v>
      </c>
      <c r="BN55" s="9"/>
      <c r="BO55" s="9"/>
      <c r="BP55" s="9"/>
      <c r="BQ55" s="9"/>
      <c r="BR55" s="9"/>
      <c r="BS55" s="9"/>
      <c r="BT55" s="9"/>
      <c r="BU55" s="9"/>
      <c r="BV55" s="9"/>
      <c r="BW55" s="9"/>
    </row>
    <row r="56" spans="1:75" ht="39" hidden="1" outlineLevel="2" x14ac:dyDescent="0.25">
      <c r="A56" s="43" t="s">
        <v>71</v>
      </c>
      <c r="B56" s="44" t="s">
        <v>72</v>
      </c>
      <c r="C56" s="45">
        <v>2021</v>
      </c>
      <c r="D56" s="46" t="s">
        <v>75</v>
      </c>
      <c r="E56" s="47">
        <v>0</v>
      </c>
      <c r="F56" s="47">
        <v>0</v>
      </c>
      <c r="G56" s="47">
        <v>0</v>
      </c>
      <c r="H56" s="47">
        <v>0</v>
      </c>
      <c r="I56" s="47">
        <v>0</v>
      </c>
      <c r="J56" s="47">
        <v>0</v>
      </c>
      <c r="K56" s="47">
        <v>0</v>
      </c>
      <c r="L56" s="47">
        <v>0</v>
      </c>
      <c r="M56" s="47">
        <v>0</v>
      </c>
      <c r="N56" s="47">
        <v>0</v>
      </c>
      <c r="O56" s="47">
        <v>0</v>
      </c>
      <c r="P56" s="47">
        <v>1901898.09</v>
      </c>
      <c r="Q56" s="47">
        <v>0</v>
      </c>
      <c r="R56" s="47">
        <v>0</v>
      </c>
      <c r="S56" s="47">
        <v>0</v>
      </c>
      <c r="T56" s="47">
        <v>0</v>
      </c>
      <c r="U56" s="47">
        <v>0</v>
      </c>
      <c r="V56" s="47">
        <v>0</v>
      </c>
      <c r="W56" s="47">
        <v>0</v>
      </c>
      <c r="X56" s="47">
        <v>0</v>
      </c>
      <c r="Y56" s="48">
        <f>SUM(E56:X56)</f>
        <v>1901898.09</v>
      </c>
      <c r="Z56" s="66">
        <v>677735.55</v>
      </c>
      <c r="AA56" s="62">
        <v>677735.55</v>
      </c>
      <c r="AB56" s="50">
        <v>0</v>
      </c>
      <c r="AC56" s="62">
        <v>3494.79</v>
      </c>
      <c r="AD56" s="62">
        <v>17197.98</v>
      </c>
      <c r="AE56" s="50">
        <v>0</v>
      </c>
      <c r="AF56" s="50">
        <v>0</v>
      </c>
      <c r="AG56" s="49">
        <f>SUM(AA56:AF56)</f>
        <v>698428.32000000007</v>
      </c>
      <c r="AH56" s="51" t="s">
        <v>104</v>
      </c>
      <c r="AI56" s="51" t="s">
        <v>74</v>
      </c>
      <c r="AJ56" s="51" t="s">
        <v>179</v>
      </c>
      <c r="AK56" s="51" t="s">
        <v>180</v>
      </c>
      <c r="AL56" s="51" t="s">
        <v>74</v>
      </c>
      <c r="AM56" s="51" t="s">
        <v>74</v>
      </c>
      <c r="AN56" s="52">
        <v>0</v>
      </c>
      <c r="AO56" s="52">
        <v>0</v>
      </c>
      <c r="AP56" s="52">
        <v>0</v>
      </c>
      <c r="AQ56" s="52">
        <v>0</v>
      </c>
      <c r="AR56" s="52">
        <v>0</v>
      </c>
      <c r="AS56" s="52">
        <f>AN56+AO56+AP56+AQ56+AR56</f>
        <v>0</v>
      </c>
      <c r="AT56" s="53" t="s">
        <v>74</v>
      </c>
      <c r="AU56" s="52">
        <v>0</v>
      </c>
      <c r="AV56" s="52"/>
      <c r="AW56" s="52">
        <v>0</v>
      </c>
      <c r="AX56" s="52"/>
      <c r="AY56" s="52"/>
      <c r="AZ56" s="52">
        <v>0</v>
      </c>
      <c r="BA56" s="52">
        <f t="shared" si="0"/>
        <v>0</v>
      </c>
      <c r="BB56" s="54" t="s">
        <v>74</v>
      </c>
      <c r="BC56" s="53" t="s">
        <v>74</v>
      </c>
      <c r="BD56" s="55" t="s">
        <v>74</v>
      </c>
      <c r="BE56" s="55" t="s">
        <v>74</v>
      </c>
      <c r="BF56" s="55" t="s">
        <v>74</v>
      </c>
      <c r="BG56" s="55" t="s">
        <v>74</v>
      </c>
      <c r="BH56" s="52">
        <f t="shared" si="1"/>
        <v>0</v>
      </c>
      <c r="BI56" s="52">
        <f t="shared" si="2"/>
        <v>1203469.77</v>
      </c>
      <c r="BJ56" s="52">
        <f t="shared" si="3"/>
        <v>1203469.77</v>
      </c>
      <c r="BK56" s="56">
        <v>44228</v>
      </c>
      <c r="BL56" s="57">
        <v>1203469.77</v>
      </c>
      <c r="BM56" s="47">
        <v>0</v>
      </c>
      <c r="BN56" s="9"/>
      <c r="BO56" s="9"/>
      <c r="BP56" s="9"/>
      <c r="BQ56" s="9"/>
      <c r="BR56" s="9"/>
      <c r="BS56" s="9"/>
      <c r="BT56" s="9"/>
      <c r="BU56" s="9"/>
      <c r="BV56" s="9"/>
      <c r="BW56" s="9"/>
    </row>
    <row r="57" spans="1:75" ht="166.5" hidden="1" outlineLevel="2" x14ac:dyDescent="0.25">
      <c r="A57" s="43" t="s">
        <v>71</v>
      </c>
      <c r="B57" s="44" t="s">
        <v>72</v>
      </c>
      <c r="C57" s="45">
        <v>2021</v>
      </c>
      <c r="D57" s="46" t="s">
        <v>77</v>
      </c>
      <c r="E57" s="47">
        <v>0</v>
      </c>
      <c r="F57" s="47">
        <v>0</v>
      </c>
      <c r="G57" s="47">
        <v>0</v>
      </c>
      <c r="H57" s="47">
        <v>0</v>
      </c>
      <c r="I57" s="47">
        <v>0</v>
      </c>
      <c r="J57" s="47">
        <v>0</v>
      </c>
      <c r="K57" s="47">
        <v>0</v>
      </c>
      <c r="L57" s="47">
        <v>0</v>
      </c>
      <c r="M57" s="47">
        <v>0</v>
      </c>
      <c r="N57" s="47">
        <v>0</v>
      </c>
      <c r="O57" s="47">
        <v>0</v>
      </c>
      <c r="P57" s="47">
        <v>1711708.28</v>
      </c>
      <c r="Q57" s="47">
        <v>0</v>
      </c>
      <c r="R57" s="47">
        <v>0</v>
      </c>
      <c r="S57" s="47">
        <v>0</v>
      </c>
      <c r="T57" s="47">
        <v>0</v>
      </c>
      <c r="U57" s="47">
        <v>0</v>
      </c>
      <c r="V57" s="47">
        <v>0</v>
      </c>
      <c r="W57" s="47">
        <v>0</v>
      </c>
      <c r="X57" s="47">
        <v>0</v>
      </c>
      <c r="Y57" s="48">
        <f>SUM(E57:X57)</f>
        <v>1711708.28</v>
      </c>
      <c r="Z57" s="66">
        <v>701669.35</v>
      </c>
      <c r="AA57" s="62">
        <v>701669.35</v>
      </c>
      <c r="AB57" s="50">
        <v>0</v>
      </c>
      <c r="AC57" s="62">
        <v>4593.41</v>
      </c>
      <c r="AD57" s="62">
        <v>18034.04</v>
      </c>
      <c r="AE57" s="50">
        <v>0</v>
      </c>
      <c r="AF57" s="50">
        <v>0</v>
      </c>
      <c r="AG57" s="49">
        <f>SUM(AA57:AF57)</f>
        <v>724296.8</v>
      </c>
      <c r="AH57" s="51" t="s">
        <v>104</v>
      </c>
      <c r="AI57" s="51" t="s">
        <v>74</v>
      </c>
      <c r="AJ57" s="51" t="s">
        <v>181</v>
      </c>
      <c r="AK57" s="51" t="s">
        <v>182</v>
      </c>
      <c r="AL57" s="51" t="s">
        <v>74</v>
      </c>
      <c r="AM57" s="51" t="s">
        <v>74</v>
      </c>
      <c r="AN57" s="52">
        <v>0</v>
      </c>
      <c r="AO57" s="52">
        <v>0</v>
      </c>
      <c r="AP57" s="52">
        <v>0</v>
      </c>
      <c r="AQ57" s="52">
        <v>0</v>
      </c>
      <c r="AR57" s="52">
        <v>0</v>
      </c>
      <c r="AS57" s="52">
        <f>AN57+AO57+AP57+AQ57+AR57</f>
        <v>0</v>
      </c>
      <c r="AT57" s="53" t="s">
        <v>74</v>
      </c>
      <c r="AU57" s="52">
        <v>0</v>
      </c>
      <c r="AV57" s="52"/>
      <c r="AW57" s="52">
        <v>0</v>
      </c>
      <c r="AX57" s="68">
        <v>247971.39</v>
      </c>
      <c r="AY57" s="52"/>
      <c r="AZ57" s="52">
        <v>0</v>
      </c>
      <c r="BA57" s="52">
        <f t="shared" si="0"/>
        <v>247971.39</v>
      </c>
      <c r="BB57" s="54" t="s">
        <v>74</v>
      </c>
      <c r="BC57" s="53" t="s">
        <v>74</v>
      </c>
      <c r="BD57" s="55" t="s">
        <v>74</v>
      </c>
      <c r="BE57" s="55" t="s">
        <v>183</v>
      </c>
      <c r="BF57" s="55" t="s">
        <v>74</v>
      </c>
      <c r="BG57" s="55" t="s">
        <v>74</v>
      </c>
      <c r="BH57" s="52">
        <f t="shared" si="1"/>
        <v>247971.39</v>
      </c>
      <c r="BI57" s="52">
        <f t="shared" si="2"/>
        <v>1235382.8700000001</v>
      </c>
      <c r="BJ57" s="52">
        <f t="shared" si="3"/>
        <v>987411.4800000001</v>
      </c>
      <c r="BK57" s="56">
        <v>44256</v>
      </c>
      <c r="BL57" s="63">
        <f>987411.48+247971.39</f>
        <v>1235382.8700000001</v>
      </c>
      <c r="BM57" s="47">
        <v>0</v>
      </c>
      <c r="BN57" s="9"/>
      <c r="BO57" s="9"/>
      <c r="BP57" s="9"/>
      <c r="BQ57" s="9"/>
      <c r="BR57" s="9"/>
      <c r="BS57" s="9"/>
      <c r="BT57" s="9"/>
      <c r="BU57" s="9"/>
      <c r="BV57" s="9"/>
      <c r="BW57" s="9"/>
    </row>
    <row r="58" spans="1:75" ht="166.5" hidden="1" outlineLevel="2" x14ac:dyDescent="0.25">
      <c r="A58" s="43" t="s">
        <v>71</v>
      </c>
      <c r="B58" s="44" t="s">
        <v>72</v>
      </c>
      <c r="C58" s="45">
        <v>2021</v>
      </c>
      <c r="D58" s="46" t="s">
        <v>79</v>
      </c>
      <c r="E58" s="47"/>
      <c r="F58" s="47"/>
      <c r="G58" s="47"/>
      <c r="H58" s="47"/>
      <c r="I58" s="47"/>
      <c r="J58" s="47"/>
      <c r="K58" s="47"/>
      <c r="L58" s="47"/>
      <c r="M58" s="47"/>
      <c r="N58" s="47"/>
      <c r="O58" s="47"/>
      <c r="P58" s="47"/>
      <c r="Q58" s="47"/>
      <c r="R58" s="47"/>
      <c r="S58" s="47"/>
      <c r="T58" s="47"/>
      <c r="U58" s="47"/>
      <c r="V58" s="47"/>
      <c r="W58" s="47">
        <v>0</v>
      </c>
      <c r="X58" s="47">
        <v>0</v>
      </c>
      <c r="Y58" s="48"/>
      <c r="Z58" s="69"/>
      <c r="AA58" s="62"/>
      <c r="AB58" s="50"/>
      <c r="AC58" s="62"/>
      <c r="AD58" s="62"/>
      <c r="AE58" s="50"/>
      <c r="AF58" s="50"/>
      <c r="AG58" s="49"/>
      <c r="AH58" s="70" t="s">
        <v>74</v>
      </c>
      <c r="AI58" s="70" t="s">
        <v>74</v>
      </c>
      <c r="AJ58" s="70" t="s">
        <v>74</v>
      </c>
      <c r="AK58" s="70" t="s">
        <v>74</v>
      </c>
      <c r="AL58" s="70" t="s">
        <v>74</v>
      </c>
      <c r="AM58" s="70" t="s">
        <v>74</v>
      </c>
      <c r="AN58" s="52"/>
      <c r="AO58" s="52"/>
      <c r="AP58" s="52"/>
      <c r="AQ58" s="52"/>
      <c r="AR58" s="52"/>
      <c r="AS58" s="52"/>
      <c r="AT58" s="70" t="s">
        <v>74</v>
      </c>
      <c r="AU58" s="52"/>
      <c r="AV58" s="52"/>
      <c r="AW58" s="52"/>
      <c r="AX58" s="68">
        <v>2479713.89</v>
      </c>
      <c r="AY58" s="52"/>
      <c r="AZ58" s="52"/>
      <c r="BA58" s="52">
        <f t="shared" si="0"/>
        <v>2479713.89</v>
      </c>
      <c r="BB58" s="52" t="s">
        <v>74</v>
      </c>
      <c r="BC58" s="52" t="s">
        <v>74</v>
      </c>
      <c r="BD58" s="52" t="s">
        <v>74</v>
      </c>
      <c r="BE58" s="55" t="s">
        <v>184</v>
      </c>
      <c r="BF58" s="52" t="s">
        <v>74</v>
      </c>
      <c r="BG58" s="52"/>
      <c r="BH58" s="52">
        <f t="shared" si="1"/>
        <v>2479713.89</v>
      </c>
      <c r="BI58" s="52">
        <f t="shared" si="2"/>
        <v>2479713.89</v>
      </c>
      <c r="BJ58" s="52">
        <f t="shared" si="3"/>
        <v>0</v>
      </c>
      <c r="BK58" s="56"/>
      <c r="BL58" s="57">
        <v>2479713.89</v>
      </c>
      <c r="BM58" s="47">
        <v>0</v>
      </c>
      <c r="BN58" s="9"/>
      <c r="BO58" s="9"/>
      <c r="BP58" s="9"/>
      <c r="BQ58" s="9"/>
      <c r="BR58" s="9"/>
      <c r="BS58" s="9"/>
      <c r="BT58" s="9"/>
      <c r="BU58" s="9"/>
      <c r="BV58" s="9"/>
      <c r="BW58" s="9"/>
    </row>
    <row r="59" spans="1:75" ht="166.5" hidden="1" outlineLevel="2" x14ac:dyDescent="0.25">
      <c r="A59" s="43" t="s">
        <v>71</v>
      </c>
      <c r="B59" s="44" t="s">
        <v>72</v>
      </c>
      <c r="C59" s="45">
        <v>2021</v>
      </c>
      <c r="D59" s="46" t="s">
        <v>81</v>
      </c>
      <c r="E59" s="47"/>
      <c r="F59" s="47"/>
      <c r="G59" s="47"/>
      <c r="H59" s="47"/>
      <c r="I59" s="47"/>
      <c r="J59" s="47"/>
      <c r="K59" s="47"/>
      <c r="L59" s="47"/>
      <c r="M59" s="47"/>
      <c r="N59" s="47"/>
      <c r="O59" s="47"/>
      <c r="P59" s="47"/>
      <c r="Q59" s="47"/>
      <c r="R59" s="47"/>
      <c r="S59" s="47"/>
      <c r="T59" s="47"/>
      <c r="U59" s="47"/>
      <c r="V59" s="47"/>
      <c r="W59" s="47">
        <v>0</v>
      </c>
      <c r="X59" s="47">
        <v>0</v>
      </c>
      <c r="Y59" s="48"/>
      <c r="Z59" s="69"/>
      <c r="AA59" s="62"/>
      <c r="AB59" s="50"/>
      <c r="AC59" s="62"/>
      <c r="AD59" s="62"/>
      <c r="AE59" s="50"/>
      <c r="AF59" s="50"/>
      <c r="AG59" s="49"/>
      <c r="AH59" s="70" t="s">
        <v>74</v>
      </c>
      <c r="AI59" s="70" t="s">
        <v>74</v>
      </c>
      <c r="AJ59" s="70" t="s">
        <v>74</v>
      </c>
      <c r="AK59" s="70" t="s">
        <v>74</v>
      </c>
      <c r="AL59" s="70" t="s">
        <v>74</v>
      </c>
      <c r="AM59" s="70" t="s">
        <v>74</v>
      </c>
      <c r="AN59" s="52"/>
      <c r="AO59" s="52"/>
      <c r="AP59" s="52"/>
      <c r="AQ59" s="52"/>
      <c r="AR59" s="52"/>
      <c r="AS59" s="52"/>
      <c r="AT59" s="70" t="s">
        <v>74</v>
      </c>
      <c r="AU59" s="52"/>
      <c r="AV59" s="52"/>
      <c r="AW59" s="52"/>
      <c r="AX59" s="68">
        <v>2479713.89</v>
      </c>
      <c r="AY59" s="52"/>
      <c r="AZ59" s="52"/>
      <c r="BA59" s="52">
        <f t="shared" si="0"/>
        <v>2479713.89</v>
      </c>
      <c r="BB59" s="52" t="s">
        <v>74</v>
      </c>
      <c r="BC59" s="52" t="s">
        <v>74</v>
      </c>
      <c r="BD59" s="52" t="s">
        <v>74</v>
      </c>
      <c r="BE59" s="55" t="s">
        <v>185</v>
      </c>
      <c r="BF59" s="52" t="s">
        <v>74</v>
      </c>
      <c r="BG59" s="52"/>
      <c r="BH59" s="52">
        <f t="shared" si="1"/>
        <v>2479713.89</v>
      </c>
      <c r="BI59" s="52">
        <f t="shared" si="2"/>
        <v>2479713.89</v>
      </c>
      <c r="BJ59" s="52">
        <f t="shared" si="3"/>
        <v>0</v>
      </c>
      <c r="BK59" s="56"/>
      <c r="BL59" s="57">
        <v>2479713.89</v>
      </c>
      <c r="BM59" s="47">
        <v>0</v>
      </c>
      <c r="BN59" s="9"/>
      <c r="BO59" s="9"/>
      <c r="BP59" s="9"/>
      <c r="BQ59" s="9"/>
      <c r="BR59" s="9"/>
      <c r="BS59" s="9"/>
      <c r="BT59" s="9"/>
      <c r="BU59" s="9"/>
      <c r="BV59" s="9"/>
      <c r="BW59" s="9"/>
    </row>
    <row r="60" spans="1:75" ht="153.75" hidden="1" outlineLevel="2" x14ac:dyDescent="0.25">
      <c r="A60" s="43" t="s">
        <v>71</v>
      </c>
      <c r="B60" s="44" t="s">
        <v>72</v>
      </c>
      <c r="C60" s="45">
        <v>2021</v>
      </c>
      <c r="D60" s="46" t="s">
        <v>83</v>
      </c>
      <c r="E60" s="47"/>
      <c r="F60" s="47"/>
      <c r="G60" s="47"/>
      <c r="H60" s="47"/>
      <c r="I60" s="47"/>
      <c r="J60" s="47"/>
      <c r="K60" s="47"/>
      <c r="L60" s="47"/>
      <c r="M60" s="47"/>
      <c r="N60" s="47"/>
      <c r="O60" s="47"/>
      <c r="P60" s="47"/>
      <c r="Q60" s="47"/>
      <c r="R60" s="47"/>
      <c r="S60" s="47"/>
      <c r="T60" s="47"/>
      <c r="U60" s="47"/>
      <c r="V60" s="47"/>
      <c r="W60" s="47">
        <v>0</v>
      </c>
      <c r="X60" s="47">
        <v>0</v>
      </c>
      <c r="Y60" s="48"/>
      <c r="Z60" s="69"/>
      <c r="AA60" s="62"/>
      <c r="AB60" s="50"/>
      <c r="AC60" s="62"/>
      <c r="AD60" s="62"/>
      <c r="AE60" s="50"/>
      <c r="AF60" s="50"/>
      <c r="AG60" s="49"/>
      <c r="AH60" s="70" t="s">
        <v>74</v>
      </c>
      <c r="AI60" s="70" t="s">
        <v>74</v>
      </c>
      <c r="AJ60" s="70" t="s">
        <v>74</v>
      </c>
      <c r="AK60" s="70" t="s">
        <v>74</v>
      </c>
      <c r="AL60" s="70" t="s">
        <v>74</v>
      </c>
      <c r="AM60" s="70" t="s">
        <v>74</v>
      </c>
      <c r="AN60" s="52"/>
      <c r="AO60" s="52"/>
      <c r="AP60" s="52"/>
      <c r="AQ60" s="52"/>
      <c r="AR60" s="52"/>
      <c r="AS60" s="52"/>
      <c r="AT60" s="70" t="s">
        <v>74</v>
      </c>
      <c r="AU60" s="52"/>
      <c r="AV60" s="52"/>
      <c r="AW60" s="52"/>
      <c r="AX60" s="68">
        <v>2479713.89</v>
      </c>
      <c r="AY60" s="52"/>
      <c r="AZ60" s="52"/>
      <c r="BA60" s="52">
        <f t="shared" si="0"/>
        <v>2479713.89</v>
      </c>
      <c r="BB60" s="52" t="s">
        <v>74</v>
      </c>
      <c r="BC60" s="52" t="s">
        <v>74</v>
      </c>
      <c r="BD60" s="52" t="s">
        <v>74</v>
      </c>
      <c r="BE60" s="55" t="s">
        <v>186</v>
      </c>
      <c r="BF60" s="52" t="s">
        <v>74</v>
      </c>
      <c r="BG60" s="52"/>
      <c r="BH60" s="52">
        <f t="shared" si="1"/>
        <v>2479713.89</v>
      </c>
      <c r="BI60" s="52">
        <f t="shared" si="2"/>
        <v>2479713.89</v>
      </c>
      <c r="BJ60" s="52">
        <f t="shared" si="3"/>
        <v>0</v>
      </c>
      <c r="BK60" s="56"/>
      <c r="BL60" s="57">
        <v>2479713.89</v>
      </c>
      <c r="BM60" s="47">
        <v>0</v>
      </c>
      <c r="BN60" s="9"/>
      <c r="BO60" s="9"/>
      <c r="BP60" s="9"/>
      <c r="BQ60" s="9"/>
      <c r="BR60" s="9"/>
      <c r="BS60" s="9"/>
      <c r="BT60" s="9"/>
      <c r="BU60" s="9"/>
      <c r="BV60" s="9"/>
      <c r="BW60" s="9"/>
    </row>
    <row r="61" spans="1:75" ht="179.25" hidden="1" outlineLevel="2" x14ac:dyDescent="0.25">
      <c r="A61" s="43" t="s">
        <v>71</v>
      </c>
      <c r="B61" s="44" t="s">
        <v>72</v>
      </c>
      <c r="C61" s="45">
        <v>2021</v>
      </c>
      <c r="D61" s="46" t="s">
        <v>84</v>
      </c>
      <c r="E61" s="47"/>
      <c r="F61" s="47"/>
      <c r="G61" s="47"/>
      <c r="H61" s="47"/>
      <c r="I61" s="47"/>
      <c r="J61" s="47"/>
      <c r="K61" s="47"/>
      <c r="L61" s="47"/>
      <c r="M61" s="47"/>
      <c r="N61" s="47"/>
      <c r="O61" s="47"/>
      <c r="P61" s="47"/>
      <c r="Q61" s="47"/>
      <c r="R61" s="47"/>
      <c r="S61" s="47"/>
      <c r="T61" s="47"/>
      <c r="U61" s="47"/>
      <c r="V61" s="47"/>
      <c r="W61" s="47">
        <v>0</v>
      </c>
      <c r="X61" s="47">
        <v>0</v>
      </c>
      <c r="Y61" s="48"/>
      <c r="Z61" s="69"/>
      <c r="AA61" s="62"/>
      <c r="AB61" s="50"/>
      <c r="AC61" s="62"/>
      <c r="AD61" s="62"/>
      <c r="AE61" s="50"/>
      <c r="AF61" s="50"/>
      <c r="AG61" s="49"/>
      <c r="AH61" s="70" t="s">
        <v>74</v>
      </c>
      <c r="AI61" s="70" t="s">
        <v>74</v>
      </c>
      <c r="AJ61" s="70" t="s">
        <v>74</v>
      </c>
      <c r="AK61" s="70" t="s">
        <v>74</v>
      </c>
      <c r="AL61" s="70" t="s">
        <v>74</v>
      </c>
      <c r="AM61" s="70" t="s">
        <v>74</v>
      </c>
      <c r="AN61" s="52"/>
      <c r="AO61" s="52"/>
      <c r="AP61" s="52"/>
      <c r="AQ61" s="52"/>
      <c r="AR61" s="52"/>
      <c r="AS61" s="52"/>
      <c r="AT61" s="70" t="s">
        <v>74</v>
      </c>
      <c r="AU61" s="52"/>
      <c r="AV61" s="52"/>
      <c r="AW61" s="52"/>
      <c r="AX61" s="68">
        <v>2479713.89</v>
      </c>
      <c r="AY61" s="52"/>
      <c r="AZ61" s="52"/>
      <c r="BA61" s="52">
        <f t="shared" si="0"/>
        <v>2479713.89</v>
      </c>
      <c r="BB61" s="52" t="s">
        <v>74</v>
      </c>
      <c r="BC61" s="52" t="s">
        <v>74</v>
      </c>
      <c r="BD61" s="52" t="s">
        <v>74</v>
      </c>
      <c r="BE61" s="55" t="s">
        <v>187</v>
      </c>
      <c r="BF61" s="52" t="s">
        <v>74</v>
      </c>
      <c r="BG61" s="52"/>
      <c r="BH61" s="52">
        <f t="shared" si="1"/>
        <v>2479713.89</v>
      </c>
      <c r="BI61" s="52">
        <f t="shared" si="2"/>
        <v>2479713.89</v>
      </c>
      <c r="BJ61" s="52">
        <f t="shared" si="3"/>
        <v>0</v>
      </c>
      <c r="BK61" s="56"/>
      <c r="BL61" s="57">
        <v>2479713.89</v>
      </c>
      <c r="BM61" s="47">
        <v>0</v>
      </c>
      <c r="BN61" s="9"/>
      <c r="BO61" s="9"/>
      <c r="BP61" s="9"/>
      <c r="BQ61" s="9"/>
      <c r="BR61" s="9"/>
      <c r="BS61" s="9"/>
      <c r="BT61" s="9"/>
      <c r="BU61" s="9"/>
      <c r="BV61" s="9"/>
      <c r="BW61" s="9"/>
    </row>
    <row r="62" spans="1:75" ht="192" hidden="1" outlineLevel="2" x14ac:dyDescent="0.25">
      <c r="A62" s="43" t="s">
        <v>71</v>
      </c>
      <c r="B62" s="44" t="s">
        <v>72</v>
      </c>
      <c r="C62" s="45">
        <v>2021</v>
      </c>
      <c r="D62" s="46" t="s">
        <v>86</v>
      </c>
      <c r="E62" s="47"/>
      <c r="F62" s="47"/>
      <c r="G62" s="47"/>
      <c r="H62" s="47"/>
      <c r="I62" s="47"/>
      <c r="J62" s="47"/>
      <c r="K62" s="47"/>
      <c r="L62" s="47"/>
      <c r="M62" s="47"/>
      <c r="N62" s="47"/>
      <c r="O62" s="47"/>
      <c r="P62" s="47"/>
      <c r="Q62" s="47"/>
      <c r="R62" s="47"/>
      <c r="S62" s="47"/>
      <c r="T62" s="47"/>
      <c r="U62" s="47"/>
      <c r="V62" s="47"/>
      <c r="W62" s="47">
        <v>0</v>
      </c>
      <c r="X62" s="47">
        <v>0</v>
      </c>
      <c r="Y62" s="48"/>
      <c r="Z62" s="69"/>
      <c r="AA62" s="62"/>
      <c r="AB62" s="50"/>
      <c r="AC62" s="62"/>
      <c r="AD62" s="62"/>
      <c r="AE62" s="50"/>
      <c r="AF62" s="50"/>
      <c r="AG62" s="49"/>
      <c r="AH62" s="70" t="s">
        <v>74</v>
      </c>
      <c r="AI62" s="70" t="s">
        <v>74</v>
      </c>
      <c r="AJ62" s="70" t="s">
        <v>74</v>
      </c>
      <c r="AK62" s="70" t="s">
        <v>74</v>
      </c>
      <c r="AL62" s="70" t="s">
        <v>74</v>
      </c>
      <c r="AM62" s="70" t="s">
        <v>74</v>
      </c>
      <c r="AN62" s="52"/>
      <c r="AO62" s="52"/>
      <c r="AP62" s="52"/>
      <c r="AQ62" s="52"/>
      <c r="AR62" s="52"/>
      <c r="AS62" s="52"/>
      <c r="AT62" s="70" t="s">
        <v>74</v>
      </c>
      <c r="AU62" s="52"/>
      <c r="AV62" s="52"/>
      <c r="AW62" s="52"/>
      <c r="AX62" s="68">
        <v>3386031.25</v>
      </c>
      <c r="AY62" s="52"/>
      <c r="AZ62" s="52"/>
      <c r="BA62" s="52">
        <f t="shared" si="0"/>
        <v>3386031.25</v>
      </c>
      <c r="BB62" s="52" t="s">
        <v>74</v>
      </c>
      <c r="BC62" s="52" t="s">
        <v>74</v>
      </c>
      <c r="BD62" s="52" t="s">
        <v>74</v>
      </c>
      <c r="BE62" s="55" t="s">
        <v>188</v>
      </c>
      <c r="BF62" s="52" t="s">
        <v>74</v>
      </c>
      <c r="BG62" s="52"/>
      <c r="BH62" s="52">
        <f t="shared" si="1"/>
        <v>3386031.25</v>
      </c>
      <c r="BI62" s="52">
        <f t="shared" si="2"/>
        <v>3386031.25</v>
      </c>
      <c r="BJ62" s="52">
        <f t="shared" si="3"/>
        <v>0</v>
      </c>
      <c r="BK62" s="56"/>
      <c r="BL62" s="57">
        <v>3386031.25</v>
      </c>
      <c r="BM62" s="47">
        <v>0</v>
      </c>
      <c r="BN62" s="9"/>
      <c r="BO62" s="9"/>
      <c r="BP62" s="9"/>
      <c r="BQ62" s="9"/>
      <c r="BR62" s="9"/>
      <c r="BS62" s="9"/>
      <c r="BT62" s="9"/>
      <c r="BU62" s="9"/>
      <c r="BV62" s="9"/>
      <c r="BW62" s="9"/>
    </row>
    <row r="63" spans="1:75" ht="153.75" hidden="1" outlineLevel="2" x14ac:dyDescent="0.25">
      <c r="A63" s="43" t="s">
        <v>71</v>
      </c>
      <c r="B63" s="44" t="s">
        <v>72</v>
      </c>
      <c r="C63" s="45">
        <v>2021</v>
      </c>
      <c r="D63" s="46" t="s">
        <v>88</v>
      </c>
      <c r="E63" s="47"/>
      <c r="F63" s="47"/>
      <c r="G63" s="47"/>
      <c r="H63" s="47"/>
      <c r="I63" s="47"/>
      <c r="J63" s="47"/>
      <c r="K63" s="47"/>
      <c r="L63" s="47"/>
      <c r="M63" s="47"/>
      <c r="N63" s="47"/>
      <c r="O63" s="47"/>
      <c r="P63" s="47"/>
      <c r="Q63" s="47"/>
      <c r="R63" s="47"/>
      <c r="S63" s="47"/>
      <c r="T63" s="47"/>
      <c r="U63" s="47"/>
      <c r="V63" s="47"/>
      <c r="W63" s="47">
        <v>0</v>
      </c>
      <c r="X63" s="47">
        <v>0</v>
      </c>
      <c r="Y63" s="48"/>
      <c r="Z63" s="69"/>
      <c r="AA63" s="62"/>
      <c r="AB63" s="50"/>
      <c r="AC63" s="62"/>
      <c r="AD63" s="62"/>
      <c r="AE63" s="50"/>
      <c r="AF63" s="50"/>
      <c r="AG63" s="49"/>
      <c r="AH63" s="70" t="s">
        <v>74</v>
      </c>
      <c r="AI63" s="70" t="s">
        <v>74</v>
      </c>
      <c r="AJ63" s="70" t="s">
        <v>74</v>
      </c>
      <c r="AK63" s="70" t="s">
        <v>74</v>
      </c>
      <c r="AL63" s="70" t="s">
        <v>74</v>
      </c>
      <c r="AM63" s="70" t="s">
        <v>74</v>
      </c>
      <c r="AN63" s="52"/>
      <c r="AO63" s="52"/>
      <c r="AP63" s="52"/>
      <c r="AQ63" s="52"/>
      <c r="AR63" s="52"/>
      <c r="AS63" s="52"/>
      <c r="AT63" s="70" t="s">
        <v>74</v>
      </c>
      <c r="AU63" s="52"/>
      <c r="AV63" s="52"/>
      <c r="AW63" s="52"/>
      <c r="AX63" s="68">
        <v>1693015.63</v>
      </c>
      <c r="AY63" s="52"/>
      <c r="AZ63" s="52"/>
      <c r="BA63" s="52">
        <f t="shared" si="0"/>
        <v>1693015.63</v>
      </c>
      <c r="BB63" s="52" t="s">
        <v>74</v>
      </c>
      <c r="BC63" s="52" t="s">
        <v>74</v>
      </c>
      <c r="BD63" s="52" t="s">
        <v>74</v>
      </c>
      <c r="BE63" s="55" t="s">
        <v>189</v>
      </c>
      <c r="BF63" s="52" t="s">
        <v>74</v>
      </c>
      <c r="BG63" s="52"/>
      <c r="BH63" s="52">
        <f t="shared" si="1"/>
        <v>1693015.63</v>
      </c>
      <c r="BI63" s="52">
        <f t="shared" si="2"/>
        <v>1693015.63</v>
      </c>
      <c r="BJ63" s="52">
        <f t="shared" si="3"/>
        <v>0</v>
      </c>
      <c r="BK63" s="56">
        <v>44440</v>
      </c>
      <c r="BL63" s="63">
        <v>1693015.63</v>
      </c>
      <c r="BM63" s="47">
        <v>0</v>
      </c>
      <c r="BN63" s="9"/>
      <c r="BO63" s="9"/>
      <c r="BP63" s="9"/>
      <c r="BQ63" s="9"/>
      <c r="BR63" s="9"/>
      <c r="BS63" s="9"/>
      <c r="BT63" s="9"/>
      <c r="BU63" s="9"/>
      <c r="BV63" s="9"/>
      <c r="BW63" s="9"/>
    </row>
    <row r="64" spans="1:75" hidden="1" outlineLevel="2" x14ac:dyDescent="0.25">
      <c r="A64" s="71" t="s">
        <v>71</v>
      </c>
      <c r="B64" s="72" t="s">
        <v>72</v>
      </c>
      <c r="C64" s="73">
        <v>2021</v>
      </c>
      <c r="D64" s="74" t="s">
        <v>89</v>
      </c>
      <c r="E64" s="75"/>
      <c r="F64" s="75"/>
      <c r="G64" s="75"/>
      <c r="H64" s="75"/>
      <c r="I64" s="75"/>
      <c r="J64" s="75"/>
      <c r="K64" s="75"/>
      <c r="L64" s="75"/>
      <c r="M64" s="75"/>
      <c r="N64" s="75"/>
      <c r="O64" s="75"/>
      <c r="P64" s="75"/>
      <c r="Q64" s="75"/>
      <c r="R64" s="75"/>
      <c r="S64" s="75"/>
      <c r="T64" s="75"/>
      <c r="U64" s="75"/>
      <c r="V64" s="75"/>
      <c r="W64" s="75">
        <v>0</v>
      </c>
      <c r="X64" s="75">
        <v>0</v>
      </c>
      <c r="Y64" s="76"/>
      <c r="Z64" s="77"/>
      <c r="AA64" s="78"/>
      <c r="AB64" s="79"/>
      <c r="AC64" s="78"/>
      <c r="AD64" s="78"/>
      <c r="AE64" s="79"/>
      <c r="AF64" s="79"/>
      <c r="AG64" s="80">
        <f>SUM(AA64:AF64)</f>
        <v>0</v>
      </c>
      <c r="AH64" s="81" t="s">
        <v>74</v>
      </c>
      <c r="AI64" s="81" t="s">
        <v>74</v>
      </c>
      <c r="AJ64" s="81" t="s">
        <v>74</v>
      </c>
      <c r="AK64" s="81" t="s">
        <v>74</v>
      </c>
      <c r="AL64" s="81" t="s">
        <v>74</v>
      </c>
      <c r="AM64" s="81" t="s">
        <v>74</v>
      </c>
      <c r="AN64" s="82"/>
      <c r="AO64" s="82"/>
      <c r="AP64" s="82"/>
      <c r="AQ64" s="82"/>
      <c r="AR64" s="82"/>
      <c r="AS64" s="82"/>
      <c r="AT64" s="81" t="s">
        <v>74</v>
      </c>
      <c r="AU64" s="82"/>
      <c r="AV64" s="82"/>
      <c r="AW64" s="82"/>
      <c r="AX64" s="82"/>
      <c r="AY64" s="82"/>
      <c r="AZ64" s="82"/>
      <c r="BA64" s="82">
        <f t="shared" si="0"/>
        <v>0</v>
      </c>
      <c r="BB64" s="82" t="s">
        <v>74</v>
      </c>
      <c r="BC64" s="82" t="s">
        <v>74</v>
      </c>
      <c r="BD64" s="82" t="s">
        <v>74</v>
      </c>
      <c r="BE64" s="82" t="s">
        <v>74</v>
      </c>
      <c r="BF64" s="82" t="s">
        <v>74</v>
      </c>
      <c r="BG64" s="82"/>
      <c r="BH64" s="82">
        <f t="shared" si="1"/>
        <v>0</v>
      </c>
      <c r="BI64" s="82">
        <f t="shared" si="2"/>
        <v>0</v>
      </c>
      <c r="BJ64" s="52">
        <f t="shared" si="3"/>
        <v>0</v>
      </c>
      <c r="BK64" s="56">
        <v>44470</v>
      </c>
      <c r="BL64" s="83"/>
      <c r="BM64" s="75">
        <v>0</v>
      </c>
      <c r="BN64" s="9"/>
      <c r="BO64" s="9"/>
      <c r="BP64" s="9"/>
      <c r="BQ64" s="9"/>
      <c r="BR64" s="9"/>
      <c r="BS64" s="9"/>
      <c r="BT64" s="9"/>
      <c r="BU64" s="9"/>
      <c r="BV64" s="9"/>
      <c r="BW64" s="9"/>
    </row>
    <row r="65" spans="1:75" hidden="1" outlineLevel="1" collapsed="1" x14ac:dyDescent="0.25">
      <c r="A65" s="84"/>
      <c r="B65" s="85" t="s">
        <v>190</v>
      </c>
      <c r="C65" s="86"/>
      <c r="D65" s="87"/>
      <c r="E65" s="88"/>
      <c r="F65" s="88"/>
      <c r="G65" s="88"/>
      <c r="H65" s="88"/>
      <c r="I65" s="88"/>
      <c r="J65" s="88"/>
      <c r="K65" s="88"/>
      <c r="L65" s="88"/>
      <c r="M65" s="88"/>
      <c r="N65" s="88"/>
      <c r="O65" s="88"/>
      <c r="P65" s="88"/>
      <c r="Q65" s="88"/>
      <c r="R65" s="88"/>
      <c r="S65" s="88"/>
      <c r="T65" s="88"/>
      <c r="U65" s="88"/>
      <c r="V65" s="88"/>
      <c r="W65" s="88"/>
      <c r="X65" s="88"/>
      <c r="Y65" s="89">
        <f t="shared" ref="Y65:AG65" si="4">SUBTOTAL(9,Y7:Y64)</f>
        <v>0</v>
      </c>
      <c r="Z65" s="90">
        <f t="shared" si="4"/>
        <v>0</v>
      </c>
      <c r="AA65" s="90">
        <f t="shared" si="4"/>
        <v>0</v>
      </c>
      <c r="AB65" s="89">
        <f t="shared" si="4"/>
        <v>0</v>
      </c>
      <c r="AC65" s="90">
        <f t="shared" si="4"/>
        <v>0</v>
      </c>
      <c r="AD65" s="90">
        <f t="shared" si="4"/>
        <v>0</v>
      </c>
      <c r="AE65" s="89">
        <f t="shared" si="4"/>
        <v>0</v>
      </c>
      <c r="AF65" s="89">
        <f t="shared" si="4"/>
        <v>0</v>
      </c>
      <c r="AG65" s="89">
        <f t="shared" si="4"/>
        <v>0</v>
      </c>
      <c r="AH65" s="91"/>
      <c r="AI65" s="91"/>
      <c r="AJ65" s="91"/>
      <c r="AK65" s="91"/>
      <c r="AL65" s="91"/>
      <c r="AM65" s="91"/>
      <c r="AN65" s="92">
        <f t="shared" ref="AN65:AS65" si="5">SUBTOTAL(9,AN7:AN64)</f>
        <v>0</v>
      </c>
      <c r="AO65" s="92">
        <f t="shared" si="5"/>
        <v>0</v>
      </c>
      <c r="AP65" s="92">
        <f t="shared" si="5"/>
        <v>0</v>
      </c>
      <c r="AQ65" s="92">
        <f t="shared" si="5"/>
        <v>0</v>
      </c>
      <c r="AR65" s="92">
        <f t="shared" si="5"/>
        <v>0</v>
      </c>
      <c r="AS65" s="92">
        <f t="shared" si="5"/>
        <v>0</v>
      </c>
      <c r="AT65" s="91"/>
      <c r="AU65" s="92">
        <f t="shared" ref="AU65:BA65" si="6">SUBTOTAL(9,AU7:AU64)</f>
        <v>0</v>
      </c>
      <c r="AV65" s="92">
        <f t="shared" si="6"/>
        <v>0</v>
      </c>
      <c r="AW65" s="92">
        <f t="shared" si="6"/>
        <v>0</v>
      </c>
      <c r="AX65" s="92">
        <f t="shared" si="6"/>
        <v>0</v>
      </c>
      <c r="AY65" s="92">
        <f t="shared" si="6"/>
        <v>0</v>
      </c>
      <c r="AZ65" s="92">
        <f t="shared" si="6"/>
        <v>0</v>
      </c>
      <c r="BA65" s="92">
        <f t="shared" si="6"/>
        <v>0</v>
      </c>
      <c r="BB65" s="92"/>
      <c r="BC65" s="92"/>
      <c r="BD65" s="92"/>
      <c r="BE65" s="92"/>
      <c r="BF65" s="92"/>
      <c r="BG65" s="92"/>
      <c r="BH65" s="92">
        <f>SUBTOTAL(9,BH7:BH64)</f>
        <v>0</v>
      </c>
      <c r="BI65" s="92">
        <f>SUBTOTAL(9,BI7:BI64)</f>
        <v>0</v>
      </c>
      <c r="BJ65" s="93"/>
      <c r="BK65" s="94"/>
      <c r="BL65" s="95">
        <f>SUBTOTAL(9,BL7:BL64)</f>
        <v>0</v>
      </c>
      <c r="BM65" s="88">
        <f>SUBTOTAL(9,BM7:BM64)</f>
        <v>0</v>
      </c>
      <c r="BN65" s="9"/>
      <c r="BO65" s="9"/>
      <c r="BP65" s="9"/>
      <c r="BQ65" s="9"/>
      <c r="BR65" s="9"/>
      <c r="BS65" s="9"/>
      <c r="BT65" s="9"/>
      <c r="BU65" s="9"/>
      <c r="BV65" s="9"/>
      <c r="BW65" s="9"/>
    </row>
    <row r="66" spans="1:75" hidden="1" outlineLevel="2" x14ac:dyDescent="0.25">
      <c r="A66" s="96" t="s">
        <v>71</v>
      </c>
      <c r="B66" s="97" t="s">
        <v>191</v>
      </c>
      <c r="C66" s="98">
        <v>2017</v>
      </c>
      <c r="D66" s="99" t="s">
        <v>73</v>
      </c>
      <c r="E66" s="100">
        <v>0</v>
      </c>
      <c r="F66" s="100">
        <v>0</v>
      </c>
      <c r="G66" s="100">
        <v>0</v>
      </c>
      <c r="H66" s="100">
        <v>0</v>
      </c>
      <c r="I66" s="100">
        <v>0</v>
      </c>
      <c r="J66" s="100">
        <v>0</v>
      </c>
      <c r="K66" s="100">
        <v>0</v>
      </c>
      <c r="L66" s="100">
        <v>0</v>
      </c>
      <c r="M66" s="100">
        <v>0</v>
      </c>
      <c r="N66" s="100">
        <v>0</v>
      </c>
      <c r="O66" s="100">
        <v>7739303.1900000004</v>
      </c>
      <c r="P66" s="100">
        <v>0</v>
      </c>
      <c r="Q66" s="100">
        <v>0</v>
      </c>
      <c r="R66" s="100">
        <v>0</v>
      </c>
      <c r="S66" s="100">
        <v>0</v>
      </c>
      <c r="T66" s="100">
        <v>0</v>
      </c>
      <c r="U66" s="100">
        <v>0</v>
      </c>
      <c r="V66" s="100">
        <v>0</v>
      </c>
      <c r="W66" s="100">
        <v>0</v>
      </c>
      <c r="X66" s="100">
        <v>0</v>
      </c>
      <c r="Y66" s="101">
        <v>7739303.1900000004</v>
      </c>
      <c r="Z66" s="102">
        <v>0</v>
      </c>
      <c r="AA66" s="103">
        <v>0</v>
      </c>
      <c r="AB66" s="103">
        <v>0</v>
      </c>
      <c r="AC66" s="103">
        <v>0</v>
      </c>
      <c r="AD66" s="103">
        <v>0</v>
      </c>
      <c r="AE66" s="103">
        <v>0</v>
      </c>
      <c r="AF66" s="103">
        <v>0</v>
      </c>
      <c r="AG66" s="102">
        <v>0</v>
      </c>
      <c r="AH66" s="104" t="s">
        <v>74</v>
      </c>
      <c r="AI66" s="104" t="s">
        <v>74</v>
      </c>
      <c r="AJ66" s="104" t="s">
        <v>74</v>
      </c>
      <c r="AK66" s="104" t="s">
        <v>74</v>
      </c>
      <c r="AL66" s="104" t="s">
        <v>74</v>
      </c>
      <c r="AM66" s="104" t="s">
        <v>74</v>
      </c>
      <c r="AN66" s="105">
        <v>0</v>
      </c>
      <c r="AO66" s="105">
        <v>0</v>
      </c>
      <c r="AP66" s="105">
        <v>0</v>
      </c>
      <c r="AQ66" s="105">
        <v>0</v>
      </c>
      <c r="AR66" s="105">
        <v>0</v>
      </c>
      <c r="AS66" s="105">
        <v>0</v>
      </c>
      <c r="AT66" s="106" t="s">
        <v>74</v>
      </c>
      <c r="AU66" s="105">
        <v>0</v>
      </c>
      <c r="AV66" s="105"/>
      <c r="AW66" s="105">
        <v>0</v>
      </c>
      <c r="AX66" s="105"/>
      <c r="AY66" s="105"/>
      <c r="AZ66" s="105">
        <v>0</v>
      </c>
      <c r="BA66" s="105">
        <v>0</v>
      </c>
      <c r="BB66" s="107" t="s">
        <v>74</v>
      </c>
      <c r="BC66" s="106" t="s">
        <v>74</v>
      </c>
      <c r="BD66" s="108" t="s">
        <v>74</v>
      </c>
      <c r="BE66" s="108" t="s">
        <v>74</v>
      </c>
      <c r="BF66" s="108" t="s">
        <v>74</v>
      </c>
      <c r="BG66" s="108" t="s">
        <v>74</v>
      </c>
      <c r="BH66" s="105">
        <v>0</v>
      </c>
      <c r="BI66" s="105">
        <v>7739303.1900000004</v>
      </c>
      <c r="BJ66" s="52">
        <v>7739303.1900000004</v>
      </c>
      <c r="BK66" s="56">
        <v>42736</v>
      </c>
      <c r="BL66" s="109">
        <v>7739303.1900000004</v>
      </c>
      <c r="BM66" s="100">
        <v>0</v>
      </c>
      <c r="BN66" s="9"/>
      <c r="BO66" s="9"/>
      <c r="BP66" s="9"/>
      <c r="BQ66" s="9"/>
      <c r="BR66" s="9"/>
      <c r="BS66" s="9"/>
      <c r="BT66" s="9"/>
      <c r="BU66" s="9"/>
      <c r="BV66" s="9"/>
      <c r="BW66" s="9"/>
    </row>
    <row r="67" spans="1:75" hidden="1" outlineLevel="2" x14ac:dyDescent="0.25">
      <c r="A67" s="43" t="s">
        <v>71</v>
      </c>
      <c r="B67" s="110" t="s">
        <v>191</v>
      </c>
      <c r="C67" s="45">
        <v>2017</v>
      </c>
      <c r="D67" s="46" t="s">
        <v>75</v>
      </c>
      <c r="E67" s="47">
        <v>0</v>
      </c>
      <c r="F67" s="47">
        <v>0</v>
      </c>
      <c r="G67" s="47">
        <v>0</v>
      </c>
      <c r="H67" s="47">
        <v>0</v>
      </c>
      <c r="I67" s="47">
        <v>0</v>
      </c>
      <c r="J67" s="47">
        <v>0</v>
      </c>
      <c r="K67" s="47">
        <v>0</v>
      </c>
      <c r="L67" s="47">
        <v>0</v>
      </c>
      <c r="M67" s="47">
        <v>0</v>
      </c>
      <c r="N67" s="47">
        <v>0</v>
      </c>
      <c r="O67" s="47">
        <v>7739303.1900000004</v>
      </c>
      <c r="P67" s="47">
        <v>0</v>
      </c>
      <c r="Q67" s="47">
        <v>0</v>
      </c>
      <c r="R67" s="47">
        <v>0</v>
      </c>
      <c r="S67" s="47">
        <v>0</v>
      </c>
      <c r="T67" s="47">
        <v>0</v>
      </c>
      <c r="U67" s="47">
        <v>0</v>
      </c>
      <c r="V67" s="47">
        <v>0</v>
      </c>
      <c r="W67" s="47">
        <v>0</v>
      </c>
      <c r="X67" s="47">
        <v>0</v>
      </c>
      <c r="Y67" s="48">
        <v>7739303.1900000004</v>
      </c>
      <c r="Z67" s="49">
        <v>0</v>
      </c>
      <c r="AA67" s="50">
        <v>0</v>
      </c>
      <c r="AB67" s="50">
        <v>0</v>
      </c>
      <c r="AC67" s="50">
        <v>0</v>
      </c>
      <c r="AD67" s="50">
        <v>0</v>
      </c>
      <c r="AE67" s="50">
        <v>0</v>
      </c>
      <c r="AF67" s="50">
        <v>0</v>
      </c>
      <c r="AG67" s="49">
        <v>0</v>
      </c>
      <c r="AH67" s="51" t="s">
        <v>74</v>
      </c>
      <c r="AI67" s="51" t="s">
        <v>74</v>
      </c>
      <c r="AJ67" s="51" t="s">
        <v>74</v>
      </c>
      <c r="AK67" s="51" t="s">
        <v>74</v>
      </c>
      <c r="AL67" s="51" t="s">
        <v>74</v>
      </c>
      <c r="AM67" s="51" t="s">
        <v>74</v>
      </c>
      <c r="AN67" s="52">
        <v>0</v>
      </c>
      <c r="AO67" s="52">
        <v>0</v>
      </c>
      <c r="AP67" s="52">
        <v>0</v>
      </c>
      <c r="AQ67" s="52">
        <v>0</v>
      </c>
      <c r="AR67" s="52">
        <v>0</v>
      </c>
      <c r="AS67" s="52">
        <v>0</v>
      </c>
      <c r="AT67" s="53" t="s">
        <v>74</v>
      </c>
      <c r="AU67" s="52">
        <v>0</v>
      </c>
      <c r="AV67" s="52"/>
      <c r="AW67" s="52">
        <v>0</v>
      </c>
      <c r="AX67" s="52"/>
      <c r="AY67" s="52"/>
      <c r="AZ67" s="52">
        <v>0</v>
      </c>
      <c r="BA67" s="52">
        <v>0</v>
      </c>
      <c r="BB67" s="54" t="s">
        <v>74</v>
      </c>
      <c r="BC67" s="53" t="s">
        <v>74</v>
      </c>
      <c r="BD67" s="55" t="s">
        <v>74</v>
      </c>
      <c r="BE67" s="55" t="s">
        <v>74</v>
      </c>
      <c r="BF67" s="55" t="s">
        <v>74</v>
      </c>
      <c r="BG67" s="55" t="s">
        <v>74</v>
      </c>
      <c r="BH67" s="52">
        <v>0</v>
      </c>
      <c r="BI67" s="52">
        <v>7739303.1900000004</v>
      </c>
      <c r="BJ67" s="52">
        <v>7739303.1900000004</v>
      </c>
      <c r="BK67" s="56">
        <v>42767</v>
      </c>
      <c r="BL67" s="57">
        <v>7739303.1900000004</v>
      </c>
      <c r="BM67" s="47">
        <v>0</v>
      </c>
      <c r="BN67" s="9"/>
      <c r="BO67" s="9"/>
      <c r="BP67" s="9"/>
      <c r="BQ67" s="9"/>
      <c r="BR67" s="9"/>
      <c r="BS67" s="9"/>
      <c r="BT67" s="9"/>
      <c r="BU67" s="9"/>
      <c r="BV67" s="9"/>
      <c r="BW67" s="9"/>
    </row>
    <row r="68" spans="1:75" hidden="1" outlineLevel="2" x14ac:dyDescent="0.25">
      <c r="A68" s="43" t="s">
        <v>71</v>
      </c>
      <c r="B68" s="110" t="s">
        <v>191</v>
      </c>
      <c r="C68" s="45">
        <v>2017</v>
      </c>
      <c r="D68" s="46" t="s">
        <v>77</v>
      </c>
      <c r="E68" s="47">
        <v>0</v>
      </c>
      <c r="F68" s="47">
        <v>0</v>
      </c>
      <c r="G68" s="47">
        <v>0</v>
      </c>
      <c r="H68" s="47">
        <v>0</v>
      </c>
      <c r="I68" s="47">
        <v>0</v>
      </c>
      <c r="J68" s="47">
        <v>0</v>
      </c>
      <c r="K68" s="47">
        <v>0</v>
      </c>
      <c r="L68" s="47">
        <v>0</v>
      </c>
      <c r="M68" s="47">
        <v>0</v>
      </c>
      <c r="N68" s="47">
        <v>0</v>
      </c>
      <c r="O68" s="47">
        <v>6965372.8700000001</v>
      </c>
      <c r="P68" s="47">
        <v>866968.08100000001</v>
      </c>
      <c r="Q68" s="47">
        <v>0</v>
      </c>
      <c r="R68" s="47">
        <v>0</v>
      </c>
      <c r="S68" s="47">
        <v>0</v>
      </c>
      <c r="T68" s="47">
        <v>0</v>
      </c>
      <c r="U68" s="47">
        <v>0</v>
      </c>
      <c r="V68" s="47">
        <v>0</v>
      </c>
      <c r="W68" s="47">
        <v>0</v>
      </c>
      <c r="X68" s="47">
        <v>0</v>
      </c>
      <c r="Y68" s="48">
        <v>7832340.9510000004</v>
      </c>
      <c r="Z68" s="49">
        <v>0</v>
      </c>
      <c r="AA68" s="50">
        <v>0</v>
      </c>
      <c r="AB68" s="50">
        <v>0</v>
      </c>
      <c r="AC68" s="50">
        <v>0</v>
      </c>
      <c r="AD68" s="50">
        <v>0</v>
      </c>
      <c r="AE68" s="50">
        <v>0</v>
      </c>
      <c r="AF68" s="50">
        <v>0</v>
      </c>
      <c r="AG68" s="49">
        <v>0</v>
      </c>
      <c r="AH68" s="51" t="s">
        <v>74</v>
      </c>
      <c r="AI68" s="51" t="s">
        <v>74</v>
      </c>
      <c r="AJ68" s="51" t="s">
        <v>74</v>
      </c>
      <c r="AK68" s="51" t="s">
        <v>74</v>
      </c>
      <c r="AL68" s="51" t="s">
        <v>74</v>
      </c>
      <c r="AM68" s="51" t="s">
        <v>74</v>
      </c>
      <c r="AN68" s="52">
        <v>0</v>
      </c>
      <c r="AO68" s="52">
        <v>0</v>
      </c>
      <c r="AP68" s="52">
        <v>0</v>
      </c>
      <c r="AQ68" s="52">
        <v>0</v>
      </c>
      <c r="AR68" s="52">
        <v>0</v>
      </c>
      <c r="AS68" s="52">
        <v>0</v>
      </c>
      <c r="AT68" s="53" t="s">
        <v>74</v>
      </c>
      <c r="AU68" s="52">
        <v>0</v>
      </c>
      <c r="AV68" s="52"/>
      <c r="AW68" s="52">
        <v>0</v>
      </c>
      <c r="AX68" s="52"/>
      <c r="AY68" s="52"/>
      <c r="AZ68" s="52">
        <v>0</v>
      </c>
      <c r="BA68" s="52">
        <v>0</v>
      </c>
      <c r="BB68" s="54" t="s">
        <v>74</v>
      </c>
      <c r="BC68" s="53" t="s">
        <v>74</v>
      </c>
      <c r="BD68" s="55" t="s">
        <v>74</v>
      </c>
      <c r="BE68" s="55" t="s">
        <v>74</v>
      </c>
      <c r="BF68" s="55" t="s">
        <v>74</v>
      </c>
      <c r="BG68" s="55" t="s">
        <v>74</v>
      </c>
      <c r="BH68" s="52">
        <v>0</v>
      </c>
      <c r="BI68" s="52">
        <v>7832340.9510000004</v>
      </c>
      <c r="BJ68" s="52">
        <v>7832340.9510000004</v>
      </c>
      <c r="BK68" s="56">
        <v>42795</v>
      </c>
      <c r="BL68" s="57">
        <v>7832340.9500000002</v>
      </c>
      <c r="BM68" s="47">
        <v>0</v>
      </c>
      <c r="BN68" s="9"/>
      <c r="BO68" s="9"/>
      <c r="BP68" s="9"/>
      <c r="BQ68" s="9"/>
      <c r="BR68" s="9"/>
      <c r="BS68" s="9"/>
      <c r="BT68" s="9"/>
      <c r="BU68" s="9"/>
      <c r="BV68" s="9"/>
      <c r="BW68" s="9"/>
    </row>
    <row r="69" spans="1:75" hidden="1" outlineLevel="2" x14ac:dyDescent="0.25">
      <c r="A69" s="43" t="s">
        <v>71</v>
      </c>
      <c r="B69" s="110" t="s">
        <v>191</v>
      </c>
      <c r="C69" s="45">
        <v>2017</v>
      </c>
      <c r="D69" s="46" t="s">
        <v>79</v>
      </c>
      <c r="E69" s="47">
        <v>0</v>
      </c>
      <c r="F69" s="47">
        <v>0</v>
      </c>
      <c r="G69" s="47">
        <v>0</v>
      </c>
      <c r="H69" s="47">
        <v>0</v>
      </c>
      <c r="I69" s="47">
        <v>0</v>
      </c>
      <c r="J69" s="47">
        <v>0</v>
      </c>
      <c r="K69" s="47">
        <v>0</v>
      </c>
      <c r="L69" s="47">
        <v>0</v>
      </c>
      <c r="M69" s="47">
        <v>0</v>
      </c>
      <c r="N69" s="47">
        <v>0</v>
      </c>
      <c r="O69" s="47">
        <v>0</v>
      </c>
      <c r="P69" s="47">
        <v>8725488.8200000003</v>
      </c>
      <c r="Q69" s="47">
        <v>0</v>
      </c>
      <c r="R69" s="47">
        <v>0</v>
      </c>
      <c r="S69" s="47">
        <v>0</v>
      </c>
      <c r="T69" s="47">
        <v>0</v>
      </c>
      <c r="U69" s="47">
        <v>0</v>
      </c>
      <c r="V69" s="47">
        <v>0</v>
      </c>
      <c r="W69" s="47">
        <v>0</v>
      </c>
      <c r="X69" s="47">
        <v>0</v>
      </c>
      <c r="Y69" s="48">
        <v>8725488.8200000003</v>
      </c>
      <c r="Z69" s="49">
        <v>0</v>
      </c>
      <c r="AA69" s="50">
        <v>0</v>
      </c>
      <c r="AB69" s="50">
        <v>0</v>
      </c>
      <c r="AC69" s="50">
        <v>0</v>
      </c>
      <c r="AD69" s="50">
        <v>0</v>
      </c>
      <c r="AE69" s="50">
        <v>0</v>
      </c>
      <c r="AF69" s="50">
        <v>0</v>
      </c>
      <c r="AG69" s="49">
        <v>0</v>
      </c>
      <c r="AH69" s="51" t="s">
        <v>74</v>
      </c>
      <c r="AI69" s="51" t="s">
        <v>74</v>
      </c>
      <c r="AJ69" s="51" t="s">
        <v>74</v>
      </c>
      <c r="AK69" s="51" t="s">
        <v>74</v>
      </c>
      <c r="AL69" s="51" t="s">
        <v>74</v>
      </c>
      <c r="AM69" s="51" t="s">
        <v>74</v>
      </c>
      <c r="AN69" s="52">
        <v>0</v>
      </c>
      <c r="AO69" s="52">
        <v>0</v>
      </c>
      <c r="AP69" s="52">
        <v>0</v>
      </c>
      <c r="AQ69" s="52">
        <v>0</v>
      </c>
      <c r="AR69" s="52">
        <v>0</v>
      </c>
      <c r="AS69" s="52">
        <v>0</v>
      </c>
      <c r="AT69" s="53" t="s">
        <v>74</v>
      </c>
      <c r="AU69" s="52">
        <v>0</v>
      </c>
      <c r="AV69" s="52"/>
      <c r="AW69" s="52">
        <v>0</v>
      </c>
      <c r="AX69" s="52"/>
      <c r="AY69" s="52"/>
      <c r="AZ69" s="52">
        <v>0</v>
      </c>
      <c r="BA69" s="52">
        <v>0</v>
      </c>
      <c r="BB69" s="54" t="s">
        <v>74</v>
      </c>
      <c r="BC69" s="53" t="s">
        <v>74</v>
      </c>
      <c r="BD69" s="55" t="s">
        <v>74</v>
      </c>
      <c r="BE69" s="55" t="s">
        <v>74</v>
      </c>
      <c r="BF69" s="55" t="s">
        <v>74</v>
      </c>
      <c r="BG69" s="55" t="s">
        <v>74</v>
      </c>
      <c r="BH69" s="52">
        <v>0</v>
      </c>
      <c r="BI69" s="52">
        <v>8725488.8200000003</v>
      </c>
      <c r="BJ69" s="52">
        <v>8669680.8200000003</v>
      </c>
      <c r="BK69" s="56">
        <v>42826</v>
      </c>
      <c r="BL69" s="57">
        <v>8725488.8200000003</v>
      </c>
      <c r="BM69" s="47">
        <v>0</v>
      </c>
      <c r="BN69" s="9"/>
      <c r="BO69" s="9"/>
      <c r="BP69" s="9"/>
      <c r="BQ69" s="9"/>
      <c r="BR69" s="9"/>
      <c r="BS69" s="9"/>
      <c r="BT69" s="9"/>
      <c r="BU69" s="9"/>
      <c r="BV69" s="9"/>
      <c r="BW69" s="9"/>
    </row>
    <row r="70" spans="1:75" hidden="1" outlineLevel="2" x14ac:dyDescent="0.25">
      <c r="A70" s="43" t="s">
        <v>71</v>
      </c>
      <c r="B70" s="110" t="s">
        <v>191</v>
      </c>
      <c r="C70" s="45">
        <v>2017</v>
      </c>
      <c r="D70" s="46" t="s">
        <v>81</v>
      </c>
      <c r="E70" s="47">
        <v>0</v>
      </c>
      <c r="F70" s="47">
        <v>0</v>
      </c>
      <c r="G70" s="47">
        <v>0</v>
      </c>
      <c r="H70" s="47">
        <v>0</v>
      </c>
      <c r="I70" s="47">
        <v>0</v>
      </c>
      <c r="J70" s="47">
        <v>0</v>
      </c>
      <c r="K70" s="47">
        <v>0</v>
      </c>
      <c r="L70" s="47">
        <v>0</v>
      </c>
      <c r="M70" s="47">
        <v>0</v>
      </c>
      <c r="N70" s="47">
        <v>0</v>
      </c>
      <c r="O70" s="47">
        <v>0</v>
      </c>
      <c r="P70" s="47">
        <v>8669680.8200000003</v>
      </c>
      <c r="Q70" s="47">
        <v>0</v>
      </c>
      <c r="R70" s="47">
        <v>0</v>
      </c>
      <c r="S70" s="47">
        <v>0</v>
      </c>
      <c r="T70" s="47">
        <v>0</v>
      </c>
      <c r="U70" s="47">
        <v>0</v>
      </c>
      <c r="V70" s="47">
        <v>0</v>
      </c>
      <c r="W70" s="47">
        <v>0</v>
      </c>
      <c r="X70" s="47">
        <v>0</v>
      </c>
      <c r="Y70" s="48">
        <v>8669680.8200000003</v>
      </c>
      <c r="Z70" s="49">
        <v>0</v>
      </c>
      <c r="AA70" s="50">
        <v>0</v>
      </c>
      <c r="AB70" s="50">
        <v>0</v>
      </c>
      <c r="AC70" s="50">
        <v>0</v>
      </c>
      <c r="AD70" s="50">
        <v>0</v>
      </c>
      <c r="AE70" s="50">
        <v>0</v>
      </c>
      <c r="AF70" s="50">
        <v>0</v>
      </c>
      <c r="AG70" s="49">
        <v>0</v>
      </c>
      <c r="AH70" s="51" t="s">
        <v>74</v>
      </c>
      <c r="AI70" s="51" t="s">
        <v>74</v>
      </c>
      <c r="AJ70" s="51" t="s">
        <v>74</v>
      </c>
      <c r="AK70" s="51" t="s">
        <v>74</v>
      </c>
      <c r="AL70" s="51" t="s">
        <v>74</v>
      </c>
      <c r="AM70" s="51" t="s">
        <v>74</v>
      </c>
      <c r="AN70" s="52">
        <v>0</v>
      </c>
      <c r="AO70" s="52">
        <v>0</v>
      </c>
      <c r="AP70" s="52">
        <v>0</v>
      </c>
      <c r="AQ70" s="52">
        <v>0</v>
      </c>
      <c r="AR70" s="52">
        <v>0</v>
      </c>
      <c r="AS70" s="52">
        <v>0</v>
      </c>
      <c r="AT70" s="53" t="s">
        <v>74</v>
      </c>
      <c r="AU70" s="52">
        <v>0</v>
      </c>
      <c r="AV70" s="52"/>
      <c r="AW70" s="52">
        <v>0</v>
      </c>
      <c r="AX70" s="52"/>
      <c r="AY70" s="52"/>
      <c r="AZ70" s="52">
        <v>0</v>
      </c>
      <c r="BA70" s="52">
        <v>0</v>
      </c>
      <c r="BB70" s="54" t="s">
        <v>74</v>
      </c>
      <c r="BC70" s="53" t="s">
        <v>74</v>
      </c>
      <c r="BD70" s="55" t="s">
        <v>74</v>
      </c>
      <c r="BE70" s="55" t="s">
        <v>74</v>
      </c>
      <c r="BF70" s="55" t="s">
        <v>74</v>
      </c>
      <c r="BG70" s="55" t="s">
        <v>74</v>
      </c>
      <c r="BH70" s="52">
        <v>0</v>
      </c>
      <c r="BI70" s="52">
        <v>8669680.8200000003</v>
      </c>
      <c r="BJ70" s="52">
        <v>8669680.8200000003</v>
      </c>
      <c r="BK70" s="56">
        <v>42856</v>
      </c>
      <c r="BL70" s="57">
        <v>8669680.8200000003</v>
      </c>
      <c r="BM70" s="47">
        <v>0</v>
      </c>
      <c r="BN70" s="9"/>
      <c r="BO70" s="9"/>
      <c r="BP70" s="9"/>
      <c r="BQ70" s="9"/>
      <c r="BR70" s="9"/>
      <c r="BS70" s="9"/>
      <c r="BT70" s="9"/>
      <c r="BU70" s="9"/>
      <c r="BV70" s="9"/>
      <c r="BW70" s="9"/>
    </row>
    <row r="71" spans="1:75" hidden="1" outlineLevel="2" x14ac:dyDescent="0.25">
      <c r="A71" s="43" t="s">
        <v>71</v>
      </c>
      <c r="B71" s="110" t="s">
        <v>191</v>
      </c>
      <c r="C71" s="45">
        <v>2017</v>
      </c>
      <c r="D71" s="46" t="s">
        <v>83</v>
      </c>
      <c r="E71" s="47">
        <v>0</v>
      </c>
      <c r="F71" s="47">
        <v>0</v>
      </c>
      <c r="G71" s="47">
        <v>0</v>
      </c>
      <c r="H71" s="47">
        <v>0</v>
      </c>
      <c r="I71" s="47">
        <v>0</v>
      </c>
      <c r="J71" s="47">
        <v>0</v>
      </c>
      <c r="K71" s="47">
        <v>0</v>
      </c>
      <c r="L71" s="47">
        <v>0</v>
      </c>
      <c r="M71" s="47">
        <v>0</v>
      </c>
      <c r="N71" s="47">
        <v>0</v>
      </c>
      <c r="O71" s="47">
        <v>0</v>
      </c>
      <c r="P71" s="47">
        <v>8669680.8200000003</v>
      </c>
      <c r="Q71" s="47">
        <v>0</v>
      </c>
      <c r="R71" s="47">
        <v>0</v>
      </c>
      <c r="S71" s="47">
        <v>0</v>
      </c>
      <c r="T71" s="47">
        <v>0</v>
      </c>
      <c r="U71" s="47">
        <v>0</v>
      </c>
      <c r="V71" s="47">
        <v>0</v>
      </c>
      <c r="W71" s="47">
        <v>0</v>
      </c>
      <c r="X71" s="47">
        <v>0</v>
      </c>
      <c r="Y71" s="48">
        <v>8669680.8200000003</v>
      </c>
      <c r="Z71" s="49">
        <v>0</v>
      </c>
      <c r="AA71" s="50">
        <v>0</v>
      </c>
      <c r="AB71" s="50">
        <v>0</v>
      </c>
      <c r="AC71" s="50">
        <v>0</v>
      </c>
      <c r="AD71" s="50">
        <v>0</v>
      </c>
      <c r="AE71" s="50">
        <v>0</v>
      </c>
      <c r="AF71" s="50">
        <v>0</v>
      </c>
      <c r="AG71" s="49">
        <v>0</v>
      </c>
      <c r="AH71" s="51" t="s">
        <v>74</v>
      </c>
      <c r="AI71" s="51" t="s">
        <v>74</v>
      </c>
      <c r="AJ71" s="51" t="s">
        <v>74</v>
      </c>
      <c r="AK71" s="51" t="s">
        <v>74</v>
      </c>
      <c r="AL71" s="51" t="s">
        <v>74</v>
      </c>
      <c r="AM71" s="51" t="s">
        <v>74</v>
      </c>
      <c r="AN71" s="52">
        <v>0</v>
      </c>
      <c r="AO71" s="52">
        <v>0</v>
      </c>
      <c r="AP71" s="52">
        <v>0</v>
      </c>
      <c r="AQ71" s="52">
        <v>0</v>
      </c>
      <c r="AR71" s="52">
        <v>0</v>
      </c>
      <c r="AS71" s="52">
        <v>0</v>
      </c>
      <c r="AT71" s="53" t="s">
        <v>74</v>
      </c>
      <c r="AU71" s="52">
        <v>0</v>
      </c>
      <c r="AV71" s="52"/>
      <c r="AW71" s="52">
        <v>0</v>
      </c>
      <c r="AX71" s="52"/>
      <c r="AY71" s="52"/>
      <c r="AZ71" s="52">
        <v>0</v>
      </c>
      <c r="BA71" s="52">
        <v>0</v>
      </c>
      <c r="BB71" s="54" t="s">
        <v>74</v>
      </c>
      <c r="BC71" s="53" t="s">
        <v>74</v>
      </c>
      <c r="BD71" s="55" t="s">
        <v>74</v>
      </c>
      <c r="BE71" s="55" t="s">
        <v>74</v>
      </c>
      <c r="BF71" s="55" t="s">
        <v>74</v>
      </c>
      <c r="BG71" s="55" t="s">
        <v>74</v>
      </c>
      <c r="BH71" s="52">
        <v>0</v>
      </c>
      <c r="BI71" s="52">
        <v>8669680.8200000003</v>
      </c>
      <c r="BJ71" s="52">
        <v>8669680.8200000003</v>
      </c>
      <c r="BK71" s="56">
        <v>42887</v>
      </c>
      <c r="BL71" s="57">
        <v>8669680.8200000003</v>
      </c>
      <c r="BM71" s="47">
        <v>0</v>
      </c>
      <c r="BN71" s="9"/>
      <c r="BO71" s="9"/>
      <c r="BP71" s="9"/>
      <c r="BQ71" s="9"/>
      <c r="BR71" s="9"/>
      <c r="BS71" s="9"/>
      <c r="BT71" s="9"/>
      <c r="BU71" s="9"/>
      <c r="BV71" s="9"/>
      <c r="BW71" s="9"/>
    </row>
    <row r="72" spans="1:75" ht="36" hidden="1" customHeight="1" outlineLevel="2" x14ac:dyDescent="0.25">
      <c r="A72" s="43" t="s">
        <v>71</v>
      </c>
      <c r="B72" s="110" t="s">
        <v>191</v>
      </c>
      <c r="C72" s="45">
        <v>2017</v>
      </c>
      <c r="D72" s="46" t="s">
        <v>84</v>
      </c>
      <c r="E72" s="47">
        <v>0</v>
      </c>
      <c r="F72" s="47">
        <v>0</v>
      </c>
      <c r="G72" s="47">
        <v>0</v>
      </c>
      <c r="H72" s="47">
        <v>0</v>
      </c>
      <c r="I72" s="47">
        <v>0</v>
      </c>
      <c r="J72" s="47">
        <v>0</v>
      </c>
      <c r="K72" s="47">
        <v>0</v>
      </c>
      <c r="L72" s="47">
        <v>0</v>
      </c>
      <c r="M72" s="47">
        <v>0</v>
      </c>
      <c r="N72" s="47">
        <v>0</v>
      </c>
      <c r="O72" s="47">
        <v>0</v>
      </c>
      <c r="P72" s="47">
        <v>8669680.8200000003</v>
      </c>
      <c r="Q72" s="47">
        <v>0</v>
      </c>
      <c r="R72" s="47">
        <v>0</v>
      </c>
      <c r="S72" s="47">
        <v>0</v>
      </c>
      <c r="T72" s="47">
        <v>0</v>
      </c>
      <c r="U72" s="47">
        <v>0</v>
      </c>
      <c r="V72" s="47">
        <v>0</v>
      </c>
      <c r="W72" s="47">
        <v>0</v>
      </c>
      <c r="X72" s="47">
        <v>0</v>
      </c>
      <c r="Y72" s="48">
        <v>8669680.8200000003</v>
      </c>
      <c r="Z72" s="49">
        <v>0</v>
      </c>
      <c r="AA72" s="50">
        <v>0</v>
      </c>
      <c r="AB72" s="50">
        <v>0</v>
      </c>
      <c r="AC72" s="50">
        <v>0</v>
      </c>
      <c r="AD72" s="50">
        <v>0</v>
      </c>
      <c r="AE72" s="50">
        <v>0</v>
      </c>
      <c r="AF72" s="50">
        <v>0</v>
      </c>
      <c r="AG72" s="49">
        <v>0</v>
      </c>
      <c r="AH72" s="51" t="s">
        <v>74</v>
      </c>
      <c r="AI72" s="51" t="s">
        <v>74</v>
      </c>
      <c r="AJ72" s="51" t="s">
        <v>74</v>
      </c>
      <c r="AK72" s="51" t="s">
        <v>74</v>
      </c>
      <c r="AL72" s="51" t="s">
        <v>74</v>
      </c>
      <c r="AM72" s="51" t="s">
        <v>74</v>
      </c>
      <c r="AN72" s="52">
        <v>0</v>
      </c>
      <c r="AO72" s="52">
        <v>0</v>
      </c>
      <c r="AP72" s="52"/>
      <c r="AQ72" s="52">
        <v>0</v>
      </c>
      <c r="AR72" s="52">
        <v>0</v>
      </c>
      <c r="AS72" s="52">
        <v>0</v>
      </c>
      <c r="AT72" s="53" t="s">
        <v>74</v>
      </c>
      <c r="AU72" s="52">
        <v>68165.23</v>
      </c>
      <c r="AV72" s="52"/>
      <c r="AW72" s="52">
        <v>0</v>
      </c>
      <c r="AX72" s="52"/>
      <c r="AY72" s="52"/>
      <c r="AZ72" s="52">
        <v>0</v>
      </c>
      <c r="BA72" s="52">
        <v>68165.23</v>
      </c>
      <c r="BB72" s="55" t="s">
        <v>192</v>
      </c>
      <c r="BC72" s="51" t="s">
        <v>74</v>
      </c>
      <c r="BD72" s="54" t="s">
        <v>74</v>
      </c>
      <c r="BE72" s="54" t="s">
        <v>74</v>
      </c>
      <c r="BF72" s="54" t="s">
        <v>74</v>
      </c>
      <c r="BG72" s="54" t="s">
        <v>74</v>
      </c>
      <c r="BH72" s="52">
        <v>68165.23</v>
      </c>
      <c r="BI72" s="52">
        <v>8737846.0500000007</v>
      </c>
      <c r="BJ72" s="52">
        <v>8669680.8200000003</v>
      </c>
      <c r="BK72" s="56">
        <v>42917</v>
      </c>
      <c r="BL72" s="57">
        <v>8737846.0500000007</v>
      </c>
      <c r="BM72" s="47">
        <v>0</v>
      </c>
      <c r="BN72" s="9"/>
      <c r="BO72" s="9"/>
      <c r="BP72" s="9"/>
      <c r="BQ72" s="9"/>
      <c r="BR72" s="9"/>
      <c r="BS72" s="9"/>
      <c r="BT72" s="9"/>
      <c r="BU72" s="9"/>
      <c r="BV72" s="9"/>
      <c r="BW72" s="9"/>
    </row>
    <row r="73" spans="1:75" hidden="1" outlineLevel="2" x14ac:dyDescent="0.25">
      <c r="A73" s="43" t="s">
        <v>71</v>
      </c>
      <c r="B73" s="110" t="s">
        <v>191</v>
      </c>
      <c r="C73" s="45">
        <v>2017</v>
      </c>
      <c r="D73" s="46" t="s">
        <v>86</v>
      </c>
      <c r="E73" s="47">
        <v>0</v>
      </c>
      <c r="F73" s="47">
        <v>0</v>
      </c>
      <c r="G73" s="47">
        <v>0</v>
      </c>
      <c r="H73" s="47">
        <v>0</v>
      </c>
      <c r="I73" s="47">
        <v>0</v>
      </c>
      <c r="J73" s="47">
        <v>0</v>
      </c>
      <c r="K73" s="47">
        <v>0</v>
      </c>
      <c r="L73" s="47">
        <v>0</v>
      </c>
      <c r="M73" s="47">
        <v>0</v>
      </c>
      <c r="N73" s="47">
        <v>0</v>
      </c>
      <c r="O73" s="47">
        <v>0</v>
      </c>
      <c r="P73" s="47">
        <v>8669680.8200000003</v>
      </c>
      <c r="Q73" s="47">
        <v>0</v>
      </c>
      <c r="R73" s="47">
        <v>0</v>
      </c>
      <c r="S73" s="47">
        <v>0</v>
      </c>
      <c r="T73" s="47">
        <v>0</v>
      </c>
      <c r="U73" s="47">
        <v>0</v>
      </c>
      <c r="V73" s="47">
        <v>0</v>
      </c>
      <c r="W73" s="47">
        <v>0</v>
      </c>
      <c r="X73" s="47">
        <v>0</v>
      </c>
      <c r="Y73" s="48">
        <v>8669680.8200000003</v>
      </c>
      <c r="Z73" s="49">
        <v>0</v>
      </c>
      <c r="AA73" s="50">
        <v>0</v>
      </c>
      <c r="AB73" s="50">
        <v>0</v>
      </c>
      <c r="AC73" s="50">
        <v>0</v>
      </c>
      <c r="AD73" s="50">
        <v>0</v>
      </c>
      <c r="AE73" s="50">
        <v>0</v>
      </c>
      <c r="AF73" s="50">
        <v>0</v>
      </c>
      <c r="AG73" s="49">
        <v>0</v>
      </c>
      <c r="AH73" s="51" t="s">
        <v>74</v>
      </c>
      <c r="AI73" s="51" t="s">
        <v>74</v>
      </c>
      <c r="AJ73" s="51" t="s">
        <v>74</v>
      </c>
      <c r="AK73" s="51" t="s">
        <v>74</v>
      </c>
      <c r="AL73" s="51" t="s">
        <v>74</v>
      </c>
      <c r="AM73" s="51" t="s">
        <v>74</v>
      </c>
      <c r="AN73" s="52">
        <v>0</v>
      </c>
      <c r="AO73" s="52">
        <v>0</v>
      </c>
      <c r="AP73" s="52">
        <v>0</v>
      </c>
      <c r="AQ73" s="52">
        <v>0</v>
      </c>
      <c r="AR73" s="52">
        <v>0</v>
      </c>
      <c r="AS73" s="52">
        <v>0</v>
      </c>
      <c r="AT73" s="53" t="s">
        <v>74</v>
      </c>
      <c r="AU73" s="52">
        <v>0</v>
      </c>
      <c r="AV73" s="52"/>
      <c r="AW73" s="52">
        <v>0</v>
      </c>
      <c r="AX73" s="52"/>
      <c r="AY73" s="52"/>
      <c r="AZ73" s="52">
        <v>0</v>
      </c>
      <c r="BA73" s="52">
        <v>0</v>
      </c>
      <c r="BB73" s="54" t="s">
        <v>74</v>
      </c>
      <c r="BC73" s="53" t="s">
        <v>74</v>
      </c>
      <c r="BD73" s="55" t="s">
        <v>74</v>
      </c>
      <c r="BE73" s="55" t="s">
        <v>74</v>
      </c>
      <c r="BF73" s="55" t="s">
        <v>74</v>
      </c>
      <c r="BG73" s="55" t="s">
        <v>74</v>
      </c>
      <c r="BH73" s="52">
        <v>0</v>
      </c>
      <c r="BI73" s="52">
        <v>8669680.8200000003</v>
      </c>
      <c r="BJ73" s="52">
        <v>8669680.8200000003</v>
      </c>
      <c r="BK73" s="56">
        <v>42948</v>
      </c>
      <c r="BL73" s="57">
        <v>8669680.8200000003</v>
      </c>
      <c r="BM73" s="47">
        <v>0</v>
      </c>
      <c r="BN73" s="9"/>
      <c r="BO73" s="9"/>
      <c r="BP73" s="9"/>
      <c r="BQ73" s="9"/>
      <c r="BR73" s="9"/>
      <c r="BS73" s="9"/>
      <c r="BT73" s="9"/>
      <c r="BU73" s="9"/>
      <c r="BV73" s="9"/>
      <c r="BW73" s="9"/>
    </row>
    <row r="74" spans="1:75" ht="166.5" hidden="1" outlineLevel="2" x14ac:dyDescent="0.25">
      <c r="A74" s="43" t="s">
        <v>71</v>
      </c>
      <c r="B74" s="110" t="s">
        <v>191</v>
      </c>
      <c r="C74" s="45">
        <v>2017</v>
      </c>
      <c r="D74" s="46" t="s">
        <v>88</v>
      </c>
      <c r="E74" s="47">
        <v>0</v>
      </c>
      <c r="F74" s="47">
        <v>0</v>
      </c>
      <c r="G74" s="47">
        <v>0</v>
      </c>
      <c r="H74" s="47">
        <v>0</v>
      </c>
      <c r="I74" s="47">
        <v>0</v>
      </c>
      <c r="J74" s="47">
        <v>0</v>
      </c>
      <c r="K74" s="47">
        <v>0</v>
      </c>
      <c r="L74" s="47">
        <v>0</v>
      </c>
      <c r="M74" s="47">
        <v>0</v>
      </c>
      <c r="N74" s="47">
        <v>0</v>
      </c>
      <c r="O74" s="47">
        <v>0</v>
      </c>
      <c r="P74" s="47">
        <v>8669680.8200000003</v>
      </c>
      <c r="Q74" s="47">
        <v>0</v>
      </c>
      <c r="R74" s="47">
        <v>0</v>
      </c>
      <c r="S74" s="47">
        <v>0</v>
      </c>
      <c r="T74" s="47">
        <v>0</v>
      </c>
      <c r="U74" s="47">
        <v>0</v>
      </c>
      <c r="V74" s="47">
        <v>0</v>
      </c>
      <c r="W74" s="47">
        <v>0</v>
      </c>
      <c r="X74" s="47">
        <v>0</v>
      </c>
      <c r="Y74" s="48">
        <v>8669680.8200000003</v>
      </c>
      <c r="Z74" s="49">
        <v>0</v>
      </c>
      <c r="AA74" s="50">
        <v>0</v>
      </c>
      <c r="AB74" s="50">
        <v>0</v>
      </c>
      <c r="AC74" s="50">
        <v>0</v>
      </c>
      <c r="AD74" s="50">
        <v>0</v>
      </c>
      <c r="AE74" s="50">
        <v>6237640.4900000002</v>
      </c>
      <c r="AF74" s="50">
        <v>329192.52</v>
      </c>
      <c r="AG74" s="49">
        <v>6566833.0099999998</v>
      </c>
      <c r="AH74" s="51" t="s">
        <v>74</v>
      </c>
      <c r="AI74" s="51" t="s">
        <v>74</v>
      </c>
      <c r="AJ74" s="51" t="s">
        <v>74</v>
      </c>
      <c r="AK74" s="51" t="s">
        <v>74</v>
      </c>
      <c r="AL74" s="51" t="s">
        <v>193</v>
      </c>
      <c r="AM74" s="51" t="s">
        <v>194</v>
      </c>
      <c r="AN74" s="52">
        <v>0</v>
      </c>
      <c r="AO74" s="52">
        <v>0</v>
      </c>
      <c r="AP74" s="52"/>
      <c r="AQ74" s="52">
        <v>0</v>
      </c>
      <c r="AR74" s="52">
        <v>0</v>
      </c>
      <c r="AS74" s="52">
        <v>0</v>
      </c>
      <c r="AT74" s="53" t="s">
        <v>74</v>
      </c>
      <c r="AU74" s="52">
        <v>329192.52</v>
      </c>
      <c r="AV74" s="52"/>
      <c r="AW74" s="52">
        <v>0</v>
      </c>
      <c r="AX74" s="52"/>
      <c r="AY74" s="52"/>
      <c r="AZ74" s="52">
        <v>0</v>
      </c>
      <c r="BA74" s="52">
        <v>329192.52</v>
      </c>
      <c r="BB74" s="55" t="s">
        <v>195</v>
      </c>
      <c r="BC74" s="51" t="s">
        <v>74</v>
      </c>
      <c r="BD74" s="54" t="s">
        <v>74</v>
      </c>
      <c r="BE74" s="54" t="s">
        <v>74</v>
      </c>
      <c r="BF74" s="54" t="s">
        <v>74</v>
      </c>
      <c r="BG74" s="54" t="s">
        <v>74</v>
      </c>
      <c r="BH74" s="52">
        <v>329192.52</v>
      </c>
      <c r="BI74" s="52">
        <v>2432040.33</v>
      </c>
      <c r="BJ74" s="52">
        <v>2432040.33</v>
      </c>
      <c r="BK74" s="56">
        <v>42979</v>
      </c>
      <c r="BL74" s="57">
        <v>2432040.33</v>
      </c>
      <c r="BM74" s="47">
        <v>0</v>
      </c>
      <c r="BN74" s="9"/>
      <c r="BO74" s="9"/>
      <c r="BP74" s="9"/>
      <c r="BQ74" s="9"/>
      <c r="BR74" s="9"/>
      <c r="BS74" s="9"/>
      <c r="BT74" s="9"/>
      <c r="BU74" s="9"/>
      <c r="BV74" s="9"/>
      <c r="BW74" s="9"/>
    </row>
    <row r="75" spans="1:75" hidden="1" outlineLevel="2" x14ac:dyDescent="0.25">
      <c r="A75" s="43" t="s">
        <v>71</v>
      </c>
      <c r="B75" s="110" t="s">
        <v>191</v>
      </c>
      <c r="C75" s="45">
        <v>2017</v>
      </c>
      <c r="D75" s="46" t="s">
        <v>89</v>
      </c>
      <c r="E75" s="47">
        <v>0</v>
      </c>
      <c r="F75" s="47">
        <v>0</v>
      </c>
      <c r="G75" s="47">
        <v>0</v>
      </c>
      <c r="H75" s="47">
        <v>0</v>
      </c>
      <c r="I75" s="47">
        <v>0</v>
      </c>
      <c r="J75" s="47">
        <v>0</v>
      </c>
      <c r="K75" s="47">
        <v>0</v>
      </c>
      <c r="L75" s="47">
        <v>0</v>
      </c>
      <c r="M75" s="47">
        <v>0</v>
      </c>
      <c r="N75" s="47">
        <v>0</v>
      </c>
      <c r="O75" s="47">
        <v>0</v>
      </c>
      <c r="P75" s="47">
        <v>8669680.8200000003</v>
      </c>
      <c r="Q75" s="47">
        <v>0</v>
      </c>
      <c r="R75" s="47">
        <v>0</v>
      </c>
      <c r="S75" s="47">
        <v>0</v>
      </c>
      <c r="T75" s="47">
        <v>0</v>
      </c>
      <c r="U75" s="47">
        <v>0</v>
      </c>
      <c r="V75" s="47">
        <v>0</v>
      </c>
      <c r="W75" s="47">
        <v>0</v>
      </c>
      <c r="X75" s="47">
        <v>0</v>
      </c>
      <c r="Y75" s="48">
        <v>8669680.8200000003</v>
      </c>
      <c r="Z75" s="49">
        <v>0</v>
      </c>
      <c r="AA75" s="50">
        <v>0</v>
      </c>
      <c r="AB75" s="50">
        <v>0</v>
      </c>
      <c r="AC75" s="50">
        <v>0</v>
      </c>
      <c r="AD75" s="50">
        <v>0</v>
      </c>
      <c r="AE75" s="50">
        <v>0</v>
      </c>
      <c r="AF75" s="50">
        <v>0</v>
      </c>
      <c r="AG75" s="49">
        <v>0</v>
      </c>
      <c r="AH75" s="51" t="s">
        <v>74</v>
      </c>
      <c r="AI75" s="51" t="s">
        <v>74</v>
      </c>
      <c r="AJ75" s="51" t="s">
        <v>74</v>
      </c>
      <c r="AK75" s="51" t="s">
        <v>74</v>
      </c>
      <c r="AL75" s="51" t="s">
        <v>74</v>
      </c>
      <c r="AM75" s="51" t="s">
        <v>74</v>
      </c>
      <c r="AN75" s="52">
        <v>0</v>
      </c>
      <c r="AO75" s="52">
        <v>0</v>
      </c>
      <c r="AP75" s="52">
        <v>0</v>
      </c>
      <c r="AQ75" s="52">
        <v>0</v>
      </c>
      <c r="AR75" s="52">
        <v>0</v>
      </c>
      <c r="AS75" s="52">
        <v>0</v>
      </c>
      <c r="AT75" s="53" t="s">
        <v>74</v>
      </c>
      <c r="AU75" s="52">
        <v>0</v>
      </c>
      <c r="AV75" s="52"/>
      <c r="AW75" s="52">
        <v>0</v>
      </c>
      <c r="AX75" s="52"/>
      <c r="AY75" s="52"/>
      <c r="AZ75" s="52">
        <v>0</v>
      </c>
      <c r="BA75" s="52">
        <v>0</v>
      </c>
      <c r="BB75" s="54" t="s">
        <v>74</v>
      </c>
      <c r="BC75" s="53" t="s">
        <v>74</v>
      </c>
      <c r="BD75" s="55" t="s">
        <v>74</v>
      </c>
      <c r="BE75" s="55" t="s">
        <v>74</v>
      </c>
      <c r="BF75" s="55" t="s">
        <v>74</v>
      </c>
      <c r="BG75" s="55" t="s">
        <v>74</v>
      </c>
      <c r="BH75" s="52">
        <v>0</v>
      </c>
      <c r="BI75" s="52">
        <v>8669680.8200000003</v>
      </c>
      <c r="BJ75" s="52">
        <v>8669680.8200000003</v>
      </c>
      <c r="BK75" s="56">
        <v>43009</v>
      </c>
      <c r="BL75" s="57">
        <v>8669680.8200000003</v>
      </c>
      <c r="BM75" s="47">
        <v>0</v>
      </c>
      <c r="BN75" s="9"/>
      <c r="BO75" s="9"/>
      <c r="BP75" s="9"/>
      <c r="BQ75" s="9"/>
      <c r="BR75" s="9"/>
      <c r="BS75" s="9"/>
      <c r="BT75" s="9"/>
      <c r="BU75" s="9"/>
      <c r="BV75" s="9"/>
      <c r="BW75" s="9"/>
    </row>
    <row r="76" spans="1:75" ht="26.25" hidden="1" outlineLevel="2" x14ac:dyDescent="0.25">
      <c r="A76" s="43" t="s">
        <v>71</v>
      </c>
      <c r="B76" s="110" t="s">
        <v>191</v>
      </c>
      <c r="C76" s="45">
        <v>2017</v>
      </c>
      <c r="D76" s="46" t="s">
        <v>90</v>
      </c>
      <c r="E76" s="47">
        <v>0</v>
      </c>
      <c r="F76" s="47">
        <v>0</v>
      </c>
      <c r="G76" s="47">
        <v>0</v>
      </c>
      <c r="H76" s="47">
        <v>0</v>
      </c>
      <c r="I76" s="47">
        <v>0</v>
      </c>
      <c r="J76" s="47">
        <v>0</v>
      </c>
      <c r="K76" s="47">
        <v>0</v>
      </c>
      <c r="L76" s="47">
        <v>0</v>
      </c>
      <c r="M76" s="47">
        <v>0</v>
      </c>
      <c r="N76" s="47">
        <v>0</v>
      </c>
      <c r="O76" s="47">
        <v>0</v>
      </c>
      <c r="P76" s="47">
        <v>8669680.8200000003</v>
      </c>
      <c r="Q76" s="47">
        <v>0</v>
      </c>
      <c r="R76" s="47">
        <v>0</v>
      </c>
      <c r="S76" s="47">
        <v>0</v>
      </c>
      <c r="T76" s="47">
        <v>0</v>
      </c>
      <c r="U76" s="47">
        <v>0</v>
      </c>
      <c r="V76" s="47">
        <v>0</v>
      </c>
      <c r="W76" s="47">
        <v>0</v>
      </c>
      <c r="X76" s="47">
        <v>0</v>
      </c>
      <c r="Y76" s="48">
        <v>8669680.8200000003</v>
      </c>
      <c r="Z76" s="49">
        <v>0</v>
      </c>
      <c r="AA76" s="50">
        <v>0</v>
      </c>
      <c r="AB76" s="50">
        <v>0</v>
      </c>
      <c r="AC76" s="50">
        <v>0</v>
      </c>
      <c r="AD76" s="50">
        <v>155200.1</v>
      </c>
      <c r="AE76" s="50">
        <v>0</v>
      </c>
      <c r="AF76" s="50">
        <v>0</v>
      </c>
      <c r="AG76" s="49">
        <v>155200.1</v>
      </c>
      <c r="AH76" s="51" t="s">
        <v>74</v>
      </c>
      <c r="AI76" s="51" t="s">
        <v>74</v>
      </c>
      <c r="AJ76" s="51" t="s">
        <v>74</v>
      </c>
      <c r="AK76" s="51" t="s">
        <v>92</v>
      </c>
      <c r="AL76" s="51" t="s">
        <v>74</v>
      </c>
      <c r="AM76" s="51" t="s">
        <v>74</v>
      </c>
      <c r="AN76" s="52">
        <v>0</v>
      </c>
      <c r="AO76" s="52">
        <v>0</v>
      </c>
      <c r="AP76" s="52">
        <v>0</v>
      </c>
      <c r="AQ76" s="52">
        <v>0</v>
      </c>
      <c r="AR76" s="52">
        <v>0</v>
      </c>
      <c r="AS76" s="52">
        <v>0</v>
      </c>
      <c r="AT76" s="53" t="s">
        <v>74</v>
      </c>
      <c r="AU76" s="52">
        <v>0</v>
      </c>
      <c r="AV76" s="52"/>
      <c r="AW76" s="52">
        <v>0</v>
      </c>
      <c r="AX76" s="52"/>
      <c r="AY76" s="52"/>
      <c r="AZ76" s="52">
        <v>0</v>
      </c>
      <c r="BA76" s="52">
        <v>0</v>
      </c>
      <c r="BB76" s="54" t="s">
        <v>74</v>
      </c>
      <c r="BC76" s="53" t="s">
        <v>74</v>
      </c>
      <c r="BD76" s="55" t="s">
        <v>74</v>
      </c>
      <c r="BE76" s="55" t="s">
        <v>74</v>
      </c>
      <c r="BF76" s="55" t="s">
        <v>74</v>
      </c>
      <c r="BG76" s="55" t="s">
        <v>74</v>
      </c>
      <c r="BH76" s="52">
        <v>0</v>
      </c>
      <c r="BI76" s="52">
        <v>8514480.7200000007</v>
      </c>
      <c r="BJ76" s="52">
        <v>8514480.7200000007</v>
      </c>
      <c r="BK76" s="56">
        <v>43040</v>
      </c>
      <c r="BL76" s="57">
        <v>8514480.7200000007</v>
      </c>
      <c r="BM76" s="47">
        <v>0</v>
      </c>
      <c r="BN76" s="9"/>
      <c r="BO76" s="9"/>
      <c r="BP76" s="9"/>
      <c r="BQ76" s="9"/>
      <c r="BR76" s="9"/>
      <c r="BS76" s="9"/>
      <c r="BT76" s="9"/>
      <c r="BU76" s="9"/>
      <c r="BV76" s="9"/>
      <c r="BW76" s="9"/>
    </row>
    <row r="77" spans="1:75" ht="64.5" hidden="1" outlineLevel="2" x14ac:dyDescent="0.25">
      <c r="A77" s="43" t="s">
        <v>71</v>
      </c>
      <c r="B77" s="110" t="s">
        <v>191</v>
      </c>
      <c r="C77" s="45">
        <v>2017</v>
      </c>
      <c r="D77" s="46" t="s">
        <v>93</v>
      </c>
      <c r="E77" s="47">
        <v>0</v>
      </c>
      <c r="F77" s="47">
        <v>0</v>
      </c>
      <c r="G77" s="47">
        <v>0</v>
      </c>
      <c r="H77" s="47">
        <v>0</v>
      </c>
      <c r="I77" s="47">
        <v>0</v>
      </c>
      <c r="J77" s="47">
        <v>0</v>
      </c>
      <c r="K77" s="47">
        <v>0</v>
      </c>
      <c r="L77" s="47">
        <v>0</v>
      </c>
      <c r="M77" s="47">
        <v>0</v>
      </c>
      <c r="N77" s="47">
        <v>0</v>
      </c>
      <c r="O77" s="47">
        <v>0</v>
      </c>
      <c r="P77" s="47">
        <v>8669680.8200000003</v>
      </c>
      <c r="Q77" s="47">
        <v>0</v>
      </c>
      <c r="R77" s="47">
        <v>0</v>
      </c>
      <c r="S77" s="47">
        <v>0</v>
      </c>
      <c r="T77" s="47">
        <v>0</v>
      </c>
      <c r="U77" s="47">
        <v>0</v>
      </c>
      <c r="V77" s="47">
        <v>0</v>
      </c>
      <c r="W77" s="47">
        <v>0</v>
      </c>
      <c r="X77" s="47">
        <v>0</v>
      </c>
      <c r="Y77" s="48">
        <v>8669680.8200000003</v>
      </c>
      <c r="Z77" s="49">
        <v>0</v>
      </c>
      <c r="AA77" s="50">
        <v>0</v>
      </c>
      <c r="AB77" s="50">
        <v>0</v>
      </c>
      <c r="AC77" s="50">
        <v>0</v>
      </c>
      <c r="AD77" s="50">
        <v>220498.82</v>
      </c>
      <c r="AE77" s="50">
        <v>0</v>
      </c>
      <c r="AF77" s="50">
        <v>0</v>
      </c>
      <c r="AG77" s="49">
        <v>220498.82</v>
      </c>
      <c r="AH77" s="51" t="s">
        <v>74</v>
      </c>
      <c r="AI77" s="51" t="s">
        <v>74</v>
      </c>
      <c r="AJ77" s="51" t="s">
        <v>74</v>
      </c>
      <c r="AK77" s="51" t="s">
        <v>196</v>
      </c>
      <c r="AL77" s="51" t="s">
        <v>74</v>
      </c>
      <c r="AM77" s="51" t="s">
        <v>74</v>
      </c>
      <c r="AN77" s="52">
        <v>0</v>
      </c>
      <c r="AO77" s="52">
        <v>0</v>
      </c>
      <c r="AP77" s="52">
        <v>0</v>
      </c>
      <c r="AQ77" s="52">
        <v>0</v>
      </c>
      <c r="AR77" s="52">
        <v>0</v>
      </c>
      <c r="AS77" s="52">
        <v>0</v>
      </c>
      <c r="AT77" s="53" t="s">
        <v>74</v>
      </c>
      <c r="AU77" s="52">
        <v>0</v>
      </c>
      <c r="AV77" s="52"/>
      <c r="AW77" s="52">
        <v>0</v>
      </c>
      <c r="AX77" s="52"/>
      <c r="AY77" s="52"/>
      <c r="AZ77" s="52">
        <v>0</v>
      </c>
      <c r="BA77" s="52">
        <v>0</v>
      </c>
      <c r="BB77" s="54" t="s">
        <v>74</v>
      </c>
      <c r="BC77" s="53" t="s">
        <v>74</v>
      </c>
      <c r="BD77" s="55" t="s">
        <v>74</v>
      </c>
      <c r="BE77" s="55" t="s">
        <v>74</v>
      </c>
      <c r="BF77" s="55" t="s">
        <v>74</v>
      </c>
      <c r="BG77" s="55" t="s">
        <v>74</v>
      </c>
      <c r="BH77" s="52">
        <v>0</v>
      </c>
      <c r="BI77" s="52">
        <v>8449182</v>
      </c>
      <c r="BJ77" s="52">
        <v>8449182</v>
      </c>
      <c r="BK77" s="56">
        <v>43070</v>
      </c>
      <c r="BL77" s="57">
        <v>8449182</v>
      </c>
      <c r="BM77" s="47">
        <v>0</v>
      </c>
      <c r="BN77" s="9"/>
      <c r="BO77" s="9"/>
      <c r="BP77" s="9"/>
      <c r="BQ77" s="9"/>
      <c r="BR77" s="9"/>
      <c r="BS77" s="9"/>
      <c r="BT77" s="9"/>
      <c r="BU77" s="9"/>
      <c r="BV77" s="9"/>
      <c r="BW77" s="9"/>
    </row>
    <row r="78" spans="1:75" ht="26.25" hidden="1" outlineLevel="2" x14ac:dyDescent="0.25">
      <c r="A78" s="43" t="s">
        <v>71</v>
      </c>
      <c r="B78" s="110" t="s">
        <v>191</v>
      </c>
      <c r="C78" s="45">
        <v>2018</v>
      </c>
      <c r="D78" s="46" t="s">
        <v>73</v>
      </c>
      <c r="E78" s="47">
        <v>0</v>
      </c>
      <c r="F78" s="47">
        <v>0</v>
      </c>
      <c r="G78" s="47">
        <v>0</v>
      </c>
      <c r="H78" s="47">
        <v>0</v>
      </c>
      <c r="I78" s="47">
        <v>0</v>
      </c>
      <c r="J78" s="47">
        <v>0</v>
      </c>
      <c r="K78" s="47">
        <v>0</v>
      </c>
      <c r="L78" s="47">
        <v>0</v>
      </c>
      <c r="M78" s="47">
        <v>0</v>
      </c>
      <c r="N78" s="47">
        <v>0</v>
      </c>
      <c r="O78" s="47">
        <v>0</v>
      </c>
      <c r="P78" s="47">
        <v>8669680.8200000003</v>
      </c>
      <c r="Q78" s="47">
        <v>0</v>
      </c>
      <c r="R78" s="47">
        <v>0</v>
      </c>
      <c r="S78" s="47">
        <v>0</v>
      </c>
      <c r="T78" s="47">
        <v>0</v>
      </c>
      <c r="U78" s="47">
        <v>0</v>
      </c>
      <c r="V78" s="47">
        <v>0</v>
      </c>
      <c r="W78" s="47">
        <v>0</v>
      </c>
      <c r="X78" s="47">
        <v>0</v>
      </c>
      <c r="Y78" s="48">
        <v>8669680.8200000003</v>
      </c>
      <c r="Z78" s="49">
        <v>0</v>
      </c>
      <c r="AA78" s="50">
        <v>0</v>
      </c>
      <c r="AB78" s="50">
        <v>0</v>
      </c>
      <c r="AC78" s="50">
        <v>0</v>
      </c>
      <c r="AD78" s="50">
        <v>214380.46</v>
      </c>
      <c r="AE78" s="50">
        <v>0</v>
      </c>
      <c r="AF78" s="50">
        <v>0</v>
      </c>
      <c r="AG78" s="49">
        <v>214380.46</v>
      </c>
      <c r="AH78" s="51" t="s">
        <v>74</v>
      </c>
      <c r="AI78" s="51" t="s">
        <v>74</v>
      </c>
      <c r="AJ78" s="51" t="s">
        <v>74</v>
      </c>
      <c r="AK78" s="51" t="s">
        <v>97</v>
      </c>
      <c r="AL78" s="51" t="s">
        <v>74</v>
      </c>
      <c r="AM78" s="51" t="s">
        <v>74</v>
      </c>
      <c r="AN78" s="52">
        <v>0</v>
      </c>
      <c r="AO78" s="52">
        <v>0</v>
      </c>
      <c r="AP78" s="52">
        <v>0</v>
      </c>
      <c r="AQ78" s="52">
        <v>0</v>
      </c>
      <c r="AR78" s="52">
        <v>0</v>
      </c>
      <c r="AS78" s="52">
        <v>0</v>
      </c>
      <c r="AT78" s="53" t="s">
        <v>74</v>
      </c>
      <c r="AU78" s="52">
        <v>0</v>
      </c>
      <c r="AV78" s="52"/>
      <c r="AW78" s="52">
        <v>0</v>
      </c>
      <c r="AX78" s="52"/>
      <c r="AY78" s="52"/>
      <c r="AZ78" s="52">
        <v>0</v>
      </c>
      <c r="BA78" s="52">
        <v>0</v>
      </c>
      <c r="BB78" s="54" t="s">
        <v>74</v>
      </c>
      <c r="BC78" s="53" t="s">
        <v>74</v>
      </c>
      <c r="BD78" s="55" t="s">
        <v>74</v>
      </c>
      <c r="BE78" s="55" t="s">
        <v>74</v>
      </c>
      <c r="BF78" s="55" t="s">
        <v>74</v>
      </c>
      <c r="BG78" s="55" t="s">
        <v>74</v>
      </c>
      <c r="BH78" s="52">
        <v>0</v>
      </c>
      <c r="BI78" s="52">
        <v>8455300.3599999994</v>
      </c>
      <c r="BJ78" s="52">
        <v>8455300.3599999994</v>
      </c>
      <c r="BK78" s="56">
        <v>43101</v>
      </c>
      <c r="BL78" s="57">
        <v>8455300.3599999994</v>
      </c>
      <c r="BM78" s="47">
        <v>0</v>
      </c>
      <c r="BN78" s="9"/>
      <c r="BO78" s="9"/>
      <c r="BP78" s="9"/>
      <c r="BQ78" s="9"/>
      <c r="BR78" s="9"/>
      <c r="BS78" s="9"/>
      <c r="BT78" s="9"/>
      <c r="BU78" s="9"/>
      <c r="BV78" s="9"/>
      <c r="BW78" s="9"/>
    </row>
    <row r="79" spans="1:75" ht="26.25" hidden="1" outlineLevel="2" x14ac:dyDescent="0.25">
      <c r="A79" s="43" t="s">
        <v>71</v>
      </c>
      <c r="B79" s="110" t="s">
        <v>191</v>
      </c>
      <c r="C79" s="45">
        <v>2018</v>
      </c>
      <c r="D79" s="46" t="s">
        <v>75</v>
      </c>
      <c r="E79" s="47">
        <v>0</v>
      </c>
      <c r="F79" s="47">
        <v>0</v>
      </c>
      <c r="G79" s="47">
        <v>0</v>
      </c>
      <c r="H79" s="47">
        <v>0</v>
      </c>
      <c r="I79" s="47">
        <v>0</v>
      </c>
      <c r="J79" s="47">
        <v>0</v>
      </c>
      <c r="K79" s="47">
        <v>0</v>
      </c>
      <c r="L79" s="47">
        <v>0</v>
      </c>
      <c r="M79" s="47">
        <v>0</v>
      </c>
      <c r="N79" s="47">
        <v>0</v>
      </c>
      <c r="O79" s="47">
        <v>0</v>
      </c>
      <c r="P79" s="47">
        <v>8669680.8200000003</v>
      </c>
      <c r="Q79" s="47">
        <v>0</v>
      </c>
      <c r="R79" s="47">
        <v>0</v>
      </c>
      <c r="S79" s="47">
        <v>0</v>
      </c>
      <c r="T79" s="47">
        <v>0</v>
      </c>
      <c r="U79" s="47">
        <v>0</v>
      </c>
      <c r="V79" s="47">
        <v>0</v>
      </c>
      <c r="W79" s="47">
        <v>0</v>
      </c>
      <c r="X79" s="47">
        <v>0</v>
      </c>
      <c r="Y79" s="48">
        <v>8669680.8200000003</v>
      </c>
      <c r="Z79" s="49">
        <v>0</v>
      </c>
      <c r="AA79" s="50">
        <v>0</v>
      </c>
      <c r="AB79" s="50">
        <v>0</v>
      </c>
      <c r="AC79" s="50">
        <v>0</v>
      </c>
      <c r="AD79" s="50">
        <v>204788.17</v>
      </c>
      <c r="AE79" s="50">
        <v>0</v>
      </c>
      <c r="AF79" s="50">
        <v>0</v>
      </c>
      <c r="AG79" s="49">
        <v>204788.17</v>
      </c>
      <c r="AH79" s="51" t="s">
        <v>74</v>
      </c>
      <c r="AI79" s="51" t="s">
        <v>74</v>
      </c>
      <c r="AJ79" s="51" t="s">
        <v>74</v>
      </c>
      <c r="AK79" s="51" t="s">
        <v>99</v>
      </c>
      <c r="AL79" s="51" t="s">
        <v>74</v>
      </c>
      <c r="AM79" s="51" t="s">
        <v>74</v>
      </c>
      <c r="AN79" s="52">
        <v>0</v>
      </c>
      <c r="AO79" s="52">
        <v>0</v>
      </c>
      <c r="AP79" s="52">
        <v>0</v>
      </c>
      <c r="AQ79" s="52">
        <v>0</v>
      </c>
      <c r="AR79" s="52">
        <v>0</v>
      </c>
      <c r="AS79" s="52">
        <v>0</v>
      </c>
      <c r="AT79" s="53" t="s">
        <v>74</v>
      </c>
      <c r="AU79" s="52">
        <v>0</v>
      </c>
      <c r="AV79" s="52"/>
      <c r="AW79" s="52">
        <v>0</v>
      </c>
      <c r="AX79" s="52"/>
      <c r="AY79" s="52"/>
      <c r="AZ79" s="52">
        <v>0</v>
      </c>
      <c r="BA79" s="52">
        <v>0</v>
      </c>
      <c r="BB79" s="54" t="s">
        <v>74</v>
      </c>
      <c r="BC79" s="53" t="s">
        <v>74</v>
      </c>
      <c r="BD79" s="55" t="s">
        <v>74</v>
      </c>
      <c r="BE79" s="55" t="s">
        <v>74</v>
      </c>
      <c r="BF79" s="55" t="s">
        <v>74</v>
      </c>
      <c r="BG79" s="55" t="s">
        <v>74</v>
      </c>
      <c r="BH79" s="52">
        <v>0</v>
      </c>
      <c r="BI79" s="52">
        <v>8464892.6500000004</v>
      </c>
      <c r="BJ79" s="52">
        <v>8464892.6500000004</v>
      </c>
      <c r="BK79" s="56">
        <v>43132</v>
      </c>
      <c r="BL79" s="57">
        <v>8464892.6500000004</v>
      </c>
      <c r="BM79" s="47">
        <v>0</v>
      </c>
      <c r="BN79" s="9"/>
      <c r="BO79" s="9"/>
      <c r="BP79" s="9"/>
      <c r="BQ79" s="9"/>
      <c r="BR79" s="9"/>
      <c r="BS79" s="9"/>
      <c r="BT79" s="9"/>
      <c r="BU79" s="9"/>
      <c r="BV79" s="9"/>
      <c r="BW79" s="9"/>
    </row>
    <row r="80" spans="1:75" ht="26.25" hidden="1" outlineLevel="2" x14ac:dyDescent="0.25">
      <c r="A80" s="43" t="s">
        <v>71</v>
      </c>
      <c r="B80" s="110" t="s">
        <v>191</v>
      </c>
      <c r="C80" s="45">
        <v>2018</v>
      </c>
      <c r="D80" s="46" t="s">
        <v>77</v>
      </c>
      <c r="E80" s="47">
        <v>0</v>
      </c>
      <c r="F80" s="47">
        <v>0</v>
      </c>
      <c r="G80" s="47">
        <v>0</v>
      </c>
      <c r="H80" s="47">
        <v>0</v>
      </c>
      <c r="I80" s="47">
        <v>0</v>
      </c>
      <c r="J80" s="47">
        <v>0</v>
      </c>
      <c r="K80" s="47">
        <v>0</v>
      </c>
      <c r="L80" s="47">
        <v>0</v>
      </c>
      <c r="M80" s="47">
        <v>0</v>
      </c>
      <c r="N80" s="47">
        <v>0</v>
      </c>
      <c r="O80" s="47">
        <v>0</v>
      </c>
      <c r="P80" s="47">
        <v>7802712.7400000002</v>
      </c>
      <c r="Q80" s="47">
        <v>866968.08</v>
      </c>
      <c r="R80" s="47">
        <v>0</v>
      </c>
      <c r="S80" s="47">
        <v>0</v>
      </c>
      <c r="T80" s="47">
        <v>0</v>
      </c>
      <c r="U80" s="47">
        <v>0</v>
      </c>
      <c r="V80" s="47">
        <v>0</v>
      </c>
      <c r="W80" s="47">
        <v>0</v>
      </c>
      <c r="X80" s="47">
        <v>0</v>
      </c>
      <c r="Y80" s="48">
        <v>8669680.8200000003</v>
      </c>
      <c r="Z80" s="49">
        <v>0</v>
      </c>
      <c r="AA80" s="50">
        <v>0</v>
      </c>
      <c r="AB80" s="50">
        <v>0</v>
      </c>
      <c r="AC80" s="50">
        <v>0</v>
      </c>
      <c r="AD80" s="50">
        <v>190834.15</v>
      </c>
      <c r="AE80" s="50">
        <v>0</v>
      </c>
      <c r="AF80" s="50">
        <v>0</v>
      </c>
      <c r="AG80" s="49">
        <v>190834.15</v>
      </c>
      <c r="AH80" s="51" t="s">
        <v>74</v>
      </c>
      <c r="AI80" s="51" t="s">
        <v>74</v>
      </c>
      <c r="AJ80" s="51" t="s">
        <v>74</v>
      </c>
      <c r="AK80" s="51" t="s">
        <v>102</v>
      </c>
      <c r="AL80" s="51" t="s">
        <v>74</v>
      </c>
      <c r="AM80" s="51" t="s">
        <v>74</v>
      </c>
      <c r="AN80" s="52">
        <v>0</v>
      </c>
      <c r="AO80" s="52">
        <v>0</v>
      </c>
      <c r="AP80" s="52">
        <v>0</v>
      </c>
      <c r="AQ80" s="52">
        <v>0</v>
      </c>
      <c r="AR80" s="52">
        <v>0</v>
      </c>
      <c r="AS80" s="52">
        <v>0</v>
      </c>
      <c r="AT80" s="53" t="s">
        <v>74</v>
      </c>
      <c r="AU80" s="52">
        <v>0</v>
      </c>
      <c r="AV80" s="52"/>
      <c r="AW80" s="52">
        <v>0</v>
      </c>
      <c r="AX80" s="52"/>
      <c r="AY80" s="52"/>
      <c r="AZ80" s="52">
        <v>0</v>
      </c>
      <c r="BA80" s="52">
        <v>0</v>
      </c>
      <c r="BB80" s="54" t="s">
        <v>74</v>
      </c>
      <c r="BC80" s="53" t="s">
        <v>74</v>
      </c>
      <c r="BD80" s="55" t="s">
        <v>74</v>
      </c>
      <c r="BE80" s="55" t="s">
        <v>74</v>
      </c>
      <c r="BF80" s="55" t="s">
        <v>74</v>
      </c>
      <c r="BG80" s="55" t="s">
        <v>74</v>
      </c>
      <c r="BH80" s="52">
        <v>0</v>
      </c>
      <c r="BI80" s="52">
        <v>8478846.6699999999</v>
      </c>
      <c r="BJ80" s="52">
        <v>8478846.6699999999</v>
      </c>
      <c r="BK80" s="56">
        <v>43160</v>
      </c>
      <c r="BL80" s="57">
        <v>8478846.6699999999</v>
      </c>
      <c r="BM80" s="47">
        <v>0</v>
      </c>
      <c r="BN80" s="9"/>
      <c r="BO80" s="9"/>
      <c r="BP80" s="9"/>
      <c r="BQ80" s="9"/>
      <c r="BR80" s="9"/>
      <c r="BS80" s="9"/>
      <c r="BT80" s="9"/>
      <c r="BU80" s="9"/>
      <c r="BV80" s="9"/>
      <c r="BW80" s="9"/>
    </row>
    <row r="81" spans="1:75" ht="26.25" hidden="1" outlineLevel="2" x14ac:dyDescent="0.25">
      <c r="A81" s="43" t="s">
        <v>71</v>
      </c>
      <c r="B81" s="110" t="s">
        <v>191</v>
      </c>
      <c r="C81" s="45">
        <v>2018</v>
      </c>
      <c r="D81" s="46" t="s">
        <v>79</v>
      </c>
      <c r="E81" s="47">
        <v>0</v>
      </c>
      <c r="F81" s="47">
        <v>0</v>
      </c>
      <c r="G81" s="47">
        <v>0</v>
      </c>
      <c r="H81" s="47">
        <v>0</v>
      </c>
      <c r="I81" s="47">
        <v>0</v>
      </c>
      <c r="J81" s="47">
        <v>0</v>
      </c>
      <c r="K81" s="47">
        <v>0</v>
      </c>
      <c r="L81" s="47">
        <v>0</v>
      </c>
      <c r="M81" s="47">
        <v>0</v>
      </c>
      <c r="N81" s="47">
        <v>0</v>
      </c>
      <c r="O81" s="47">
        <v>0</v>
      </c>
      <c r="P81" s="47">
        <v>0</v>
      </c>
      <c r="Q81" s="47">
        <v>8669680.8200000003</v>
      </c>
      <c r="R81" s="47">
        <v>0</v>
      </c>
      <c r="S81" s="47">
        <v>0</v>
      </c>
      <c r="T81" s="47">
        <v>0</v>
      </c>
      <c r="U81" s="47">
        <v>0</v>
      </c>
      <c r="V81" s="47">
        <v>0</v>
      </c>
      <c r="W81" s="47">
        <v>0</v>
      </c>
      <c r="X81" s="47">
        <v>0</v>
      </c>
      <c r="Y81" s="48">
        <v>8669680.8200000003</v>
      </c>
      <c r="Z81" s="49">
        <v>0</v>
      </c>
      <c r="AA81" s="50">
        <v>0</v>
      </c>
      <c r="AB81" s="50">
        <v>0</v>
      </c>
      <c r="AC81" s="50">
        <v>0</v>
      </c>
      <c r="AD81" s="50">
        <v>203207.43</v>
      </c>
      <c r="AE81" s="50">
        <v>0</v>
      </c>
      <c r="AF81" s="50">
        <v>0</v>
      </c>
      <c r="AG81" s="49">
        <v>203207.43</v>
      </c>
      <c r="AH81" s="51" t="s">
        <v>74</v>
      </c>
      <c r="AI81" s="51" t="s">
        <v>74</v>
      </c>
      <c r="AJ81" s="51" t="s">
        <v>74</v>
      </c>
      <c r="AK81" s="51" t="s">
        <v>106</v>
      </c>
      <c r="AL81" s="51" t="s">
        <v>74</v>
      </c>
      <c r="AM81" s="51" t="s">
        <v>74</v>
      </c>
      <c r="AN81" s="52">
        <v>0</v>
      </c>
      <c r="AO81" s="52">
        <v>0</v>
      </c>
      <c r="AP81" s="52">
        <v>0</v>
      </c>
      <c r="AQ81" s="52">
        <v>0</v>
      </c>
      <c r="AR81" s="52">
        <v>0</v>
      </c>
      <c r="AS81" s="52">
        <v>0</v>
      </c>
      <c r="AT81" s="53" t="s">
        <v>74</v>
      </c>
      <c r="AU81" s="52">
        <v>0</v>
      </c>
      <c r="AV81" s="52"/>
      <c r="AW81" s="52">
        <v>0</v>
      </c>
      <c r="AX81" s="52"/>
      <c r="AY81" s="52"/>
      <c r="AZ81" s="52">
        <v>0</v>
      </c>
      <c r="BA81" s="52">
        <v>0</v>
      </c>
      <c r="BB81" s="54" t="s">
        <v>74</v>
      </c>
      <c r="BC81" s="53" t="s">
        <v>74</v>
      </c>
      <c r="BD81" s="55" t="s">
        <v>74</v>
      </c>
      <c r="BE81" s="55" t="s">
        <v>74</v>
      </c>
      <c r="BF81" s="55" t="s">
        <v>74</v>
      </c>
      <c r="BG81" s="55" t="s">
        <v>74</v>
      </c>
      <c r="BH81" s="52">
        <v>0</v>
      </c>
      <c r="BI81" s="52">
        <v>8466473.3900000006</v>
      </c>
      <c r="BJ81" s="52">
        <v>8466473.3900000006</v>
      </c>
      <c r="BK81" s="56">
        <v>43191</v>
      </c>
      <c r="BL81" s="57">
        <v>8466473.3900000006</v>
      </c>
      <c r="BM81" s="47">
        <v>0</v>
      </c>
      <c r="BN81" s="9"/>
      <c r="BO81" s="9"/>
      <c r="BP81" s="9"/>
      <c r="BQ81" s="9"/>
      <c r="BR81" s="9"/>
      <c r="BS81" s="9"/>
      <c r="BT81" s="9"/>
      <c r="BU81" s="9"/>
      <c r="BV81" s="9"/>
      <c r="BW81" s="9"/>
    </row>
    <row r="82" spans="1:75" ht="26.25" hidden="1" outlineLevel="2" x14ac:dyDescent="0.25">
      <c r="A82" s="43" t="s">
        <v>71</v>
      </c>
      <c r="B82" s="110" t="s">
        <v>191</v>
      </c>
      <c r="C82" s="45">
        <v>2018</v>
      </c>
      <c r="D82" s="46" t="s">
        <v>81</v>
      </c>
      <c r="E82" s="47">
        <v>0</v>
      </c>
      <c r="F82" s="47">
        <v>0</v>
      </c>
      <c r="G82" s="47">
        <v>0</v>
      </c>
      <c r="H82" s="47">
        <v>0</v>
      </c>
      <c r="I82" s="47">
        <v>0</v>
      </c>
      <c r="J82" s="47">
        <v>0</v>
      </c>
      <c r="K82" s="47">
        <v>0</v>
      </c>
      <c r="L82" s="47">
        <v>0</v>
      </c>
      <c r="M82" s="47">
        <v>0</v>
      </c>
      <c r="N82" s="47">
        <v>0</v>
      </c>
      <c r="O82" s="47">
        <v>0</v>
      </c>
      <c r="P82" s="47">
        <v>0</v>
      </c>
      <c r="Q82" s="47">
        <v>8669680.8200000003</v>
      </c>
      <c r="R82" s="47">
        <v>0</v>
      </c>
      <c r="S82" s="47">
        <v>0</v>
      </c>
      <c r="T82" s="47">
        <v>0</v>
      </c>
      <c r="U82" s="47">
        <v>0</v>
      </c>
      <c r="V82" s="47">
        <v>0</v>
      </c>
      <c r="W82" s="47">
        <v>0</v>
      </c>
      <c r="X82" s="47">
        <v>0</v>
      </c>
      <c r="Y82" s="48">
        <v>8669680.8200000003</v>
      </c>
      <c r="Z82" s="49">
        <v>0</v>
      </c>
      <c r="AA82" s="50">
        <v>0</v>
      </c>
      <c r="AB82" s="50">
        <v>0</v>
      </c>
      <c r="AC82" s="50">
        <v>0</v>
      </c>
      <c r="AD82" s="50">
        <v>203502.46</v>
      </c>
      <c r="AE82" s="50">
        <v>0</v>
      </c>
      <c r="AF82" s="50">
        <v>0</v>
      </c>
      <c r="AG82" s="49">
        <v>203502.46</v>
      </c>
      <c r="AH82" s="51" t="s">
        <v>74</v>
      </c>
      <c r="AI82" s="51" t="s">
        <v>74</v>
      </c>
      <c r="AJ82" s="51" t="s">
        <v>74</v>
      </c>
      <c r="AK82" s="51" t="s">
        <v>197</v>
      </c>
      <c r="AL82" s="51" t="s">
        <v>74</v>
      </c>
      <c r="AM82" s="51" t="s">
        <v>74</v>
      </c>
      <c r="AN82" s="52">
        <v>0</v>
      </c>
      <c r="AO82" s="52">
        <v>0</v>
      </c>
      <c r="AP82" s="52">
        <v>0</v>
      </c>
      <c r="AQ82" s="52">
        <v>0</v>
      </c>
      <c r="AR82" s="52">
        <v>0</v>
      </c>
      <c r="AS82" s="52">
        <v>0</v>
      </c>
      <c r="AT82" s="53" t="s">
        <v>74</v>
      </c>
      <c r="AU82" s="52">
        <v>0</v>
      </c>
      <c r="AV82" s="52"/>
      <c r="AW82" s="52">
        <v>0</v>
      </c>
      <c r="AX82" s="52"/>
      <c r="AY82" s="52"/>
      <c r="AZ82" s="52">
        <v>0</v>
      </c>
      <c r="BA82" s="52">
        <v>0</v>
      </c>
      <c r="BB82" s="54" t="s">
        <v>74</v>
      </c>
      <c r="BC82" s="53" t="s">
        <v>74</v>
      </c>
      <c r="BD82" s="55" t="s">
        <v>74</v>
      </c>
      <c r="BE82" s="55" t="s">
        <v>74</v>
      </c>
      <c r="BF82" s="55" t="s">
        <v>74</v>
      </c>
      <c r="BG82" s="55" t="s">
        <v>74</v>
      </c>
      <c r="BH82" s="52">
        <v>0</v>
      </c>
      <c r="BI82" s="52">
        <v>8466178.3599999994</v>
      </c>
      <c r="BJ82" s="52">
        <v>8466178.3599999994</v>
      </c>
      <c r="BK82" s="56">
        <v>43221</v>
      </c>
      <c r="BL82" s="57">
        <v>8466178.3599999994</v>
      </c>
      <c r="BM82" s="47">
        <v>0</v>
      </c>
      <c r="BN82" s="9"/>
      <c r="BO82" s="9"/>
      <c r="BP82" s="9"/>
      <c r="BQ82" s="9"/>
      <c r="BR82" s="9"/>
      <c r="BS82" s="9"/>
      <c r="BT82" s="9"/>
      <c r="BU82" s="9"/>
      <c r="BV82" s="9"/>
      <c r="BW82" s="9"/>
    </row>
    <row r="83" spans="1:75" ht="230.25" hidden="1" outlineLevel="2" x14ac:dyDescent="0.25">
      <c r="A83" s="43" t="s">
        <v>71</v>
      </c>
      <c r="B83" s="110" t="s">
        <v>191</v>
      </c>
      <c r="C83" s="45">
        <v>2018</v>
      </c>
      <c r="D83" s="46" t="s">
        <v>83</v>
      </c>
      <c r="E83" s="47">
        <v>0</v>
      </c>
      <c r="F83" s="47">
        <v>0</v>
      </c>
      <c r="G83" s="47">
        <v>0</v>
      </c>
      <c r="H83" s="47">
        <v>0</v>
      </c>
      <c r="I83" s="47">
        <v>0</v>
      </c>
      <c r="J83" s="47">
        <v>0</v>
      </c>
      <c r="K83" s="47">
        <v>0</v>
      </c>
      <c r="L83" s="47">
        <v>0</v>
      </c>
      <c r="M83" s="47">
        <v>0</v>
      </c>
      <c r="N83" s="47">
        <v>0</v>
      </c>
      <c r="O83" s="47">
        <v>0</v>
      </c>
      <c r="P83" s="47">
        <v>0</v>
      </c>
      <c r="Q83" s="47">
        <v>8669680.8200000003</v>
      </c>
      <c r="R83" s="47">
        <v>0</v>
      </c>
      <c r="S83" s="47">
        <v>0</v>
      </c>
      <c r="T83" s="47">
        <v>0</v>
      </c>
      <c r="U83" s="47">
        <v>0</v>
      </c>
      <c r="V83" s="47">
        <v>0</v>
      </c>
      <c r="W83" s="47">
        <v>0</v>
      </c>
      <c r="X83" s="47">
        <v>0</v>
      </c>
      <c r="Y83" s="48">
        <v>8669680.8200000003</v>
      </c>
      <c r="Z83" s="49">
        <v>0</v>
      </c>
      <c r="AA83" s="50">
        <v>0</v>
      </c>
      <c r="AB83" s="50">
        <v>0</v>
      </c>
      <c r="AC83" s="50">
        <v>0</v>
      </c>
      <c r="AD83" s="50">
        <v>188105.68</v>
      </c>
      <c r="AE83" s="50">
        <v>0</v>
      </c>
      <c r="AF83" s="50">
        <v>45142.1</v>
      </c>
      <c r="AG83" s="49">
        <v>233247.78</v>
      </c>
      <c r="AH83" s="51" t="s">
        <v>74</v>
      </c>
      <c r="AI83" s="51" t="s">
        <v>74</v>
      </c>
      <c r="AJ83" s="51" t="s">
        <v>74</v>
      </c>
      <c r="AK83" s="51" t="s">
        <v>112</v>
      </c>
      <c r="AL83" s="51" t="s">
        <v>74</v>
      </c>
      <c r="AM83" s="51" t="s">
        <v>198</v>
      </c>
      <c r="AN83" s="52"/>
      <c r="AO83" s="52">
        <v>0</v>
      </c>
      <c r="AP83" s="52"/>
      <c r="AQ83" s="52"/>
      <c r="AR83" s="52"/>
      <c r="AS83" s="52">
        <v>0</v>
      </c>
      <c r="AT83" s="53" t="s">
        <v>74</v>
      </c>
      <c r="AU83" s="52">
        <v>45142.1</v>
      </c>
      <c r="AV83" s="52"/>
      <c r="AW83" s="52">
        <v>0</v>
      </c>
      <c r="AX83" s="52"/>
      <c r="AY83" s="52"/>
      <c r="AZ83" s="52">
        <v>0</v>
      </c>
      <c r="BA83" s="52">
        <v>45142.1</v>
      </c>
      <c r="BB83" s="55" t="s">
        <v>199</v>
      </c>
      <c r="BC83" s="51" t="s">
        <v>74</v>
      </c>
      <c r="BD83" s="54" t="s">
        <v>74</v>
      </c>
      <c r="BE83" s="54" t="s">
        <v>74</v>
      </c>
      <c r="BF83" s="54" t="s">
        <v>74</v>
      </c>
      <c r="BG83" s="54" t="s">
        <v>74</v>
      </c>
      <c r="BH83" s="52">
        <v>45142.1</v>
      </c>
      <c r="BI83" s="52">
        <v>8481575.1400000006</v>
      </c>
      <c r="BJ83" s="52">
        <v>8481575.1400000006</v>
      </c>
      <c r="BK83" s="56">
        <v>43252</v>
      </c>
      <c r="BL83" s="57">
        <v>8481575.1400000006</v>
      </c>
      <c r="BM83" s="47">
        <v>0</v>
      </c>
      <c r="BN83" s="9"/>
      <c r="BO83" s="9"/>
      <c r="BP83" s="9"/>
      <c r="BQ83" s="9"/>
      <c r="BR83" s="9"/>
      <c r="BS83" s="9"/>
      <c r="BT83" s="9"/>
      <c r="BU83" s="9"/>
      <c r="BV83" s="9"/>
      <c r="BW83" s="9"/>
    </row>
    <row r="84" spans="1:75" ht="153.75" hidden="1" outlineLevel="2" x14ac:dyDescent="0.25">
      <c r="A84" s="43" t="s">
        <v>71</v>
      </c>
      <c r="B84" s="110" t="s">
        <v>191</v>
      </c>
      <c r="C84" s="45">
        <v>2018</v>
      </c>
      <c r="D84" s="46" t="s">
        <v>84</v>
      </c>
      <c r="E84" s="47">
        <v>0</v>
      </c>
      <c r="F84" s="47">
        <v>0</v>
      </c>
      <c r="G84" s="47">
        <v>0</v>
      </c>
      <c r="H84" s="47">
        <v>0</v>
      </c>
      <c r="I84" s="47">
        <v>0</v>
      </c>
      <c r="J84" s="47">
        <v>0</v>
      </c>
      <c r="K84" s="47">
        <v>0</v>
      </c>
      <c r="L84" s="47">
        <v>0</v>
      </c>
      <c r="M84" s="47">
        <v>0</v>
      </c>
      <c r="N84" s="47">
        <v>0</v>
      </c>
      <c r="O84" s="47">
        <v>0</v>
      </c>
      <c r="P84" s="47">
        <v>0</v>
      </c>
      <c r="Q84" s="47">
        <v>8669680.8200000003</v>
      </c>
      <c r="R84" s="47">
        <v>0</v>
      </c>
      <c r="S84" s="47">
        <v>0</v>
      </c>
      <c r="T84" s="47">
        <v>0</v>
      </c>
      <c r="U84" s="47">
        <v>0</v>
      </c>
      <c r="V84" s="47">
        <v>0</v>
      </c>
      <c r="W84" s="47">
        <v>0</v>
      </c>
      <c r="X84" s="47">
        <v>0</v>
      </c>
      <c r="Y84" s="48">
        <v>8669680.8200000003</v>
      </c>
      <c r="Z84" s="49">
        <v>0</v>
      </c>
      <c r="AA84" s="50">
        <v>0</v>
      </c>
      <c r="AB84" s="50">
        <v>0</v>
      </c>
      <c r="AC84" s="50">
        <v>0</v>
      </c>
      <c r="AD84" s="50">
        <v>169761.59</v>
      </c>
      <c r="AE84" s="50">
        <v>0</v>
      </c>
      <c r="AF84" s="50">
        <v>6631591.9000000004</v>
      </c>
      <c r="AG84" s="49">
        <v>6801353.4900000002</v>
      </c>
      <c r="AH84" s="51" t="s">
        <v>74</v>
      </c>
      <c r="AI84" s="51" t="s">
        <v>74</v>
      </c>
      <c r="AJ84" s="51" t="s">
        <v>74</v>
      </c>
      <c r="AK84" s="51" t="s">
        <v>115</v>
      </c>
      <c r="AL84" s="51" t="s">
        <v>74</v>
      </c>
      <c r="AM84" s="51" t="s">
        <v>200</v>
      </c>
      <c r="AN84" s="52">
        <v>0</v>
      </c>
      <c r="AO84" s="52">
        <v>0</v>
      </c>
      <c r="AP84" s="52">
        <v>0</v>
      </c>
      <c r="AQ84" s="52">
        <v>0</v>
      </c>
      <c r="AR84" s="52">
        <v>0</v>
      </c>
      <c r="AS84" s="52">
        <v>0</v>
      </c>
      <c r="AT84" s="53" t="s">
        <v>74</v>
      </c>
      <c r="AU84" s="52">
        <v>0</v>
      </c>
      <c r="AV84" s="52"/>
      <c r="AW84" s="52">
        <v>0</v>
      </c>
      <c r="AX84" s="52"/>
      <c r="AY84" s="52"/>
      <c r="AZ84" s="52">
        <v>0</v>
      </c>
      <c r="BA84" s="52">
        <v>0</v>
      </c>
      <c r="BB84" s="54" t="s">
        <v>74</v>
      </c>
      <c r="BC84" s="53" t="s">
        <v>74</v>
      </c>
      <c r="BD84" s="55" t="s">
        <v>74</v>
      </c>
      <c r="BE84" s="55" t="s">
        <v>74</v>
      </c>
      <c r="BF84" s="55" t="s">
        <v>74</v>
      </c>
      <c r="BG84" s="55" t="s">
        <v>74</v>
      </c>
      <c r="BH84" s="52">
        <v>0</v>
      </c>
      <c r="BI84" s="52">
        <v>1868327.33</v>
      </c>
      <c r="BJ84" s="52">
        <v>1868327.33</v>
      </c>
      <c r="BK84" s="56">
        <v>43282</v>
      </c>
      <c r="BL84" s="57">
        <v>1868327.33</v>
      </c>
      <c r="BM84" s="47">
        <v>0</v>
      </c>
      <c r="BN84" s="9"/>
      <c r="BO84" s="9"/>
      <c r="BP84" s="9"/>
      <c r="BQ84" s="9"/>
      <c r="BR84" s="9"/>
      <c r="BS84" s="9"/>
      <c r="BT84" s="9"/>
      <c r="BU84" s="9"/>
      <c r="BV84" s="9"/>
      <c r="BW84" s="9"/>
    </row>
    <row r="85" spans="1:75" ht="153.75" hidden="1" outlineLevel="2" x14ac:dyDescent="0.25">
      <c r="A85" s="43" t="s">
        <v>71</v>
      </c>
      <c r="B85" s="110" t="s">
        <v>191</v>
      </c>
      <c r="C85" s="45">
        <v>2018</v>
      </c>
      <c r="D85" s="46" t="s">
        <v>86</v>
      </c>
      <c r="E85" s="47">
        <v>0</v>
      </c>
      <c r="F85" s="47">
        <v>0</v>
      </c>
      <c r="G85" s="47">
        <v>0</v>
      </c>
      <c r="H85" s="47">
        <v>0</v>
      </c>
      <c r="I85" s="47">
        <v>0</v>
      </c>
      <c r="J85" s="47">
        <v>0</v>
      </c>
      <c r="K85" s="47">
        <v>0</v>
      </c>
      <c r="L85" s="47">
        <v>0</v>
      </c>
      <c r="M85" s="47">
        <v>0</v>
      </c>
      <c r="N85" s="47">
        <v>0</v>
      </c>
      <c r="O85" s="47">
        <v>0</v>
      </c>
      <c r="P85" s="47">
        <v>0</v>
      </c>
      <c r="Q85" s="47">
        <v>8669680.8200000003</v>
      </c>
      <c r="R85" s="47">
        <v>0</v>
      </c>
      <c r="S85" s="47">
        <v>0</v>
      </c>
      <c r="T85" s="47">
        <v>0</v>
      </c>
      <c r="U85" s="47">
        <v>0</v>
      </c>
      <c r="V85" s="47">
        <v>0</v>
      </c>
      <c r="W85" s="47">
        <v>0</v>
      </c>
      <c r="X85" s="47">
        <v>0</v>
      </c>
      <c r="Y85" s="48">
        <v>8669680.8200000003</v>
      </c>
      <c r="Z85" s="49">
        <v>0</v>
      </c>
      <c r="AA85" s="50">
        <v>0</v>
      </c>
      <c r="AB85" s="50">
        <v>0</v>
      </c>
      <c r="AC85" s="50">
        <v>0</v>
      </c>
      <c r="AD85" s="50">
        <v>181326.38</v>
      </c>
      <c r="AE85" s="50">
        <v>0</v>
      </c>
      <c r="AF85" s="50">
        <v>8488354.4399999995</v>
      </c>
      <c r="AG85" s="49">
        <v>8669680.8200000003</v>
      </c>
      <c r="AH85" s="51" t="s">
        <v>74</v>
      </c>
      <c r="AI85" s="51" t="s">
        <v>74</v>
      </c>
      <c r="AJ85" s="51" t="s">
        <v>74</v>
      </c>
      <c r="AK85" s="51" t="s">
        <v>118</v>
      </c>
      <c r="AL85" s="51" t="s">
        <v>74</v>
      </c>
      <c r="AM85" s="51" t="s">
        <v>201</v>
      </c>
      <c r="AN85" s="52">
        <v>0</v>
      </c>
      <c r="AO85" s="52">
        <v>0</v>
      </c>
      <c r="AP85" s="52">
        <v>0</v>
      </c>
      <c r="AQ85" s="52">
        <v>0</v>
      </c>
      <c r="AR85" s="52">
        <v>0</v>
      </c>
      <c r="AS85" s="52">
        <v>0</v>
      </c>
      <c r="AT85" s="53" t="s">
        <v>74</v>
      </c>
      <c r="AU85" s="52">
        <v>0</v>
      </c>
      <c r="AV85" s="52"/>
      <c r="AW85" s="52">
        <v>0</v>
      </c>
      <c r="AX85" s="52"/>
      <c r="AY85" s="52"/>
      <c r="AZ85" s="52">
        <v>0</v>
      </c>
      <c r="BA85" s="52">
        <v>0</v>
      </c>
      <c r="BB85" s="54" t="s">
        <v>74</v>
      </c>
      <c r="BC85" s="53" t="s">
        <v>74</v>
      </c>
      <c r="BD85" s="55" t="s">
        <v>74</v>
      </c>
      <c r="BE85" s="55" t="s">
        <v>74</v>
      </c>
      <c r="BF85" s="55" t="s">
        <v>74</v>
      </c>
      <c r="BG85" s="55" t="s">
        <v>74</v>
      </c>
      <c r="BH85" s="52">
        <v>0</v>
      </c>
      <c r="BI85" s="52">
        <v>-1.8626451492309599E-9</v>
      </c>
      <c r="BJ85" s="52">
        <v>-1.8626451492309599E-9</v>
      </c>
      <c r="BK85" s="56">
        <v>43313</v>
      </c>
      <c r="BL85" s="57"/>
      <c r="BM85" s="47">
        <v>0</v>
      </c>
      <c r="BN85" s="9"/>
      <c r="BO85" s="9"/>
      <c r="BP85" s="9"/>
      <c r="BQ85" s="9"/>
      <c r="BR85" s="9"/>
      <c r="BS85" s="9"/>
      <c r="BT85" s="9"/>
      <c r="BU85" s="9"/>
      <c r="BV85" s="9"/>
      <c r="BW85" s="9"/>
    </row>
    <row r="86" spans="1:75" ht="55.5" hidden="1" customHeight="1" outlineLevel="2" x14ac:dyDescent="0.25">
      <c r="A86" s="43" t="s">
        <v>71</v>
      </c>
      <c r="B86" s="110" t="s">
        <v>191</v>
      </c>
      <c r="C86" s="45">
        <v>2018</v>
      </c>
      <c r="D86" s="46" t="s">
        <v>88</v>
      </c>
      <c r="E86" s="47">
        <v>0</v>
      </c>
      <c r="F86" s="47">
        <v>0</v>
      </c>
      <c r="G86" s="47">
        <v>0</v>
      </c>
      <c r="H86" s="47">
        <v>0</v>
      </c>
      <c r="I86" s="47">
        <v>0</v>
      </c>
      <c r="J86" s="47">
        <v>0</v>
      </c>
      <c r="K86" s="47">
        <v>0</v>
      </c>
      <c r="L86" s="47">
        <v>0</v>
      </c>
      <c r="M86" s="47">
        <v>0</v>
      </c>
      <c r="N86" s="47">
        <v>0</v>
      </c>
      <c r="O86" s="47">
        <v>0</v>
      </c>
      <c r="P86" s="47">
        <v>0</v>
      </c>
      <c r="Q86" s="47">
        <v>8669680.8200000003</v>
      </c>
      <c r="R86" s="47">
        <v>0</v>
      </c>
      <c r="S86" s="47">
        <v>0</v>
      </c>
      <c r="T86" s="47">
        <v>0</v>
      </c>
      <c r="U86" s="47">
        <v>0</v>
      </c>
      <c r="V86" s="47">
        <v>0</v>
      </c>
      <c r="W86" s="47">
        <v>0</v>
      </c>
      <c r="X86" s="47">
        <v>0</v>
      </c>
      <c r="Y86" s="48">
        <v>8669680.8200000003</v>
      </c>
      <c r="Z86" s="49">
        <v>0</v>
      </c>
      <c r="AA86" s="50">
        <v>0</v>
      </c>
      <c r="AB86" s="50">
        <v>0</v>
      </c>
      <c r="AC86" s="50">
        <v>0</v>
      </c>
      <c r="AD86" s="50">
        <v>193744.5</v>
      </c>
      <c r="AE86" s="50">
        <v>0</v>
      </c>
      <c r="AF86" s="50">
        <v>8532191.4199999999</v>
      </c>
      <c r="AG86" s="49">
        <v>8725935.9199999999</v>
      </c>
      <c r="AH86" s="51" t="s">
        <v>74</v>
      </c>
      <c r="AI86" s="51" t="s">
        <v>74</v>
      </c>
      <c r="AJ86" s="51" t="s">
        <v>74</v>
      </c>
      <c r="AK86" s="51" t="s">
        <v>121</v>
      </c>
      <c r="AL86" s="51" t="s">
        <v>74</v>
      </c>
      <c r="AM86" s="51" t="s">
        <v>202</v>
      </c>
      <c r="AN86" s="52"/>
      <c r="AO86" s="52">
        <v>0</v>
      </c>
      <c r="AP86" s="52"/>
      <c r="AQ86" s="52"/>
      <c r="AR86" s="52"/>
      <c r="AS86" s="52">
        <v>0</v>
      </c>
      <c r="AT86" s="53" t="s">
        <v>74</v>
      </c>
      <c r="AU86" s="52">
        <v>56255.1</v>
      </c>
      <c r="AV86" s="52"/>
      <c r="AW86" s="52">
        <v>0</v>
      </c>
      <c r="AX86" s="52"/>
      <c r="AY86" s="52"/>
      <c r="AZ86" s="52">
        <v>0</v>
      </c>
      <c r="BA86" s="52">
        <v>56255.1</v>
      </c>
      <c r="BB86" s="55" t="s">
        <v>203</v>
      </c>
      <c r="BC86" s="51" t="s">
        <v>74</v>
      </c>
      <c r="BD86" s="54" t="s">
        <v>74</v>
      </c>
      <c r="BE86" s="54" t="s">
        <v>74</v>
      </c>
      <c r="BF86" s="54" t="s">
        <v>74</v>
      </c>
      <c r="BG86" s="54" t="s">
        <v>74</v>
      </c>
      <c r="BH86" s="52">
        <v>56255.1</v>
      </c>
      <c r="BI86" s="52">
        <v>-1.4915713109076E-9</v>
      </c>
      <c r="BJ86" s="52">
        <v>-1.4915713109076E-9</v>
      </c>
      <c r="BK86" s="56">
        <v>43344</v>
      </c>
      <c r="BL86" s="57"/>
      <c r="BM86" s="47">
        <v>0</v>
      </c>
      <c r="BN86" s="9"/>
      <c r="BO86" s="9"/>
      <c r="BP86" s="9"/>
      <c r="BQ86" s="9"/>
      <c r="BR86" s="9"/>
      <c r="BS86" s="9"/>
      <c r="BT86" s="9"/>
      <c r="BU86" s="9"/>
      <c r="BV86" s="9"/>
      <c r="BW86" s="9"/>
    </row>
    <row r="87" spans="1:75" ht="64.5" hidden="1" outlineLevel="2" x14ac:dyDescent="0.25">
      <c r="A87" s="43" t="s">
        <v>71</v>
      </c>
      <c r="B87" s="110" t="s">
        <v>191</v>
      </c>
      <c r="C87" s="45">
        <v>2018</v>
      </c>
      <c r="D87" s="46" t="s">
        <v>89</v>
      </c>
      <c r="E87" s="47">
        <v>0</v>
      </c>
      <c r="F87" s="47">
        <v>0</v>
      </c>
      <c r="G87" s="47">
        <v>0</v>
      </c>
      <c r="H87" s="47">
        <v>0</v>
      </c>
      <c r="I87" s="47">
        <v>0</v>
      </c>
      <c r="J87" s="47">
        <v>0</v>
      </c>
      <c r="K87" s="47">
        <v>0</v>
      </c>
      <c r="L87" s="47">
        <v>0</v>
      </c>
      <c r="M87" s="47">
        <v>0</v>
      </c>
      <c r="N87" s="47">
        <v>0</v>
      </c>
      <c r="O87" s="47">
        <v>0</v>
      </c>
      <c r="P87" s="47">
        <v>0</v>
      </c>
      <c r="Q87" s="47">
        <v>8669680.8200000003</v>
      </c>
      <c r="R87" s="47">
        <v>0</v>
      </c>
      <c r="S87" s="47">
        <v>0</v>
      </c>
      <c r="T87" s="47">
        <v>0</v>
      </c>
      <c r="U87" s="47">
        <v>0</v>
      </c>
      <c r="V87" s="47">
        <v>0</v>
      </c>
      <c r="W87" s="47">
        <v>0</v>
      </c>
      <c r="X87" s="47">
        <v>0</v>
      </c>
      <c r="Y87" s="48">
        <v>8669680.8200000003</v>
      </c>
      <c r="Z87" s="49">
        <v>0</v>
      </c>
      <c r="AA87" s="50">
        <v>0</v>
      </c>
      <c r="AB87" s="50">
        <v>0</v>
      </c>
      <c r="AC87" s="50">
        <v>0</v>
      </c>
      <c r="AD87" s="50">
        <v>210393.8</v>
      </c>
      <c r="AE87" s="50">
        <v>0</v>
      </c>
      <c r="AF87" s="50">
        <v>8459287.0199999996</v>
      </c>
      <c r="AG87" s="49">
        <v>8669680.8200000003</v>
      </c>
      <c r="AH87" s="51" t="s">
        <v>74</v>
      </c>
      <c r="AI87" s="51" t="s">
        <v>74</v>
      </c>
      <c r="AJ87" s="51" t="s">
        <v>74</v>
      </c>
      <c r="AK87" s="51" t="s">
        <v>124</v>
      </c>
      <c r="AL87" s="51" t="s">
        <v>74</v>
      </c>
      <c r="AM87" s="51" t="s">
        <v>204</v>
      </c>
      <c r="AN87" s="52">
        <v>0</v>
      </c>
      <c r="AO87" s="52">
        <v>0</v>
      </c>
      <c r="AP87" s="52">
        <v>0</v>
      </c>
      <c r="AQ87" s="52">
        <v>0</v>
      </c>
      <c r="AR87" s="52">
        <v>0</v>
      </c>
      <c r="AS87" s="52">
        <v>0</v>
      </c>
      <c r="AT87" s="53" t="s">
        <v>74</v>
      </c>
      <c r="AU87" s="52">
        <v>0</v>
      </c>
      <c r="AV87" s="52"/>
      <c r="AW87" s="52">
        <v>0</v>
      </c>
      <c r="AX87" s="52"/>
      <c r="AY87" s="52"/>
      <c r="AZ87" s="52">
        <v>0</v>
      </c>
      <c r="BA87" s="52">
        <v>0</v>
      </c>
      <c r="BB87" s="54" t="s">
        <v>74</v>
      </c>
      <c r="BC87" s="53" t="s">
        <v>74</v>
      </c>
      <c r="BD87" s="55" t="s">
        <v>74</v>
      </c>
      <c r="BE87" s="55" t="s">
        <v>74</v>
      </c>
      <c r="BF87" s="55" t="s">
        <v>74</v>
      </c>
      <c r="BG87" s="55" t="s">
        <v>74</v>
      </c>
      <c r="BH87" s="52">
        <v>0</v>
      </c>
      <c r="BI87" s="52">
        <v>-1.8626451492309599E-9</v>
      </c>
      <c r="BJ87" s="52">
        <v>-1.8626451492309599E-9</v>
      </c>
      <c r="BK87" s="56">
        <v>43374</v>
      </c>
      <c r="BL87" s="57"/>
      <c r="BM87" s="47">
        <v>0</v>
      </c>
      <c r="BN87" s="9"/>
      <c r="BO87" s="9"/>
      <c r="BP87" s="9"/>
      <c r="BQ87" s="9"/>
      <c r="BR87" s="9"/>
      <c r="BS87" s="9"/>
      <c r="BT87" s="9"/>
      <c r="BU87" s="9"/>
      <c r="BV87" s="9"/>
      <c r="BW87" s="9"/>
    </row>
    <row r="88" spans="1:75" ht="64.5" hidden="1" outlineLevel="2" x14ac:dyDescent="0.25">
      <c r="A88" s="43" t="s">
        <v>71</v>
      </c>
      <c r="B88" s="110" t="s">
        <v>191</v>
      </c>
      <c r="C88" s="45">
        <v>2018</v>
      </c>
      <c r="D88" s="46" t="s">
        <v>90</v>
      </c>
      <c r="E88" s="47">
        <v>0</v>
      </c>
      <c r="F88" s="47">
        <v>0</v>
      </c>
      <c r="G88" s="47">
        <v>0</v>
      </c>
      <c r="H88" s="47">
        <v>0</v>
      </c>
      <c r="I88" s="47">
        <v>0</v>
      </c>
      <c r="J88" s="47">
        <v>0</v>
      </c>
      <c r="K88" s="47">
        <v>0</v>
      </c>
      <c r="L88" s="47">
        <v>0</v>
      </c>
      <c r="M88" s="47">
        <v>0</v>
      </c>
      <c r="N88" s="47">
        <v>0</v>
      </c>
      <c r="O88" s="47">
        <v>0</v>
      </c>
      <c r="P88" s="47">
        <v>0</v>
      </c>
      <c r="Q88" s="47">
        <v>8669680.8200000003</v>
      </c>
      <c r="R88" s="47">
        <v>0</v>
      </c>
      <c r="S88" s="47">
        <v>0</v>
      </c>
      <c r="T88" s="47">
        <v>0</v>
      </c>
      <c r="U88" s="47">
        <v>0</v>
      </c>
      <c r="V88" s="47">
        <v>0</v>
      </c>
      <c r="W88" s="47">
        <v>0</v>
      </c>
      <c r="X88" s="47">
        <v>0</v>
      </c>
      <c r="Y88" s="48">
        <v>8669680.8200000003</v>
      </c>
      <c r="Z88" s="49">
        <v>0</v>
      </c>
      <c r="AA88" s="50">
        <v>0</v>
      </c>
      <c r="AB88" s="50">
        <v>0</v>
      </c>
      <c r="AC88" s="50">
        <v>0</v>
      </c>
      <c r="AD88" s="50">
        <v>249923.53</v>
      </c>
      <c r="AE88" s="50">
        <v>0</v>
      </c>
      <c r="AF88" s="50">
        <v>8419757.2899999991</v>
      </c>
      <c r="AG88" s="49">
        <v>8669680.8200000003</v>
      </c>
      <c r="AH88" s="51" t="s">
        <v>74</v>
      </c>
      <c r="AI88" s="51" t="s">
        <v>74</v>
      </c>
      <c r="AJ88" s="51" t="s">
        <v>74</v>
      </c>
      <c r="AK88" s="51" t="s">
        <v>126</v>
      </c>
      <c r="AL88" s="51" t="s">
        <v>74</v>
      </c>
      <c r="AM88" s="51" t="s">
        <v>205</v>
      </c>
      <c r="AN88" s="52">
        <v>0</v>
      </c>
      <c r="AO88" s="52">
        <v>0</v>
      </c>
      <c r="AP88" s="52">
        <v>0</v>
      </c>
      <c r="AQ88" s="52">
        <v>0</v>
      </c>
      <c r="AR88" s="52">
        <v>0</v>
      </c>
      <c r="AS88" s="52">
        <v>0</v>
      </c>
      <c r="AT88" s="53" t="s">
        <v>74</v>
      </c>
      <c r="AU88" s="52">
        <v>0</v>
      </c>
      <c r="AV88" s="52"/>
      <c r="AW88" s="52">
        <v>0</v>
      </c>
      <c r="AX88" s="52"/>
      <c r="AY88" s="52"/>
      <c r="AZ88" s="52">
        <v>0</v>
      </c>
      <c r="BA88" s="52">
        <v>0</v>
      </c>
      <c r="BB88" s="54" t="s">
        <v>74</v>
      </c>
      <c r="BC88" s="53" t="s">
        <v>74</v>
      </c>
      <c r="BD88" s="55" t="s">
        <v>74</v>
      </c>
      <c r="BE88" s="55" t="s">
        <v>74</v>
      </c>
      <c r="BF88" s="55" t="s">
        <v>74</v>
      </c>
      <c r="BG88" s="55" t="s">
        <v>74</v>
      </c>
      <c r="BH88" s="52">
        <v>0</v>
      </c>
      <c r="BI88" s="52">
        <v>0</v>
      </c>
      <c r="BJ88" s="52">
        <v>0</v>
      </c>
      <c r="BK88" s="56">
        <v>43405</v>
      </c>
      <c r="BL88" s="57"/>
      <c r="BM88" s="47">
        <v>0</v>
      </c>
      <c r="BN88" s="9"/>
      <c r="BO88" s="9"/>
      <c r="BP88" s="9"/>
      <c r="BQ88" s="9"/>
      <c r="BR88" s="9"/>
      <c r="BS88" s="9"/>
      <c r="BT88" s="9"/>
      <c r="BU88" s="9"/>
      <c r="BV88" s="9"/>
      <c r="BW88" s="9"/>
    </row>
    <row r="89" spans="1:75" ht="64.5" hidden="1" outlineLevel="2" x14ac:dyDescent="0.25">
      <c r="A89" s="43" t="s">
        <v>71</v>
      </c>
      <c r="B89" s="110" t="s">
        <v>191</v>
      </c>
      <c r="C89" s="45">
        <v>2018</v>
      </c>
      <c r="D89" s="46" t="s">
        <v>93</v>
      </c>
      <c r="E89" s="47">
        <v>0</v>
      </c>
      <c r="F89" s="47">
        <v>0</v>
      </c>
      <c r="G89" s="47">
        <v>0</v>
      </c>
      <c r="H89" s="47">
        <v>0</v>
      </c>
      <c r="I89" s="47">
        <v>0</v>
      </c>
      <c r="J89" s="47">
        <v>0</v>
      </c>
      <c r="K89" s="47">
        <v>0</v>
      </c>
      <c r="L89" s="47">
        <v>0</v>
      </c>
      <c r="M89" s="47">
        <v>0</v>
      </c>
      <c r="N89" s="47">
        <v>0</v>
      </c>
      <c r="O89" s="47">
        <v>0</v>
      </c>
      <c r="P89" s="47">
        <v>0</v>
      </c>
      <c r="Q89" s="47">
        <v>8669680.8200000003</v>
      </c>
      <c r="R89" s="47">
        <v>0</v>
      </c>
      <c r="S89" s="47">
        <v>0</v>
      </c>
      <c r="T89" s="47">
        <v>0</v>
      </c>
      <c r="U89" s="47">
        <v>0</v>
      </c>
      <c r="V89" s="47">
        <v>0</v>
      </c>
      <c r="W89" s="47">
        <v>0</v>
      </c>
      <c r="X89" s="47">
        <v>0</v>
      </c>
      <c r="Y89" s="48">
        <v>8669680.8200000003</v>
      </c>
      <c r="Z89" s="49">
        <v>0</v>
      </c>
      <c r="AA89" s="50">
        <v>0</v>
      </c>
      <c r="AB89" s="50">
        <v>0</v>
      </c>
      <c r="AC89" s="50">
        <v>0</v>
      </c>
      <c r="AD89" s="50">
        <v>218020.61</v>
      </c>
      <c r="AE89" s="50">
        <v>0</v>
      </c>
      <c r="AF89" s="50">
        <v>8451660.2100000009</v>
      </c>
      <c r="AG89" s="49">
        <v>8669680.8200000003</v>
      </c>
      <c r="AH89" s="51" t="s">
        <v>74</v>
      </c>
      <c r="AI89" s="51" t="s">
        <v>74</v>
      </c>
      <c r="AJ89" s="51" t="s">
        <v>74</v>
      </c>
      <c r="AK89" s="51" t="s">
        <v>128</v>
      </c>
      <c r="AL89" s="51" t="s">
        <v>74</v>
      </c>
      <c r="AM89" s="51" t="s">
        <v>206</v>
      </c>
      <c r="AN89" s="52">
        <v>0</v>
      </c>
      <c r="AO89" s="52">
        <v>0</v>
      </c>
      <c r="AP89" s="52">
        <v>0</v>
      </c>
      <c r="AQ89" s="52">
        <v>0</v>
      </c>
      <c r="AR89" s="52">
        <v>0</v>
      </c>
      <c r="AS89" s="52">
        <v>0</v>
      </c>
      <c r="AT89" s="53" t="s">
        <v>74</v>
      </c>
      <c r="AU89" s="52">
        <v>0</v>
      </c>
      <c r="AV89" s="52"/>
      <c r="AW89" s="52">
        <v>0</v>
      </c>
      <c r="AX89" s="52"/>
      <c r="AY89" s="52"/>
      <c r="AZ89" s="52">
        <v>0</v>
      </c>
      <c r="BA89" s="52">
        <v>0</v>
      </c>
      <c r="BB89" s="54" t="s">
        <v>74</v>
      </c>
      <c r="BC89" s="53" t="s">
        <v>74</v>
      </c>
      <c r="BD89" s="55" t="s">
        <v>74</v>
      </c>
      <c r="BE89" s="55" t="s">
        <v>74</v>
      </c>
      <c r="BF89" s="55" t="s">
        <v>74</v>
      </c>
      <c r="BG89" s="55" t="s">
        <v>74</v>
      </c>
      <c r="BH89" s="52">
        <v>0</v>
      </c>
      <c r="BI89" s="52">
        <v>-1.8626451492309599E-9</v>
      </c>
      <c r="BJ89" s="52">
        <v>-1.8626451492309599E-9</v>
      </c>
      <c r="BK89" s="56">
        <v>43435</v>
      </c>
      <c r="BL89" s="57"/>
      <c r="BM89" s="47">
        <v>0</v>
      </c>
      <c r="BN89" s="9"/>
      <c r="BO89" s="9"/>
      <c r="BP89" s="9"/>
      <c r="BQ89" s="9"/>
      <c r="BR89" s="9"/>
      <c r="BS89" s="9"/>
      <c r="BT89" s="9"/>
      <c r="BU89" s="9"/>
      <c r="BV89" s="9"/>
      <c r="BW89" s="9"/>
    </row>
    <row r="90" spans="1:75" ht="90" hidden="1" outlineLevel="2" x14ac:dyDescent="0.25">
      <c r="A90" s="43" t="s">
        <v>71</v>
      </c>
      <c r="B90" s="110" t="s">
        <v>191</v>
      </c>
      <c r="C90" s="45">
        <v>2019</v>
      </c>
      <c r="D90" s="46" t="s">
        <v>73</v>
      </c>
      <c r="E90" s="47">
        <v>0</v>
      </c>
      <c r="F90" s="47">
        <v>0</v>
      </c>
      <c r="G90" s="47">
        <v>0</v>
      </c>
      <c r="H90" s="47">
        <v>0</v>
      </c>
      <c r="I90" s="47">
        <v>0</v>
      </c>
      <c r="J90" s="47">
        <v>0</v>
      </c>
      <c r="K90" s="47">
        <v>0</v>
      </c>
      <c r="L90" s="47">
        <v>0</v>
      </c>
      <c r="M90" s="47">
        <v>0</v>
      </c>
      <c r="N90" s="47">
        <v>0</v>
      </c>
      <c r="O90" s="47">
        <v>0</v>
      </c>
      <c r="P90" s="47">
        <v>0</v>
      </c>
      <c r="Q90" s="47">
        <v>8669680.8200000003</v>
      </c>
      <c r="R90" s="47">
        <v>0</v>
      </c>
      <c r="S90" s="47">
        <v>0</v>
      </c>
      <c r="T90" s="47">
        <v>0</v>
      </c>
      <c r="U90" s="47">
        <v>0</v>
      </c>
      <c r="V90" s="47">
        <v>0</v>
      </c>
      <c r="W90" s="47">
        <v>0</v>
      </c>
      <c r="X90" s="47">
        <v>0</v>
      </c>
      <c r="Y90" s="48">
        <v>8669680.8200000003</v>
      </c>
      <c r="Z90" s="49">
        <v>0</v>
      </c>
      <c r="AA90" s="50">
        <v>0</v>
      </c>
      <c r="AB90" s="50">
        <v>0</v>
      </c>
      <c r="AC90" s="50">
        <v>0</v>
      </c>
      <c r="AD90" s="50">
        <v>593988.56000000006</v>
      </c>
      <c r="AE90" s="50">
        <v>0</v>
      </c>
      <c r="AF90" s="50">
        <v>0</v>
      </c>
      <c r="AG90" s="49">
        <v>593988.56000000006</v>
      </c>
      <c r="AH90" s="51" t="s">
        <v>74</v>
      </c>
      <c r="AI90" s="51" t="s">
        <v>74</v>
      </c>
      <c r="AJ90" s="51" t="s">
        <v>74</v>
      </c>
      <c r="AK90" s="51" t="s">
        <v>207</v>
      </c>
      <c r="AL90" s="51" t="s">
        <v>74</v>
      </c>
      <c r="AM90" s="51" t="s">
        <v>74</v>
      </c>
      <c r="AN90" s="52">
        <v>0</v>
      </c>
      <c r="AO90" s="52">
        <v>0</v>
      </c>
      <c r="AP90" s="52">
        <v>0</v>
      </c>
      <c r="AQ90" s="52">
        <v>0</v>
      </c>
      <c r="AR90" s="52">
        <v>0</v>
      </c>
      <c r="AS90" s="52">
        <v>0</v>
      </c>
      <c r="AT90" s="53" t="s">
        <v>74</v>
      </c>
      <c r="AU90" s="52">
        <v>0</v>
      </c>
      <c r="AV90" s="52"/>
      <c r="AW90" s="52">
        <v>0</v>
      </c>
      <c r="AX90" s="52"/>
      <c r="AY90" s="52"/>
      <c r="AZ90" s="52">
        <v>0</v>
      </c>
      <c r="BA90" s="52">
        <v>0</v>
      </c>
      <c r="BB90" s="54" t="s">
        <v>74</v>
      </c>
      <c r="BC90" s="53" t="s">
        <v>74</v>
      </c>
      <c r="BD90" s="55" t="s">
        <v>74</v>
      </c>
      <c r="BE90" s="55" t="s">
        <v>74</v>
      </c>
      <c r="BF90" s="55" t="s">
        <v>74</v>
      </c>
      <c r="BG90" s="55" t="s">
        <v>74</v>
      </c>
      <c r="BH90" s="52">
        <v>0</v>
      </c>
      <c r="BI90" s="52">
        <v>8075692.2599999998</v>
      </c>
      <c r="BJ90" s="52">
        <v>8075692.2599999998</v>
      </c>
      <c r="BK90" s="56">
        <v>43466</v>
      </c>
      <c r="BL90" s="57">
        <v>8075692.2599999998</v>
      </c>
      <c r="BM90" s="47">
        <v>0</v>
      </c>
      <c r="BN90" s="9"/>
      <c r="BO90" s="9"/>
      <c r="BP90" s="9"/>
      <c r="BQ90" s="9"/>
      <c r="BR90" s="9"/>
      <c r="BS90" s="9"/>
      <c r="BT90" s="9"/>
      <c r="BU90" s="9"/>
      <c r="BV90" s="9"/>
      <c r="BW90" s="9"/>
    </row>
    <row r="91" spans="1:75" hidden="1" outlineLevel="2" x14ac:dyDescent="0.25">
      <c r="A91" s="43" t="s">
        <v>71</v>
      </c>
      <c r="B91" s="110" t="s">
        <v>191</v>
      </c>
      <c r="C91" s="45">
        <v>2019</v>
      </c>
      <c r="D91" s="46" t="s">
        <v>75</v>
      </c>
      <c r="E91" s="47">
        <v>0</v>
      </c>
      <c r="F91" s="47">
        <v>0</v>
      </c>
      <c r="G91" s="47">
        <v>0</v>
      </c>
      <c r="H91" s="47">
        <v>0</v>
      </c>
      <c r="I91" s="47">
        <v>0</v>
      </c>
      <c r="J91" s="47">
        <v>0</v>
      </c>
      <c r="K91" s="47">
        <v>0</v>
      </c>
      <c r="L91" s="47">
        <v>0</v>
      </c>
      <c r="M91" s="47">
        <v>0</v>
      </c>
      <c r="N91" s="47">
        <v>0</v>
      </c>
      <c r="O91" s="47">
        <v>0</v>
      </c>
      <c r="P91" s="47">
        <v>0</v>
      </c>
      <c r="Q91" s="47">
        <v>8669680.8200000003</v>
      </c>
      <c r="R91" s="47">
        <v>0</v>
      </c>
      <c r="S91" s="47">
        <v>0</v>
      </c>
      <c r="T91" s="47">
        <v>0</v>
      </c>
      <c r="U91" s="47">
        <v>0</v>
      </c>
      <c r="V91" s="47">
        <v>0</v>
      </c>
      <c r="W91" s="47">
        <v>0</v>
      </c>
      <c r="X91" s="47">
        <v>0</v>
      </c>
      <c r="Y91" s="48">
        <v>8669680.8200000003</v>
      </c>
      <c r="Z91" s="49">
        <v>0</v>
      </c>
      <c r="AA91" s="50">
        <v>0</v>
      </c>
      <c r="AB91" s="50">
        <v>0</v>
      </c>
      <c r="AC91" s="50">
        <v>0</v>
      </c>
      <c r="AD91" s="50">
        <v>0</v>
      </c>
      <c r="AE91" s="50">
        <v>0</v>
      </c>
      <c r="AF91" s="50">
        <v>0</v>
      </c>
      <c r="AG91" s="49">
        <v>0</v>
      </c>
      <c r="AH91" s="51" t="s">
        <v>74</v>
      </c>
      <c r="AI91" s="51" t="s">
        <v>74</v>
      </c>
      <c r="AJ91" s="51" t="s">
        <v>74</v>
      </c>
      <c r="AK91" s="51" t="s">
        <v>74</v>
      </c>
      <c r="AL91" s="51" t="s">
        <v>74</v>
      </c>
      <c r="AM91" s="51" t="s">
        <v>74</v>
      </c>
      <c r="AN91" s="52">
        <v>0</v>
      </c>
      <c r="AO91" s="52">
        <v>0</v>
      </c>
      <c r="AP91" s="52">
        <v>0</v>
      </c>
      <c r="AQ91" s="52">
        <v>0</v>
      </c>
      <c r="AR91" s="52">
        <v>0</v>
      </c>
      <c r="AS91" s="52">
        <v>0</v>
      </c>
      <c r="AT91" s="53" t="s">
        <v>74</v>
      </c>
      <c r="AU91" s="52">
        <v>0</v>
      </c>
      <c r="AV91" s="52"/>
      <c r="AW91" s="52">
        <v>0</v>
      </c>
      <c r="AX91" s="52"/>
      <c r="AY91" s="52"/>
      <c r="AZ91" s="52">
        <v>0</v>
      </c>
      <c r="BA91" s="52">
        <v>0</v>
      </c>
      <c r="BB91" s="54" t="s">
        <v>74</v>
      </c>
      <c r="BC91" s="53" t="s">
        <v>74</v>
      </c>
      <c r="BD91" s="55" t="s">
        <v>74</v>
      </c>
      <c r="BE91" s="55" t="s">
        <v>74</v>
      </c>
      <c r="BF91" s="55" t="s">
        <v>74</v>
      </c>
      <c r="BG91" s="55" t="s">
        <v>74</v>
      </c>
      <c r="BH91" s="52">
        <v>0</v>
      </c>
      <c r="BI91" s="52">
        <v>8669680.8200000003</v>
      </c>
      <c r="BJ91" s="52">
        <v>8669680.8200000003</v>
      </c>
      <c r="BK91" s="56">
        <v>43497</v>
      </c>
      <c r="BL91" s="57">
        <v>8669680.8200000003</v>
      </c>
      <c r="BM91" s="47">
        <v>0</v>
      </c>
      <c r="BN91" s="9"/>
      <c r="BO91" s="9"/>
      <c r="BP91" s="9"/>
      <c r="BQ91" s="9"/>
      <c r="BR91" s="9"/>
      <c r="BS91" s="9"/>
      <c r="BT91" s="9"/>
      <c r="BU91" s="9"/>
      <c r="BV91" s="9"/>
      <c r="BW91" s="9"/>
    </row>
    <row r="92" spans="1:75" ht="26.25" hidden="1" outlineLevel="2" x14ac:dyDescent="0.25">
      <c r="A92" s="43" t="s">
        <v>71</v>
      </c>
      <c r="B92" s="110" t="s">
        <v>191</v>
      </c>
      <c r="C92" s="45">
        <v>2019</v>
      </c>
      <c r="D92" s="46" t="s">
        <v>77</v>
      </c>
      <c r="E92" s="47">
        <v>0</v>
      </c>
      <c r="F92" s="47">
        <v>0</v>
      </c>
      <c r="G92" s="47">
        <v>0</v>
      </c>
      <c r="H92" s="47">
        <v>0</v>
      </c>
      <c r="I92" s="47">
        <v>0</v>
      </c>
      <c r="J92" s="47">
        <v>0</v>
      </c>
      <c r="K92" s="47">
        <v>0</v>
      </c>
      <c r="L92" s="47">
        <v>0</v>
      </c>
      <c r="M92" s="47">
        <v>0</v>
      </c>
      <c r="N92" s="47">
        <v>0</v>
      </c>
      <c r="O92" s="47">
        <v>0</v>
      </c>
      <c r="P92" s="47">
        <v>0</v>
      </c>
      <c r="Q92" s="47">
        <v>7802712.7400000002</v>
      </c>
      <c r="R92" s="47">
        <v>1208319.8500000001</v>
      </c>
      <c r="S92" s="47">
        <v>0</v>
      </c>
      <c r="T92" s="47">
        <v>0</v>
      </c>
      <c r="U92" s="47">
        <v>0</v>
      </c>
      <c r="V92" s="47">
        <v>0</v>
      </c>
      <c r="W92" s="47">
        <v>0</v>
      </c>
      <c r="X92" s="47">
        <v>0</v>
      </c>
      <c r="Y92" s="48">
        <v>9011032.5899999999</v>
      </c>
      <c r="Z92" s="49">
        <v>0</v>
      </c>
      <c r="AA92" s="50">
        <v>0</v>
      </c>
      <c r="AB92" s="50">
        <v>0</v>
      </c>
      <c r="AC92" s="50">
        <v>0</v>
      </c>
      <c r="AD92" s="50">
        <v>252595.7</v>
      </c>
      <c r="AE92" s="50">
        <v>0</v>
      </c>
      <c r="AF92" s="50">
        <v>0</v>
      </c>
      <c r="AG92" s="49">
        <v>252595.7</v>
      </c>
      <c r="AH92" s="51" t="s">
        <v>74</v>
      </c>
      <c r="AI92" s="51" t="s">
        <v>74</v>
      </c>
      <c r="AJ92" s="51" t="s">
        <v>74</v>
      </c>
      <c r="AK92" s="51" t="s">
        <v>134</v>
      </c>
      <c r="AL92" s="51" t="s">
        <v>74</v>
      </c>
      <c r="AM92" s="51" t="s">
        <v>74</v>
      </c>
      <c r="AN92" s="52">
        <v>0</v>
      </c>
      <c r="AO92" s="52">
        <v>0</v>
      </c>
      <c r="AP92" s="52">
        <v>0</v>
      </c>
      <c r="AQ92" s="52">
        <v>0</v>
      </c>
      <c r="AR92" s="52">
        <v>0</v>
      </c>
      <c r="AS92" s="52">
        <v>0</v>
      </c>
      <c r="AT92" s="53" t="s">
        <v>74</v>
      </c>
      <c r="AU92" s="52">
        <v>0</v>
      </c>
      <c r="AV92" s="52"/>
      <c r="AW92" s="52">
        <v>0</v>
      </c>
      <c r="AX92" s="52"/>
      <c r="AY92" s="52"/>
      <c r="AZ92" s="52">
        <v>0</v>
      </c>
      <c r="BA92" s="52">
        <v>0</v>
      </c>
      <c r="BB92" s="54" t="s">
        <v>74</v>
      </c>
      <c r="BC92" s="53" t="s">
        <v>74</v>
      </c>
      <c r="BD92" s="55" t="s">
        <v>74</v>
      </c>
      <c r="BE92" s="55" t="s">
        <v>74</v>
      </c>
      <c r="BF92" s="55" t="s">
        <v>74</v>
      </c>
      <c r="BG92" s="55" t="s">
        <v>74</v>
      </c>
      <c r="BH92" s="52">
        <v>0</v>
      </c>
      <c r="BI92" s="52">
        <v>8758436.8900000006</v>
      </c>
      <c r="BJ92" s="52">
        <v>8758436.8900000006</v>
      </c>
      <c r="BK92" s="56">
        <v>43525</v>
      </c>
      <c r="BL92" s="57">
        <v>8758436.8900000006</v>
      </c>
      <c r="BM92" s="47">
        <v>0</v>
      </c>
      <c r="BN92" s="9"/>
      <c r="BO92" s="9"/>
      <c r="BP92" s="9"/>
      <c r="BQ92" s="9"/>
      <c r="BR92" s="9"/>
      <c r="BS92" s="9"/>
      <c r="BT92" s="9"/>
      <c r="BU92" s="9"/>
      <c r="BV92" s="9"/>
      <c r="BW92" s="9"/>
    </row>
    <row r="93" spans="1:75" ht="39" hidden="1" outlineLevel="2" x14ac:dyDescent="0.25">
      <c r="A93" s="43" t="s">
        <v>71</v>
      </c>
      <c r="B93" s="110" t="s">
        <v>191</v>
      </c>
      <c r="C93" s="45">
        <v>2019</v>
      </c>
      <c r="D93" s="46" t="s">
        <v>79</v>
      </c>
      <c r="E93" s="47">
        <v>0</v>
      </c>
      <c r="F93" s="47">
        <v>0</v>
      </c>
      <c r="G93" s="47">
        <v>0</v>
      </c>
      <c r="H93" s="47">
        <v>0</v>
      </c>
      <c r="I93" s="47">
        <v>0</v>
      </c>
      <c r="J93" s="47">
        <v>0</v>
      </c>
      <c r="K93" s="47">
        <v>0</v>
      </c>
      <c r="L93" s="47">
        <v>0</v>
      </c>
      <c r="M93" s="47">
        <v>0</v>
      </c>
      <c r="N93" s="47">
        <v>0</v>
      </c>
      <c r="O93" s="47">
        <v>0</v>
      </c>
      <c r="P93" s="47">
        <v>0</v>
      </c>
      <c r="Q93" s="47">
        <v>0</v>
      </c>
      <c r="R93" s="47">
        <v>12083198.449999999</v>
      </c>
      <c r="S93" s="47">
        <v>0</v>
      </c>
      <c r="T93" s="47">
        <v>0</v>
      </c>
      <c r="U93" s="47">
        <v>0</v>
      </c>
      <c r="V93" s="47">
        <v>0</v>
      </c>
      <c r="W93" s="47">
        <v>0</v>
      </c>
      <c r="X93" s="47">
        <v>0</v>
      </c>
      <c r="Y93" s="48">
        <v>12083198.449999999</v>
      </c>
      <c r="Z93" s="49">
        <v>0</v>
      </c>
      <c r="AA93" s="50">
        <v>0</v>
      </c>
      <c r="AB93" s="50">
        <v>0</v>
      </c>
      <c r="AC93" s="50">
        <v>0</v>
      </c>
      <c r="AD93" s="50">
        <v>276867.65000000002</v>
      </c>
      <c r="AE93" s="50">
        <v>3500000</v>
      </c>
      <c r="AF93" s="50">
        <v>0</v>
      </c>
      <c r="AG93" s="49">
        <v>3776867.65</v>
      </c>
      <c r="AH93" s="51" t="s">
        <v>74</v>
      </c>
      <c r="AI93" s="51" t="s">
        <v>74</v>
      </c>
      <c r="AJ93" s="51" t="s">
        <v>74</v>
      </c>
      <c r="AK93" s="51" t="s">
        <v>136</v>
      </c>
      <c r="AL93" s="51" t="s">
        <v>208</v>
      </c>
      <c r="AM93" s="51" t="s">
        <v>74</v>
      </c>
      <c r="AN93" s="52">
        <v>0</v>
      </c>
      <c r="AO93" s="52">
        <v>0</v>
      </c>
      <c r="AP93" s="52">
        <v>0</v>
      </c>
      <c r="AQ93" s="52">
        <v>0</v>
      </c>
      <c r="AR93" s="52">
        <v>0</v>
      </c>
      <c r="AS93" s="52">
        <v>0</v>
      </c>
      <c r="AT93" s="53" t="s">
        <v>74</v>
      </c>
      <c r="AU93" s="52">
        <v>0</v>
      </c>
      <c r="AV93" s="52"/>
      <c r="AW93" s="52">
        <v>0</v>
      </c>
      <c r="AX93" s="52"/>
      <c r="AY93" s="52"/>
      <c r="AZ93" s="52">
        <v>0</v>
      </c>
      <c r="BA93" s="52">
        <v>0</v>
      </c>
      <c r="BB93" s="54" t="s">
        <v>74</v>
      </c>
      <c r="BC93" s="53" t="s">
        <v>74</v>
      </c>
      <c r="BD93" s="55" t="s">
        <v>74</v>
      </c>
      <c r="BE93" s="55" t="s">
        <v>74</v>
      </c>
      <c r="BF93" s="55" t="s">
        <v>74</v>
      </c>
      <c r="BG93" s="55" t="s">
        <v>74</v>
      </c>
      <c r="BH93" s="52">
        <v>0</v>
      </c>
      <c r="BI93" s="52">
        <v>8306330.7999999998</v>
      </c>
      <c r="BJ93" s="52">
        <v>8306330.7999999998</v>
      </c>
      <c r="BK93" s="56">
        <v>43556</v>
      </c>
      <c r="BL93" s="57">
        <v>8306330.7999999998</v>
      </c>
      <c r="BM93" s="47">
        <v>0</v>
      </c>
      <c r="BN93" s="9"/>
      <c r="BO93" s="9"/>
      <c r="BP93" s="9"/>
      <c r="BQ93" s="9"/>
      <c r="BR93" s="9"/>
      <c r="BS93" s="9"/>
      <c r="BT93" s="9"/>
      <c r="BU93" s="9"/>
      <c r="BV93" s="9"/>
      <c r="BW93" s="9"/>
    </row>
    <row r="94" spans="1:75" ht="39" hidden="1" outlineLevel="2" x14ac:dyDescent="0.25">
      <c r="A94" s="43" t="s">
        <v>71</v>
      </c>
      <c r="B94" s="110" t="s">
        <v>191</v>
      </c>
      <c r="C94" s="45">
        <v>2019</v>
      </c>
      <c r="D94" s="46" t="s">
        <v>81</v>
      </c>
      <c r="E94" s="47">
        <v>0</v>
      </c>
      <c r="F94" s="47">
        <v>0</v>
      </c>
      <c r="G94" s="47">
        <v>0</v>
      </c>
      <c r="H94" s="47">
        <v>0</v>
      </c>
      <c r="I94" s="47">
        <v>0</v>
      </c>
      <c r="J94" s="47">
        <v>0</v>
      </c>
      <c r="K94" s="47">
        <v>0</v>
      </c>
      <c r="L94" s="47">
        <v>0</v>
      </c>
      <c r="M94" s="47">
        <v>0</v>
      </c>
      <c r="N94" s="47">
        <v>0</v>
      </c>
      <c r="O94" s="47">
        <v>0</v>
      </c>
      <c r="P94" s="47">
        <v>0</v>
      </c>
      <c r="Q94" s="47">
        <v>0</v>
      </c>
      <c r="R94" s="47">
        <v>12083198.449999999</v>
      </c>
      <c r="S94" s="47">
        <v>0</v>
      </c>
      <c r="T94" s="47">
        <v>0</v>
      </c>
      <c r="U94" s="47">
        <v>0</v>
      </c>
      <c r="V94" s="47">
        <v>0</v>
      </c>
      <c r="W94" s="47">
        <v>0</v>
      </c>
      <c r="X94" s="47">
        <v>0</v>
      </c>
      <c r="Y94" s="48">
        <v>12083198.449999999</v>
      </c>
      <c r="Z94" s="49">
        <v>0</v>
      </c>
      <c r="AA94" s="50">
        <v>0</v>
      </c>
      <c r="AB94" s="50">
        <v>0</v>
      </c>
      <c r="AC94" s="50">
        <v>0</v>
      </c>
      <c r="AD94" s="50">
        <v>254765.55</v>
      </c>
      <c r="AE94" s="50">
        <v>3500000</v>
      </c>
      <c r="AF94" s="50">
        <v>0</v>
      </c>
      <c r="AG94" s="49">
        <v>3754765.55</v>
      </c>
      <c r="AH94" s="51" t="s">
        <v>74</v>
      </c>
      <c r="AI94" s="51" t="s">
        <v>74</v>
      </c>
      <c r="AJ94" s="51" t="s">
        <v>74</v>
      </c>
      <c r="AK94" s="51" t="s">
        <v>138</v>
      </c>
      <c r="AL94" s="51" t="s">
        <v>208</v>
      </c>
      <c r="AM94" s="51" t="s">
        <v>74</v>
      </c>
      <c r="AN94" s="52">
        <v>0</v>
      </c>
      <c r="AO94" s="52">
        <v>0</v>
      </c>
      <c r="AP94" s="52">
        <v>0</v>
      </c>
      <c r="AQ94" s="52">
        <v>0</v>
      </c>
      <c r="AR94" s="52">
        <v>0</v>
      </c>
      <c r="AS94" s="52">
        <v>0</v>
      </c>
      <c r="AT94" s="53" t="s">
        <v>74</v>
      </c>
      <c r="AU94" s="52">
        <v>0</v>
      </c>
      <c r="AV94" s="52"/>
      <c r="AW94" s="52">
        <v>0</v>
      </c>
      <c r="AX94" s="52"/>
      <c r="AY94" s="52"/>
      <c r="AZ94" s="52">
        <v>0</v>
      </c>
      <c r="BA94" s="52">
        <v>0</v>
      </c>
      <c r="BB94" s="54" t="s">
        <v>74</v>
      </c>
      <c r="BC94" s="53" t="s">
        <v>74</v>
      </c>
      <c r="BD94" s="55" t="s">
        <v>74</v>
      </c>
      <c r="BE94" s="55" t="s">
        <v>74</v>
      </c>
      <c r="BF94" s="55" t="s">
        <v>74</v>
      </c>
      <c r="BG94" s="55" t="s">
        <v>74</v>
      </c>
      <c r="BH94" s="52">
        <v>0</v>
      </c>
      <c r="BI94" s="52">
        <v>8328432.9000000004</v>
      </c>
      <c r="BJ94" s="52">
        <v>8328432.9000000004</v>
      </c>
      <c r="BK94" s="56">
        <v>43586</v>
      </c>
      <c r="BL94" s="57">
        <v>8328432.9000000004</v>
      </c>
      <c r="BM94" s="47">
        <v>0</v>
      </c>
      <c r="BN94" s="9"/>
      <c r="BO94" s="9"/>
      <c r="BP94" s="9"/>
      <c r="BQ94" s="9"/>
      <c r="BR94" s="9"/>
      <c r="BS94" s="9"/>
      <c r="BT94" s="9"/>
      <c r="BU94" s="9"/>
      <c r="BV94" s="9"/>
      <c r="BW94" s="9"/>
    </row>
    <row r="95" spans="1:75" ht="39" hidden="1" outlineLevel="2" x14ac:dyDescent="0.25">
      <c r="A95" s="43" t="s">
        <v>71</v>
      </c>
      <c r="B95" s="110" t="s">
        <v>191</v>
      </c>
      <c r="C95" s="45">
        <v>2019</v>
      </c>
      <c r="D95" s="46" t="s">
        <v>83</v>
      </c>
      <c r="E95" s="47">
        <v>0</v>
      </c>
      <c r="F95" s="47">
        <v>0</v>
      </c>
      <c r="G95" s="47">
        <v>0</v>
      </c>
      <c r="H95" s="47">
        <v>0</v>
      </c>
      <c r="I95" s="47">
        <v>0</v>
      </c>
      <c r="J95" s="47">
        <v>0</v>
      </c>
      <c r="K95" s="47">
        <v>0</v>
      </c>
      <c r="L95" s="47">
        <v>0</v>
      </c>
      <c r="M95" s="47">
        <v>0</v>
      </c>
      <c r="N95" s="47">
        <v>0</v>
      </c>
      <c r="O95" s="47">
        <v>0</v>
      </c>
      <c r="P95" s="47">
        <v>0</v>
      </c>
      <c r="Q95" s="47">
        <v>0</v>
      </c>
      <c r="R95" s="47">
        <v>12083198.449999999</v>
      </c>
      <c r="S95" s="47">
        <v>0</v>
      </c>
      <c r="T95" s="47">
        <v>0</v>
      </c>
      <c r="U95" s="47">
        <v>0</v>
      </c>
      <c r="V95" s="47">
        <v>0</v>
      </c>
      <c r="W95" s="47">
        <v>0</v>
      </c>
      <c r="X95" s="47">
        <v>0</v>
      </c>
      <c r="Y95" s="48">
        <v>12083198.449999999</v>
      </c>
      <c r="Z95" s="49">
        <v>0</v>
      </c>
      <c r="AA95" s="50">
        <v>0</v>
      </c>
      <c r="AB95" s="50">
        <v>0</v>
      </c>
      <c r="AC95" s="50">
        <v>0</v>
      </c>
      <c r="AD95" s="50">
        <v>0</v>
      </c>
      <c r="AE95" s="50">
        <v>3500000</v>
      </c>
      <c r="AF95" s="50">
        <v>0</v>
      </c>
      <c r="AG95" s="49">
        <v>3500000</v>
      </c>
      <c r="AH95" s="51" t="s">
        <v>74</v>
      </c>
      <c r="AI95" s="51" t="s">
        <v>74</v>
      </c>
      <c r="AJ95" s="51" t="s">
        <v>74</v>
      </c>
      <c r="AK95" s="51" t="s">
        <v>74</v>
      </c>
      <c r="AL95" s="51" t="s">
        <v>208</v>
      </c>
      <c r="AM95" s="51" t="s">
        <v>74</v>
      </c>
      <c r="AN95" s="52">
        <v>0</v>
      </c>
      <c r="AO95" s="52">
        <v>0</v>
      </c>
      <c r="AP95" s="52">
        <v>0</v>
      </c>
      <c r="AQ95" s="52">
        <v>0</v>
      </c>
      <c r="AR95" s="52">
        <v>0</v>
      </c>
      <c r="AS95" s="52">
        <v>0</v>
      </c>
      <c r="AT95" s="53" t="s">
        <v>74</v>
      </c>
      <c r="AU95" s="52">
        <v>0</v>
      </c>
      <c r="AV95" s="52"/>
      <c r="AW95" s="52">
        <v>0</v>
      </c>
      <c r="AX95" s="52"/>
      <c r="AY95" s="52"/>
      <c r="AZ95" s="52">
        <v>0</v>
      </c>
      <c r="BA95" s="52">
        <v>0</v>
      </c>
      <c r="BB95" s="54" t="s">
        <v>74</v>
      </c>
      <c r="BC95" s="53" t="s">
        <v>74</v>
      </c>
      <c r="BD95" s="55" t="s">
        <v>74</v>
      </c>
      <c r="BE95" s="55" t="s">
        <v>74</v>
      </c>
      <c r="BF95" s="55" t="s">
        <v>74</v>
      </c>
      <c r="BG95" s="55" t="s">
        <v>74</v>
      </c>
      <c r="BH95" s="52">
        <v>0</v>
      </c>
      <c r="BI95" s="52">
        <v>8583198.4499999993</v>
      </c>
      <c r="BJ95" s="52">
        <v>8583198.4499999993</v>
      </c>
      <c r="BK95" s="56">
        <v>43617</v>
      </c>
      <c r="BL95" s="57">
        <v>8583198.4499999993</v>
      </c>
      <c r="BM95" s="47">
        <v>0</v>
      </c>
      <c r="BN95" s="9"/>
      <c r="BO95" s="9"/>
      <c r="BP95" s="9"/>
      <c r="BQ95" s="9"/>
      <c r="BR95" s="9"/>
      <c r="BS95" s="9"/>
      <c r="BT95" s="9"/>
      <c r="BU95" s="9"/>
      <c r="BV95" s="9"/>
      <c r="BW95" s="9"/>
    </row>
    <row r="96" spans="1:75" ht="39" hidden="1" outlineLevel="2" x14ac:dyDescent="0.25">
      <c r="A96" s="43" t="s">
        <v>71</v>
      </c>
      <c r="B96" s="110" t="s">
        <v>191</v>
      </c>
      <c r="C96" s="45">
        <v>2019</v>
      </c>
      <c r="D96" s="46" t="s">
        <v>84</v>
      </c>
      <c r="E96" s="47">
        <v>0</v>
      </c>
      <c r="F96" s="47">
        <v>0</v>
      </c>
      <c r="G96" s="47">
        <v>0</v>
      </c>
      <c r="H96" s="47">
        <v>0</v>
      </c>
      <c r="I96" s="47">
        <v>0</v>
      </c>
      <c r="J96" s="47">
        <v>0</v>
      </c>
      <c r="K96" s="47">
        <v>0</v>
      </c>
      <c r="L96" s="47">
        <v>0</v>
      </c>
      <c r="M96" s="47">
        <v>0</v>
      </c>
      <c r="N96" s="47">
        <v>0</v>
      </c>
      <c r="O96" s="47">
        <v>0</v>
      </c>
      <c r="P96" s="47">
        <v>0</v>
      </c>
      <c r="Q96" s="47">
        <v>0</v>
      </c>
      <c r="R96" s="47">
        <v>12083198.449999999</v>
      </c>
      <c r="S96" s="47">
        <v>0</v>
      </c>
      <c r="T96" s="47">
        <v>0</v>
      </c>
      <c r="U96" s="47">
        <v>0</v>
      </c>
      <c r="V96" s="47">
        <v>0</v>
      </c>
      <c r="W96" s="47">
        <v>0</v>
      </c>
      <c r="X96" s="47">
        <v>0</v>
      </c>
      <c r="Y96" s="48">
        <v>12083198.449999999</v>
      </c>
      <c r="Z96" s="49">
        <v>0</v>
      </c>
      <c r="AA96" s="50">
        <v>0</v>
      </c>
      <c r="AB96" s="50">
        <v>0</v>
      </c>
      <c r="AC96" s="50">
        <v>0</v>
      </c>
      <c r="AD96" s="50">
        <v>234786.33</v>
      </c>
      <c r="AE96" s="50">
        <v>3500000</v>
      </c>
      <c r="AF96" s="50">
        <v>0</v>
      </c>
      <c r="AG96" s="49">
        <v>3734786.33</v>
      </c>
      <c r="AH96" s="51" t="s">
        <v>74</v>
      </c>
      <c r="AI96" s="51" t="s">
        <v>74</v>
      </c>
      <c r="AJ96" s="51" t="s">
        <v>74</v>
      </c>
      <c r="AK96" s="51" t="s">
        <v>140</v>
      </c>
      <c r="AL96" s="51" t="s">
        <v>208</v>
      </c>
      <c r="AM96" s="51" t="s">
        <v>74</v>
      </c>
      <c r="AN96" s="52">
        <v>0</v>
      </c>
      <c r="AO96" s="52">
        <v>0</v>
      </c>
      <c r="AP96" s="52">
        <v>0</v>
      </c>
      <c r="AQ96" s="52">
        <v>0</v>
      </c>
      <c r="AR96" s="52">
        <v>0</v>
      </c>
      <c r="AS96" s="52">
        <v>0</v>
      </c>
      <c r="AT96" s="53" t="s">
        <v>74</v>
      </c>
      <c r="AU96" s="52">
        <v>0</v>
      </c>
      <c r="AV96" s="52"/>
      <c r="AW96" s="52">
        <v>0</v>
      </c>
      <c r="AX96" s="52"/>
      <c r="AY96" s="52"/>
      <c r="AZ96" s="52">
        <v>0</v>
      </c>
      <c r="BA96" s="52">
        <v>0</v>
      </c>
      <c r="BB96" s="54" t="s">
        <v>74</v>
      </c>
      <c r="BC96" s="53" t="s">
        <v>74</v>
      </c>
      <c r="BD96" s="55" t="s">
        <v>74</v>
      </c>
      <c r="BE96" s="55" t="s">
        <v>74</v>
      </c>
      <c r="BF96" s="55" t="s">
        <v>74</v>
      </c>
      <c r="BG96" s="55" t="s">
        <v>74</v>
      </c>
      <c r="BH96" s="52">
        <v>0</v>
      </c>
      <c r="BI96" s="52">
        <v>8348412.1200000001</v>
      </c>
      <c r="BJ96" s="52">
        <v>8348412.1200000001</v>
      </c>
      <c r="BK96" s="56">
        <v>43647</v>
      </c>
      <c r="BL96" s="57">
        <v>8348412.1200000001</v>
      </c>
      <c r="BM96" s="47">
        <v>0</v>
      </c>
      <c r="BN96" s="9"/>
      <c r="BO96" s="9"/>
      <c r="BP96" s="9"/>
      <c r="BQ96" s="9"/>
      <c r="BR96" s="9"/>
      <c r="BS96" s="9"/>
      <c r="BT96" s="9"/>
      <c r="BU96" s="9"/>
      <c r="BV96" s="9"/>
      <c r="BW96" s="9"/>
    </row>
    <row r="97" spans="1:75" ht="39" hidden="1" outlineLevel="2" x14ac:dyDescent="0.25">
      <c r="A97" s="43" t="s">
        <v>71</v>
      </c>
      <c r="B97" s="110" t="s">
        <v>191</v>
      </c>
      <c r="C97" s="45">
        <v>2019</v>
      </c>
      <c r="D97" s="46" t="s">
        <v>86</v>
      </c>
      <c r="E97" s="47">
        <v>0</v>
      </c>
      <c r="F97" s="47">
        <v>0</v>
      </c>
      <c r="G97" s="47">
        <v>0</v>
      </c>
      <c r="H97" s="47">
        <v>0</v>
      </c>
      <c r="I97" s="47">
        <v>0</v>
      </c>
      <c r="J97" s="47">
        <v>0</v>
      </c>
      <c r="K97" s="47">
        <v>0</v>
      </c>
      <c r="L97" s="47">
        <v>0</v>
      </c>
      <c r="M97" s="47">
        <v>0</v>
      </c>
      <c r="N97" s="47">
        <v>0</v>
      </c>
      <c r="O97" s="47">
        <v>0</v>
      </c>
      <c r="P97" s="47">
        <v>0</v>
      </c>
      <c r="Q97" s="47">
        <v>0</v>
      </c>
      <c r="R97" s="47">
        <v>12083198.449999999</v>
      </c>
      <c r="S97" s="47">
        <v>0</v>
      </c>
      <c r="T97" s="47">
        <v>0</v>
      </c>
      <c r="U97" s="47">
        <v>0</v>
      </c>
      <c r="V97" s="47">
        <v>0</v>
      </c>
      <c r="W97" s="47">
        <v>0</v>
      </c>
      <c r="X97" s="47">
        <v>0</v>
      </c>
      <c r="Y97" s="48">
        <v>12083198.449999999</v>
      </c>
      <c r="Z97" s="49">
        <v>0</v>
      </c>
      <c r="AA97" s="50">
        <v>0</v>
      </c>
      <c r="AB97" s="50">
        <v>0</v>
      </c>
      <c r="AC97" s="50">
        <v>0</v>
      </c>
      <c r="AD97" s="50">
        <v>239188.63</v>
      </c>
      <c r="AE97" s="50">
        <v>3500000</v>
      </c>
      <c r="AF97" s="50">
        <v>0</v>
      </c>
      <c r="AG97" s="49">
        <v>3739188.63</v>
      </c>
      <c r="AH97" s="51" t="s">
        <v>74</v>
      </c>
      <c r="AI97" s="51" t="s">
        <v>74</v>
      </c>
      <c r="AJ97" s="51" t="s">
        <v>74</v>
      </c>
      <c r="AK97" s="51" t="s">
        <v>209</v>
      </c>
      <c r="AL97" s="51" t="s">
        <v>208</v>
      </c>
      <c r="AM97" s="51" t="s">
        <v>74</v>
      </c>
      <c r="AN97" s="52">
        <v>0</v>
      </c>
      <c r="AO97" s="52">
        <v>0</v>
      </c>
      <c r="AP97" s="52">
        <v>0</v>
      </c>
      <c r="AQ97" s="52">
        <v>0</v>
      </c>
      <c r="AR97" s="52">
        <v>0</v>
      </c>
      <c r="AS97" s="52">
        <v>0</v>
      </c>
      <c r="AT97" s="53" t="s">
        <v>74</v>
      </c>
      <c r="AU97" s="52">
        <v>0</v>
      </c>
      <c r="AV97" s="52"/>
      <c r="AW97" s="52">
        <v>0</v>
      </c>
      <c r="AX97" s="52"/>
      <c r="AY97" s="52"/>
      <c r="AZ97" s="52">
        <v>0</v>
      </c>
      <c r="BA97" s="52">
        <v>0</v>
      </c>
      <c r="BB97" s="54" t="s">
        <v>74</v>
      </c>
      <c r="BC97" s="53" t="s">
        <v>74</v>
      </c>
      <c r="BD97" s="55" t="s">
        <v>74</v>
      </c>
      <c r="BE97" s="55" t="s">
        <v>74</v>
      </c>
      <c r="BF97" s="55" t="s">
        <v>74</v>
      </c>
      <c r="BG97" s="55" t="s">
        <v>74</v>
      </c>
      <c r="BH97" s="52">
        <v>0</v>
      </c>
      <c r="BI97" s="52">
        <v>8344009.8200000003</v>
      </c>
      <c r="BJ97" s="52">
        <v>8344009.8200000003</v>
      </c>
      <c r="BK97" s="56">
        <v>43678</v>
      </c>
      <c r="BL97" s="57">
        <v>8344009.8200000003</v>
      </c>
      <c r="BM97" s="47">
        <v>0</v>
      </c>
      <c r="BN97" s="9"/>
      <c r="BO97" s="9"/>
      <c r="BP97" s="9"/>
      <c r="BQ97" s="9"/>
      <c r="BR97" s="9"/>
      <c r="BS97" s="9"/>
      <c r="BT97" s="9"/>
      <c r="BU97" s="9"/>
      <c r="BV97" s="9"/>
      <c r="BW97" s="9"/>
    </row>
    <row r="98" spans="1:75" ht="217.5" hidden="1" outlineLevel="2" x14ac:dyDescent="0.25">
      <c r="A98" s="43" t="s">
        <v>71</v>
      </c>
      <c r="B98" s="110" t="s">
        <v>191</v>
      </c>
      <c r="C98" s="45">
        <v>2019</v>
      </c>
      <c r="D98" s="46" t="s">
        <v>88</v>
      </c>
      <c r="E98" s="47">
        <v>0</v>
      </c>
      <c r="F98" s="47">
        <v>0</v>
      </c>
      <c r="G98" s="47">
        <v>0</v>
      </c>
      <c r="H98" s="47">
        <v>0</v>
      </c>
      <c r="I98" s="47">
        <v>0</v>
      </c>
      <c r="J98" s="47">
        <v>0</v>
      </c>
      <c r="K98" s="47">
        <v>0</v>
      </c>
      <c r="L98" s="47">
        <v>0</v>
      </c>
      <c r="M98" s="47">
        <v>0</v>
      </c>
      <c r="N98" s="47">
        <v>0</v>
      </c>
      <c r="O98" s="47">
        <v>0</v>
      </c>
      <c r="P98" s="47">
        <v>0</v>
      </c>
      <c r="Q98" s="47">
        <v>0</v>
      </c>
      <c r="R98" s="47">
        <v>12083198.449999999</v>
      </c>
      <c r="S98" s="47">
        <v>0</v>
      </c>
      <c r="T98" s="47">
        <v>0</v>
      </c>
      <c r="U98" s="47">
        <v>0</v>
      </c>
      <c r="V98" s="47">
        <v>0</v>
      </c>
      <c r="W98" s="47">
        <v>0</v>
      </c>
      <c r="X98" s="47">
        <v>0</v>
      </c>
      <c r="Y98" s="48">
        <v>12083198.449999999</v>
      </c>
      <c r="Z98" s="49">
        <v>0</v>
      </c>
      <c r="AA98" s="50">
        <v>0</v>
      </c>
      <c r="AB98" s="50">
        <v>0</v>
      </c>
      <c r="AC98" s="50">
        <v>0</v>
      </c>
      <c r="AD98" s="50">
        <v>401863.88</v>
      </c>
      <c r="AE98" s="50">
        <v>5533666.5700000003</v>
      </c>
      <c r="AF98" s="50">
        <v>0</v>
      </c>
      <c r="AG98" s="49">
        <v>5935530.4500000002</v>
      </c>
      <c r="AH98" s="51" t="s">
        <v>74</v>
      </c>
      <c r="AI98" s="51" t="s">
        <v>74</v>
      </c>
      <c r="AJ98" s="51" t="s">
        <v>74</v>
      </c>
      <c r="AK98" s="51" t="s">
        <v>210</v>
      </c>
      <c r="AL98" s="51" t="s">
        <v>211</v>
      </c>
      <c r="AM98" s="51" t="s">
        <v>74</v>
      </c>
      <c r="AN98" s="52">
        <v>0</v>
      </c>
      <c r="AO98" s="52">
        <v>0</v>
      </c>
      <c r="AP98" s="52">
        <v>0</v>
      </c>
      <c r="AQ98" s="52">
        <v>0</v>
      </c>
      <c r="AR98" s="52">
        <v>0</v>
      </c>
      <c r="AS98" s="52">
        <v>0</v>
      </c>
      <c r="AT98" s="53" t="s">
        <v>74</v>
      </c>
      <c r="AU98" s="52">
        <v>0</v>
      </c>
      <c r="AV98" s="52"/>
      <c r="AW98" s="52">
        <v>0</v>
      </c>
      <c r="AX98" s="52"/>
      <c r="AY98" s="52"/>
      <c r="AZ98" s="52">
        <v>0</v>
      </c>
      <c r="BA98" s="52">
        <v>0</v>
      </c>
      <c r="BB98" s="54" t="s">
        <v>74</v>
      </c>
      <c r="BC98" s="53" t="s">
        <v>74</v>
      </c>
      <c r="BD98" s="55" t="s">
        <v>74</v>
      </c>
      <c r="BE98" s="55" t="s">
        <v>74</v>
      </c>
      <c r="BF98" s="55" t="s">
        <v>74</v>
      </c>
      <c r="BG98" s="55" t="s">
        <v>74</v>
      </c>
      <c r="BH98" s="52">
        <v>0</v>
      </c>
      <c r="BI98" s="52">
        <v>6147668</v>
      </c>
      <c r="BJ98" s="52">
        <v>6147668</v>
      </c>
      <c r="BK98" s="56">
        <v>43709</v>
      </c>
      <c r="BL98" s="57">
        <v>6147668</v>
      </c>
      <c r="BM98" s="47">
        <v>0</v>
      </c>
      <c r="BN98" s="9"/>
      <c r="BO98" s="9"/>
      <c r="BP98" s="9"/>
      <c r="BQ98" s="9"/>
      <c r="BR98" s="9"/>
      <c r="BS98" s="9"/>
      <c r="BT98" s="9"/>
      <c r="BU98" s="9"/>
      <c r="BV98" s="9"/>
      <c r="BW98" s="9"/>
    </row>
    <row r="99" spans="1:75" ht="39" hidden="1" outlineLevel="2" x14ac:dyDescent="0.25">
      <c r="A99" s="43" t="s">
        <v>71</v>
      </c>
      <c r="B99" s="110" t="s">
        <v>191</v>
      </c>
      <c r="C99" s="45">
        <v>2019</v>
      </c>
      <c r="D99" s="46" t="s">
        <v>89</v>
      </c>
      <c r="E99" s="47">
        <v>0</v>
      </c>
      <c r="F99" s="47">
        <v>0</v>
      </c>
      <c r="G99" s="47">
        <v>0</v>
      </c>
      <c r="H99" s="47">
        <v>0</v>
      </c>
      <c r="I99" s="47">
        <v>0</v>
      </c>
      <c r="J99" s="47">
        <v>0</v>
      </c>
      <c r="K99" s="47">
        <v>0</v>
      </c>
      <c r="L99" s="47">
        <v>0</v>
      </c>
      <c r="M99" s="47">
        <v>0</v>
      </c>
      <c r="N99" s="47">
        <v>0</v>
      </c>
      <c r="O99" s="47">
        <v>0</v>
      </c>
      <c r="P99" s="47">
        <v>0</v>
      </c>
      <c r="Q99" s="47">
        <v>0</v>
      </c>
      <c r="R99" s="47">
        <v>12083198.449999999</v>
      </c>
      <c r="S99" s="47">
        <v>0</v>
      </c>
      <c r="T99" s="47">
        <v>0</v>
      </c>
      <c r="U99" s="47">
        <v>0</v>
      </c>
      <c r="V99" s="47">
        <v>0</v>
      </c>
      <c r="W99" s="47">
        <v>0</v>
      </c>
      <c r="X99" s="47">
        <v>0</v>
      </c>
      <c r="Y99" s="48">
        <v>12083198.449999999</v>
      </c>
      <c r="Z99" s="49">
        <v>0</v>
      </c>
      <c r="AA99" s="50">
        <v>0</v>
      </c>
      <c r="AB99" s="50">
        <v>0</v>
      </c>
      <c r="AC99" s="50">
        <v>0</v>
      </c>
      <c r="AD99" s="50">
        <v>0</v>
      </c>
      <c r="AE99" s="50">
        <v>3500000</v>
      </c>
      <c r="AF99" s="50">
        <v>0</v>
      </c>
      <c r="AG99" s="49">
        <v>3500000</v>
      </c>
      <c r="AH99" s="51" t="s">
        <v>74</v>
      </c>
      <c r="AI99" s="51" t="s">
        <v>74</v>
      </c>
      <c r="AJ99" s="51" t="s">
        <v>74</v>
      </c>
      <c r="AK99" s="51" t="s">
        <v>74</v>
      </c>
      <c r="AL99" s="51" t="s">
        <v>208</v>
      </c>
      <c r="AM99" s="51" t="s">
        <v>74</v>
      </c>
      <c r="AN99" s="52">
        <v>0</v>
      </c>
      <c r="AO99" s="52">
        <v>0</v>
      </c>
      <c r="AP99" s="52">
        <v>0</v>
      </c>
      <c r="AQ99" s="52">
        <v>0</v>
      </c>
      <c r="AR99" s="52">
        <v>0</v>
      </c>
      <c r="AS99" s="52">
        <v>0</v>
      </c>
      <c r="AT99" s="53" t="s">
        <v>74</v>
      </c>
      <c r="AU99" s="52">
        <v>0</v>
      </c>
      <c r="AV99" s="52"/>
      <c r="AW99" s="52">
        <v>0</v>
      </c>
      <c r="AX99" s="52"/>
      <c r="AY99" s="52"/>
      <c r="AZ99" s="52">
        <v>0</v>
      </c>
      <c r="BA99" s="52">
        <v>0</v>
      </c>
      <c r="BB99" s="54" t="s">
        <v>74</v>
      </c>
      <c r="BC99" s="53" t="s">
        <v>74</v>
      </c>
      <c r="BD99" s="55" t="s">
        <v>74</v>
      </c>
      <c r="BE99" s="55" t="s">
        <v>74</v>
      </c>
      <c r="BF99" s="55" t="s">
        <v>74</v>
      </c>
      <c r="BG99" s="55" t="s">
        <v>74</v>
      </c>
      <c r="BH99" s="52">
        <v>0</v>
      </c>
      <c r="BI99" s="52">
        <v>8583198.4499999993</v>
      </c>
      <c r="BJ99" s="52">
        <v>8583198.4499999993</v>
      </c>
      <c r="BK99" s="56">
        <v>43739</v>
      </c>
      <c r="BL99" s="57">
        <v>8583198.4499999993</v>
      </c>
      <c r="BM99" s="47">
        <v>0</v>
      </c>
      <c r="BN99" s="9"/>
      <c r="BO99" s="9"/>
      <c r="BP99" s="9"/>
      <c r="BQ99" s="9"/>
      <c r="BR99" s="9"/>
      <c r="BS99" s="9"/>
      <c r="BT99" s="9"/>
      <c r="BU99" s="9"/>
      <c r="BV99" s="9"/>
      <c r="BW99" s="9"/>
    </row>
    <row r="100" spans="1:75" ht="90" hidden="1" outlineLevel="2" x14ac:dyDescent="0.25">
      <c r="A100" s="43" t="s">
        <v>71</v>
      </c>
      <c r="B100" s="110" t="s">
        <v>191</v>
      </c>
      <c r="C100" s="45">
        <v>2019</v>
      </c>
      <c r="D100" s="46" t="s">
        <v>90</v>
      </c>
      <c r="E100" s="47">
        <v>0</v>
      </c>
      <c r="F100" s="47">
        <v>0</v>
      </c>
      <c r="G100" s="47">
        <v>0</v>
      </c>
      <c r="H100" s="47">
        <v>0</v>
      </c>
      <c r="I100" s="47">
        <v>0</v>
      </c>
      <c r="J100" s="47">
        <v>0</v>
      </c>
      <c r="K100" s="47">
        <v>0</v>
      </c>
      <c r="L100" s="47">
        <v>0</v>
      </c>
      <c r="M100" s="47">
        <v>0</v>
      </c>
      <c r="N100" s="47">
        <v>0</v>
      </c>
      <c r="O100" s="47">
        <v>0</v>
      </c>
      <c r="P100" s="47">
        <v>0</v>
      </c>
      <c r="Q100" s="47">
        <v>0</v>
      </c>
      <c r="R100" s="47">
        <v>12083198.449999999</v>
      </c>
      <c r="S100" s="47">
        <v>0</v>
      </c>
      <c r="T100" s="47">
        <v>0</v>
      </c>
      <c r="U100" s="47">
        <v>0</v>
      </c>
      <c r="V100" s="47">
        <v>0</v>
      </c>
      <c r="W100" s="47">
        <v>0</v>
      </c>
      <c r="X100" s="47">
        <v>0</v>
      </c>
      <c r="Y100" s="48">
        <v>12083198.449999999</v>
      </c>
      <c r="Z100" s="49">
        <v>0</v>
      </c>
      <c r="AA100" s="50">
        <v>0</v>
      </c>
      <c r="AB100" s="50">
        <v>0</v>
      </c>
      <c r="AC100" s="50">
        <v>0</v>
      </c>
      <c r="AD100" s="50">
        <v>258466.85</v>
      </c>
      <c r="AE100" s="50">
        <v>3859984.06</v>
      </c>
      <c r="AF100" s="50">
        <v>0</v>
      </c>
      <c r="AG100" s="49">
        <v>4118450.91</v>
      </c>
      <c r="AH100" s="51" t="s">
        <v>74</v>
      </c>
      <c r="AI100" s="51" t="s">
        <v>74</v>
      </c>
      <c r="AJ100" s="51" t="s">
        <v>74</v>
      </c>
      <c r="AK100" s="51" t="s">
        <v>212</v>
      </c>
      <c r="AL100" s="51" t="s">
        <v>213</v>
      </c>
      <c r="AM100" s="51" t="s">
        <v>74</v>
      </c>
      <c r="AN100" s="52"/>
      <c r="AO100" s="52">
        <v>0</v>
      </c>
      <c r="AP100" s="52"/>
      <c r="AQ100" s="52"/>
      <c r="AR100" s="52"/>
      <c r="AS100" s="52">
        <v>0</v>
      </c>
      <c r="AT100" s="53" t="s">
        <v>74</v>
      </c>
      <c r="AU100" s="52">
        <v>60248.43</v>
      </c>
      <c r="AV100" s="52"/>
      <c r="AW100" s="52">
        <v>0</v>
      </c>
      <c r="AX100" s="52"/>
      <c r="AY100" s="52"/>
      <c r="AZ100" s="52">
        <v>0</v>
      </c>
      <c r="BA100" s="52">
        <v>60248.43</v>
      </c>
      <c r="BB100" s="55" t="s">
        <v>214</v>
      </c>
      <c r="BC100" s="51" t="s">
        <v>74</v>
      </c>
      <c r="BD100" s="54" t="s">
        <v>74</v>
      </c>
      <c r="BE100" s="54" t="s">
        <v>74</v>
      </c>
      <c r="BF100" s="54" t="s">
        <v>74</v>
      </c>
      <c r="BG100" s="54" t="s">
        <v>74</v>
      </c>
      <c r="BH100" s="52">
        <v>60248.43</v>
      </c>
      <c r="BI100" s="52">
        <v>8024995.9699999997</v>
      </c>
      <c r="BJ100" s="52">
        <v>7964747.54</v>
      </c>
      <c r="BK100" s="56">
        <v>43770</v>
      </c>
      <c r="BL100" s="57">
        <v>8024995.9699999997</v>
      </c>
      <c r="BM100" s="47">
        <v>0</v>
      </c>
      <c r="BN100" s="9"/>
      <c r="BO100" s="9"/>
      <c r="BP100" s="9"/>
      <c r="BQ100" s="9"/>
      <c r="BR100" s="9"/>
      <c r="BS100" s="9"/>
      <c r="BT100" s="9"/>
      <c r="BU100" s="9"/>
      <c r="BV100" s="9"/>
      <c r="BW100" s="9"/>
    </row>
    <row r="101" spans="1:75" ht="90" hidden="1" outlineLevel="2" x14ac:dyDescent="0.25">
      <c r="A101" s="43" t="s">
        <v>71</v>
      </c>
      <c r="B101" s="110" t="s">
        <v>191</v>
      </c>
      <c r="C101" s="45">
        <v>2019</v>
      </c>
      <c r="D101" s="46" t="s">
        <v>93</v>
      </c>
      <c r="E101" s="47">
        <v>0</v>
      </c>
      <c r="F101" s="47">
        <v>0</v>
      </c>
      <c r="G101" s="47">
        <v>0</v>
      </c>
      <c r="H101" s="47">
        <v>0</v>
      </c>
      <c r="I101" s="47">
        <v>0</v>
      </c>
      <c r="J101" s="47">
        <v>0</v>
      </c>
      <c r="K101" s="47">
        <v>0</v>
      </c>
      <c r="L101" s="47">
        <v>0</v>
      </c>
      <c r="M101" s="47">
        <v>0</v>
      </c>
      <c r="N101" s="47">
        <v>0</v>
      </c>
      <c r="O101" s="47">
        <v>0</v>
      </c>
      <c r="P101" s="47">
        <v>0</v>
      </c>
      <c r="Q101" s="47">
        <v>0</v>
      </c>
      <c r="R101" s="47">
        <v>12083198.449999999</v>
      </c>
      <c r="S101" s="47">
        <v>0</v>
      </c>
      <c r="T101" s="47">
        <v>0</v>
      </c>
      <c r="U101" s="47">
        <v>0</v>
      </c>
      <c r="V101" s="47">
        <v>0</v>
      </c>
      <c r="W101" s="47">
        <v>0</v>
      </c>
      <c r="X101" s="47">
        <v>0</v>
      </c>
      <c r="Y101" s="48">
        <v>12083198.449999999</v>
      </c>
      <c r="Z101" s="49">
        <v>0</v>
      </c>
      <c r="AA101" s="50">
        <v>0</v>
      </c>
      <c r="AB101" s="50">
        <v>0</v>
      </c>
      <c r="AC101" s="50">
        <v>0</v>
      </c>
      <c r="AD101" s="111">
        <v>520610.01</v>
      </c>
      <c r="AE101" s="50">
        <v>3633022.75</v>
      </c>
      <c r="AF101" s="112">
        <v>-56537.85</v>
      </c>
      <c r="AG101" s="49">
        <v>4097094.91</v>
      </c>
      <c r="AH101" s="51" t="s">
        <v>74</v>
      </c>
      <c r="AI101" s="51" t="s">
        <v>74</v>
      </c>
      <c r="AJ101" s="51" t="s">
        <v>74</v>
      </c>
      <c r="AK101" s="51" t="s">
        <v>215</v>
      </c>
      <c r="AL101" s="51" t="s">
        <v>216</v>
      </c>
      <c r="AM101" s="51" t="s">
        <v>217</v>
      </c>
      <c r="AN101" s="52"/>
      <c r="AO101" s="52">
        <v>0</v>
      </c>
      <c r="AP101" s="52"/>
      <c r="AQ101" s="52"/>
      <c r="AR101" s="52"/>
      <c r="AS101" s="52">
        <v>0</v>
      </c>
      <c r="AT101" s="53" t="s">
        <v>74</v>
      </c>
      <c r="AU101" s="52">
        <v>1691667.52</v>
      </c>
      <c r="AV101" s="52"/>
      <c r="AW101" s="52">
        <v>0</v>
      </c>
      <c r="AX101" s="52"/>
      <c r="AY101" s="52"/>
      <c r="AZ101" s="52">
        <v>0</v>
      </c>
      <c r="BA101" s="52">
        <v>1691667.52</v>
      </c>
      <c r="BB101" s="55" t="s">
        <v>218</v>
      </c>
      <c r="BC101" s="51" t="s">
        <v>74</v>
      </c>
      <c r="BD101" s="54" t="s">
        <v>74</v>
      </c>
      <c r="BE101" s="54" t="s">
        <v>74</v>
      </c>
      <c r="BF101" s="54" t="s">
        <v>74</v>
      </c>
      <c r="BG101" s="54" t="s">
        <v>74</v>
      </c>
      <c r="BH101" s="52">
        <v>1691667.52</v>
      </c>
      <c r="BI101" s="52">
        <v>9677771.0600000005</v>
      </c>
      <c r="BJ101" s="52">
        <v>7986103.54</v>
      </c>
      <c r="BK101" s="56">
        <v>43800</v>
      </c>
      <c r="BL101" s="57">
        <v>9677771.0600000005</v>
      </c>
      <c r="BM101" s="47">
        <v>0</v>
      </c>
      <c r="BN101" s="9"/>
      <c r="BO101" s="9"/>
      <c r="BP101" s="9"/>
      <c r="BQ101" s="9"/>
      <c r="BR101" s="9"/>
      <c r="BS101" s="9"/>
      <c r="BT101" s="9"/>
      <c r="BU101" s="9"/>
      <c r="BV101" s="9"/>
      <c r="BW101" s="9"/>
    </row>
    <row r="102" spans="1:75" ht="26.25" hidden="1" outlineLevel="2" x14ac:dyDescent="0.25">
      <c r="A102" s="43" t="s">
        <v>71</v>
      </c>
      <c r="B102" s="110" t="s">
        <v>191</v>
      </c>
      <c r="C102" s="45">
        <v>2020</v>
      </c>
      <c r="D102" s="46" t="s">
        <v>73</v>
      </c>
      <c r="E102" s="47">
        <v>0</v>
      </c>
      <c r="F102" s="47">
        <v>0</v>
      </c>
      <c r="G102" s="47">
        <v>0</v>
      </c>
      <c r="H102" s="47">
        <v>0</v>
      </c>
      <c r="I102" s="47">
        <v>0</v>
      </c>
      <c r="J102" s="47">
        <v>0</v>
      </c>
      <c r="K102" s="47">
        <v>0</v>
      </c>
      <c r="L102" s="47">
        <v>0</v>
      </c>
      <c r="M102" s="47">
        <v>0</v>
      </c>
      <c r="N102" s="47">
        <v>0</v>
      </c>
      <c r="O102" s="47">
        <v>0</v>
      </c>
      <c r="P102" s="47">
        <v>0</v>
      </c>
      <c r="Q102" s="47">
        <v>0</v>
      </c>
      <c r="R102" s="47">
        <v>12083198.449999999</v>
      </c>
      <c r="S102" s="47">
        <v>0</v>
      </c>
      <c r="T102" s="47">
        <v>0</v>
      </c>
      <c r="U102" s="47">
        <v>0</v>
      </c>
      <c r="V102" s="47">
        <v>0</v>
      </c>
      <c r="W102" s="47">
        <v>0</v>
      </c>
      <c r="X102" s="47">
        <v>0</v>
      </c>
      <c r="Y102" s="48">
        <v>12083198.449999999</v>
      </c>
      <c r="Z102" s="49">
        <v>0</v>
      </c>
      <c r="AA102" s="50">
        <v>0</v>
      </c>
      <c r="AB102" s="50">
        <v>0</v>
      </c>
      <c r="AC102" s="50">
        <v>0</v>
      </c>
      <c r="AD102" s="50">
        <v>224071.61</v>
      </c>
      <c r="AE102" s="50">
        <v>0</v>
      </c>
      <c r="AF102" s="50">
        <v>0</v>
      </c>
      <c r="AG102" s="49">
        <v>224071.61</v>
      </c>
      <c r="AH102" s="51" t="s">
        <v>74</v>
      </c>
      <c r="AI102" s="51" t="s">
        <v>74</v>
      </c>
      <c r="AJ102" s="51" t="s">
        <v>74</v>
      </c>
      <c r="AK102" s="51" t="s">
        <v>157</v>
      </c>
      <c r="AL102" s="51" t="s">
        <v>74</v>
      </c>
      <c r="AM102" s="51" t="s">
        <v>74</v>
      </c>
      <c r="AN102" s="52">
        <v>0</v>
      </c>
      <c r="AO102" s="52">
        <v>0</v>
      </c>
      <c r="AP102" s="52">
        <v>0</v>
      </c>
      <c r="AQ102" s="52">
        <v>0</v>
      </c>
      <c r="AR102" s="52">
        <v>0</v>
      </c>
      <c r="AS102" s="52">
        <v>0</v>
      </c>
      <c r="AT102" s="53" t="s">
        <v>74</v>
      </c>
      <c r="AU102" s="52">
        <v>0</v>
      </c>
      <c r="AV102" s="52"/>
      <c r="AW102" s="52">
        <v>0</v>
      </c>
      <c r="AX102" s="52"/>
      <c r="AY102" s="52"/>
      <c r="AZ102" s="52">
        <v>0</v>
      </c>
      <c r="BA102" s="52">
        <v>0</v>
      </c>
      <c r="BB102" s="54" t="s">
        <v>74</v>
      </c>
      <c r="BC102" s="53" t="s">
        <v>74</v>
      </c>
      <c r="BD102" s="55" t="s">
        <v>74</v>
      </c>
      <c r="BE102" s="55" t="s">
        <v>74</v>
      </c>
      <c r="BF102" s="55" t="s">
        <v>74</v>
      </c>
      <c r="BG102" s="55" t="s">
        <v>74</v>
      </c>
      <c r="BH102" s="52">
        <v>0</v>
      </c>
      <c r="BI102" s="52">
        <v>11859126.84</v>
      </c>
      <c r="BJ102" s="52">
        <v>11859126.84</v>
      </c>
      <c r="BK102" s="56">
        <v>43831</v>
      </c>
      <c r="BL102" s="57">
        <v>11859126.84</v>
      </c>
      <c r="BM102" s="47">
        <v>0</v>
      </c>
      <c r="BN102" s="9"/>
      <c r="BO102" s="9"/>
      <c r="BP102" s="9"/>
      <c r="BQ102" s="9"/>
      <c r="BR102" s="9"/>
      <c r="BS102" s="9"/>
      <c r="BT102" s="9"/>
      <c r="BU102" s="9"/>
      <c r="BV102" s="9"/>
      <c r="BW102" s="9"/>
    </row>
    <row r="103" spans="1:75" ht="82.5" hidden="1" customHeight="1" outlineLevel="2" x14ac:dyDescent="0.25">
      <c r="A103" s="43" t="s">
        <v>71</v>
      </c>
      <c r="B103" s="110" t="s">
        <v>191</v>
      </c>
      <c r="C103" s="45">
        <v>2020</v>
      </c>
      <c r="D103" s="46" t="s">
        <v>75</v>
      </c>
      <c r="E103" s="47">
        <v>0</v>
      </c>
      <c r="F103" s="47">
        <v>0</v>
      </c>
      <c r="G103" s="47">
        <v>0</v>
      </c>
      <c r="H103" s="47">
        <v>0</v>
      </c>
      <c r="I103" s="47">
        <v>0</v>
      </c>
      <c r="J103" s="47">
        <v>0</v>
      </c>
      <c r="K103" s="47">
        <v>0</v>
      </c>
      <c r="L103" s="47">
        <v>0</v>
      </c>
      <c r="M103" s="47">
        <v>0</v>
      </c>
      <c r="N103" s="47">
        <v>0</v>
      </c>
      <c r="O103" s="47">
        <v>0</v>
      </c>
      <c r="P103" s="47">
        <v>0</v>
      </c>
      <c r="Q103" s="47">
        <v>0</v>
      </c>
      <c r="R103" s="47">
        <v>12083198.449999999</v>
      </c>
      <c r="S103" s="47">
        <v>0</v>
      </c>
      <c r="T103" s="47">
        <v>0</v>
      </c>
      <c r="U103" s="47">
        <v>0</v>
      </c>
      <c r="V103" s="47">
        <v>0</v>
      </c>
      <c r="W103" s="47">
        <v>0</v>
      </c>
      <c r="X103" s="47">
        <v>0</v>
      </c>
      <c r="Y103" s="48">
        <v>12083198.449999999</v>
      </c>
      <c r="Z103" s="49">
        <v>0</v>
      </c>
      <c r="AA103" s="50">
        <v>0</v>
      </c>
      <c r="AB103" s="50">
        <v>0</v>
      </c>
      <c r="AC103" s="50">
        <v>0</v>
      </c>
      <c r="AD103" s="50">
        <v>203222.52</v>
      </c>
      <c r="AE103" s="50">
        <v>3500000</v>
      </c>
      <c r="AF103" s="50">
        <v>0</v>
      </c>
      <c r="AG103" s="49">
        <v>3703222.52</v>
      </c>
      <c r="AH103" s="51" t="s">
        <v>74</v>
      </c>
      <c r="AI103" s="51" t="s">
        <v>74</v>
      </c>
      <c r="AJ103" s="51" t="s">
        <v>74</v>
      </c>
      <c r="AK103" s="51" t="s">
        <v>219</v>
      </c>
      <c r="AL103" s="51" t="s">
        <v>208</v>
      </c>
      <c r="AM103" s="51" t="s">
        <v>74</v>
      </c>
      <c r="AN103" s="52"/>
      <c r="AO103" s="52">
        <v>0</v>
      </c>
      <c r="AP103" s="52"/>
      <c r="AQ103" s="52"/>
      <c r="AR103" s="52"/>
      <c r="AS103" s="52">
        <v>0</v>
      </c>
      <c r="AT103" s="53" t="s">
        <v>74</v>
      </c>
      <c r="AU103" s="52">
        <v>222903.39</v>
      </c>
      <c r="AV103" s="52"/>
      <c r="AW103" s="52">
        <v>0</v>
      </c>
      <c r="AX103" s="52"/>
      <c r="AY103" s="52"/>
      <c r="AZ103" s="52">
        <v>0</v>
      </c>
      <c r="BA103" s="52">
        <v>222903.39</v>
      </c>
      <c r="BB103" s="55" t="s">
        <v>220</v>
      </c>
      <c r="BC103" s="51" t="s">
        <v>74</v>
      </c>
      <c r="BD103" s="54" t="s">
        <v>74</v>
      </c>
      <c r="BE103" s="54" t="s">
        <v>74</v>
      </c>
      <c r="BF103" s="54" t="s">
        <v>74</v>
      </c>
      <c r="BG103" s="54" t="s">
        <v>74</v>
      </c>
      <c r="BH103" s="52">
        <v>222903.39</v>
      </c>
      <c r="BI103" s="52">
        <v>8602879.3200000003</v>
      </c>
      <c r="BJ103" s="52">
        <v>8379975.9299999997</v>
      </c>
      <c r="BK103" s="56">
        <v>43862</v>
      </c>
      <c r="BL103" s="57">
        <v>8602879.3200000003</v>
      </c>
      <c r="BM103" s="47">
        <v>0</v>
      </c>
      <c r="BN103" s="9"/>
      <c r="BO103" s="9"/>
      <c r="BP103" s="9"/>
      <c r="BQ103" s="9"/>
      <c r="BR103" s="9"/>
      <c r="BS103" s="9"/>
      <c r="BT103" s="9"/>
      <c r="BU103" s="9"/>
      <c r="BV103" s="9"/>
      <c r="BW103" s="9"/>
    </row>
    <row r="104" spans="1:75" ht="110.25" hidden="1" customHeight="1" outlineLevel="2" x14ac:dyDescent="0.25">
      <c r="A104" s="43" t="s">
        <v>71</v>
      </c>
      <c r="B104" s="110" t="s">
        <v>191</v>
      </c>
      <c r="C104" s="45">
        <v>2020</v>
      </c>
      <c r="D104" s="46" t="s">
        <v>77</v>
      </c>
      <c r="E104" s="47">
        <v>0</v>
      </c>
      <c r="F104" s="47">
        <v>0</v>
      </c>
      <c r="G104" s="47">
        <v>0</v>
      </c>
      <c r="H104" s="47">
        <v>0</v>
      </c>
      <c r="I104" s="47">
        <v>0</v>
      </c>
      <c r="J104" s="47">
        <v>0</v>
      </c>
      <c r="K104" s="47">
        <v>0</v>
      </c>
      <c r="L104" s="47">
        <v>0</v>
      </c>
      <c r="M104" s="47">
        <v>0</v>
      </c>
      <c r="N104" s="47">
        <v>0</v>
      </c>
      <c r="O104" s="47">
        <v>0</v>
      </c>
      <c r="P104" s="47">
        <v>0</v>
      </c>
      <c r="Q104" s="47">
        <v>0</v>
      </c>
      <c r="R104" s="47">
        <v>10874878.560000001</v>
      </c>
      <c r="S104" s="47">
        <v>1247915.47</v>
      </c>
      <c r="T104" s="47">
        <v>0</v>
      </c>
      <c r="U104" s="47">
        <v>0</v>
      </c>
      <c r="V104" s="47">
        <v>0</v>
      </c>
      <c r="W104" s="47">
        <v>0</v>
      </c>
      <c r="X104" s="47">
        <v>0</v>
      </c>
      <c r="Y104" s="48">
        <v>12122794.029999999</v>
      </c>
      <c r="Z104" s="49">
        <v>0</v>
      </c>
      <c r="AA104" s="50">
        <v>0</v>
      </c>
      <c r="AB104" s="50">
        <v>0</v>
      </c>
      <c r="AC104" s="50">
        <v>0</v>
      </c>
      <c r="AD104" s="50">
        <v>215000</v>
      </c>
      <c r="AE104" s="50">
        <v>7486725.4900000002</v>
      </c>
      <c r="AF104" s="50">
        <v>0</v>
      </c>
      <c r="AG104" s="49">
        <v>7701725.4900000002</v>
      </c>
      <c r="AH104" s="51" t="s">
        <v>74</v>
      </c>
      <c r="AI104" s="51" t="s">
        <v>74</v>
      </c>
      <c r="AJ104" s="51" t="s">
        <v>74</v>
      </c>
      <c r="AK104" s="51" t="s">
        <v>221</v>
      </c>
      <c r="AL104" s="51" t="s">
        <v>222</v>
      </c>
      <c r="AM104" s="51" t="s">
        <v>74</v>
      </c>
      <c r="AN104" s="52"/>
      <c r="AO104" s="52">
        <v>0</v>
      </c>
      <c r="AP104" s="52"/>
      <c r="AQ104" s="52"/>
      <c r="AR104" s="52"/>
      <c r="AS104" s="52">
        <v>0</v>
      </c>
      <c r="AT104" s="53" t="s">
        <v>74</v>
      </c>
      <c r="AU104" s="52">
        <v>409039.53</v>
      </c>
      <c r="AV104" s="52"/>
      <c r="AW104" s="52">
        <v>0</v>
      </c>
      <c r="AX104" s="52"/>
      <c r="AY104" s="52"/>
      <c r="AZ104" s="52">
        <v>0</v>
      </c>
      <c r="BA104" s="52">
        <v>409039.53</v>
      </c>
      <c r="BB104" s="55" t="s">
        <v>223</v>
      </c>
      <c r="BC104" s="51" t="s">
        <v>74</v>
      </c>
      <c r="BD104" s="54" t="s">
        <v>74</v>
      </c>
      <c r="BE104" s="54" t="s">
        <v>74</v>
      </c>
      <c r="BF104" s="54" t="s">
        <v>74</v>
      </c>
      <c r="BG104" s="54" t="s">
        <v>74</v>
      </c>
      <c r="BH104" s="52">
        <v>409039.53</v>
      </c>
      <c r="BI104" s="52">
        <v>4830108.07</v>
      </c>
      <c r="BJ104" s="52">
        <v>4421068.54</v>
      </c>
      <c r="BK104" s="56">
        <v>43891</v>
      </c>
      <c r="BL104" s="57">
        <v>4830108.07</v>
      </c>
      <c r="BM104" s="47">
        <v>0</v>
      </c>
      <c r="BN104" s="9"/>
      <c r="BO104" s="9"/>
      <c r="BP104" s="9"/>
      <c r="BQ104" s="9"/>
      <c r="BR104" s="9"/>
      <c r="BS104" s="9"/>
      <c r="BT104" s="9"/>
      <c r="BU104" s="9"/>
      <c r="BV104" s="9"/>
      <c r="BW104" s="9"/>
    </row>
    <row r="105" spans="1:75" ht="102.75" hidden="1" outlineLevel="2" x14ac:dyDescent="0.25">
      <c r="A105" s="43" t="s">
        <v>71</v>
      </c>
      <c r="B105" s="110" t="s">
        <v>191</v>
      </c>
      <c r="C105" s="45">
        <v>2020</v>
      </c>
      <c r="D105" s="46" t="s">
        <v>79</v>
      </c>
      <c r="E105" s="47">
        <v>0</v>
      </c>
      <c r="F105" s="47">
        <v>0</v>
      </c>
      <c r="G105" s="47">
        <v>0</v>
      </c>
      <c r="H105" s="47">
        <v>0</v>
      </c>
      <c r="I105" s="47">
        <v>0</v>
      </c>
      <c r="J105" s="47">
        <v>0</v>
      </c>
      <c r="K105" s="47">
        <v>0</v>
      </c>
      <c r="L105" s="47">
        <v>0</v>
      </c>
      <c r="M105" s="47">
        <v>0</v>
      </c>
      <c r="N105" s="47">
        <v>0</v>
      </c>
      <c r="O105" s="47">
        <v>0</v>
      </c>
      <c r="P105" s="47">
        <v>0</v>
      </c>
      <c r="Q105" s="47">
        <v>0</v>
      </c>
      <c r="R105" s="47">
        <v>0</v>
      </c>
      <c r="S105" s="113">
        <v>12479154.720000001</v>
      </c>
      <c r="T105" s="47">
        <v>0</v>
      </c>
      <c r="U105" s="47">
        <v>0</v>
      </c>
      <c r="V105" s="47">
        <v>0</v>
      </c>
      <c r="W105" s="47">
        <v>0</v>
      </c>
      <c r="X105" s="47">
        <v>0</v>
      </c>
      <c r="Y105" s="48">
        <v>12479154.720000001</v>
      </c>
      <c r="Z105" s="49">
        <v>0</v>
      </c>
      <c r="AA105" s="50">
        <v>0</v>
      </c>
      <c r="AB105" s="50">
        <v>0</v>
      </c>
      <c r="AC105" s="50">
        <v>0</v>
      </c>
      <c r="AD105" s="50">
        <v>192173.73</v>
      </c>
      <c r="AE105" s="50">
        <v>4814435.71</v>
      </c>
      <c r="AF105" s="50">
        <v>0</v>
      </c>
      <c r="AG105" s="49">
        <v>5006609.4400000004</v>
      </c>
      <c r="AH105" s="51" t="s">
        <v>74</v>
      </c>
      <c r="AI105" s="51"/>
      <c r="AJ105" s="51" t="s">
        <v>74</v>
      </c>
      <c r="AK105" s="51" t="s">
        <v>224</v>
      </c>
      <c r="AL105" s="51" t="s">
        <v>225</v>
      </c>
      <c r="AM105" s="51" t="s">
        <v>74</v>
      </c>
      <c r="AN105" s="52">
        <v>0</v>
      </c>
      <c r="AO105" s="52">
        <v>0</v>
      </c>
      <c r="AP105" s="52">
        <v>0</v>
      </c>
      <c r="AQ105" s="52">
        <v>0</v>
      </c>
      <c r="AR105" s="52">
        <v>0</v>
      </c>
      <c r="AS105" s="52">
        <v>0</v>
      </c>
      <c r="AT105" s="53" t="s">
        <v>74</v>
      </c>
      <c r="AU105" s="52">
        <v>0</v>
      </c>
      <c r="AV105" s="52"/>
      <c r="AW105" s="52">
        <v>0</v>
      </c>
      <c r="AX105" s="52"/>
      <c r="AY105" s="52"/>
      <c r="AZ105" s="52">
        <v>0</v>
      </c>
      <c r="BA105" s="52">
        <v>0</v>
      </c>
      <c r="BB105" s="54" t="s">
        <v>74</v>
      </c>
      <c r="BC105" s="53" t="s">
        <v>74</v>
      </c>
      <c r="BD105" s="55" t="s">
        <v>74</v>
      </c>
      <c r="BE105" s="55" t="s">
        <v>74</v>
      </c>
      <c r="BF105" s="55" t="s">
        <v>74</v>
      </c>
      <c r="BG105" s="55" t="s">
        <v>74</v>
      </c>
      <c r="BH105" s="52">
        <v>0</v>
      </c>
      <c r="BI105" s="52">
        <v>7472545.2800000003</v>
      </c>
      <c r="BJ105" s="52">
        <v>7472545.2800000003</v>
      </c>
      <c r="BK105" s="56">
        <v>43922</v>
      </c>
      <c r="BL105" s="57">
        <v>7472545.2800000003</v>
      </c>
      <c r="BM105" s="47">
        <v>0</v>
      </c>
      <c r="BN105" s="9"/>
      <c r="BO105" s="9"/>
      <c r="BP105" s="9"/>
      <c r="BQ105" s="9"/>
      <c r="BR105" s="9"/>
      <c r="BS105" s="9"/>
      <c r="BT105" s="9"/>
      <c r="BU105" s="9"/>
      <c r="BV105" s="9"/>
      <c r="BW105" s="9"/>
    </row>
    <row r="106" spans="1:75" ht="64.5" hidden="1" outlineLevel="2" x14ac:dyDescent="0.25">
      <c r="A106" s="43" t="s">
        <v>71</v>
      </c>
      <c r="B106" s="110" t="s">
        <v>191</v>
      </c>
      <c r="C106" s="45">
        <v>2020</v>
      </c>
      <c r="D106" s="46" t="s">
        <v>81</v>
      </c>
      <c r="E106" s="47">
        <v>0</v>
      </c>
      <c r="F106" s="47">
        <v>0</v>
      </c>
      <c r="G106" s="47">
        <v>0</v>
      </c>
      <c r="H106" s="47">
        <v>0</v>
      </c>
      <c r="I106" s="47">
        <v>0</v>
      </c>
      <c r="J106" s="47">
        <v>0</v>
      </c>
      <c r="K106" s="47">
        <v>0</v>
      </c>
      <c r="L106" s="47">
        <v>0</v>
      </c>
      <c r="M106" s="47">
        <v>0</v>
      </c>
      <c r="N106" s="47">
        <v>0</v>
      </c>
      <c r="O106" s="47">
        <v>0</v>
      </c>
      <c r="P106" s="47">
        <v>0</v>
      </c>
      <c r="Q106" s="47">
        <v>0</v>
      </c>
      <c r="R106" s="47">
        <v>0</v>
      </c>
      <c r="S106" s="113">
        <v>12479154.720000001</v>
      </c>
      <c r="T106" s="47">
        <v>0</v>
      </c>
      <c r="U106" s="47">
        <v>0</v>
      </c>
      <c r="V106" s="47">
        <v>0</v>
      </c>
      <c r="W106" s="47">
        <v>0</v>
      </c>
      <c r="X106" s="47">
        <v>0</v>
      </c>
      <c r="Y106" s="48">
        <v>12479154.720000001</v>
      </c>
      <c r="Z106" s="49">
        <v>0</v>
      </c>
      <c r="AA106" s="50">
        <v>0</v>
      </c>
      <c r="AB106" s="50">
        <v>0</v>
      </c>
      <c r="AC106" s="50">
        <v>0</v>
      </c>
      <c r="AD106" s="50">
        <v>208558.31</v>
      </c>
      <c r="AE106" s="50">
        <v>3698732.8</v>
      </c>
      <c r="AF106" s="50">
        <v>0</v>
      </c>
      <c r="AG106" s="49">
        <v>3907291.11</v>
      </c>
      <c r="AH106" s="51" t="s">
        <v>74</v>
      </c>
      <c r="AI106" s="51" t="s">
        <v>74</v>
      </c>
      <c r="AJ106" s="51" t="s">
        <v>74</v>
      </c>
      <c r="AK106" s="51" t="s">
        <v>162</v>
      </c>
      <c r="AL106" s="51" t="s">
        <v>226</v>
      </c>
      <c r="AM106" s="51" t="s">
        <v>74</v>
      </c>
      <c r="AN106" s="52">
        <v>0</v>
      </c>
      <c r="AO106" s="52">
        <v>0</v>
      </c>
      <c r="AP106" s="52">
        <v>0</v>
      </c>
      <c r="AQ106" s="52">
        <v>0</v>
      </c>
      <c r="AR106" s="52">
        <v>0</v>
      </c>
      <c r="AS106" s="52">
        <v>0</v>
      </c>
      <c r="AT106" s="53" t="s">
        <v>74</v>
      </c>
      <c r="AU106" s="52">
        <v>0</v>
      </c>
      <c r="AV106" s="52"/>
      <c r="AW106" s="52">
        <v>0</v>
      </c>
      <c r="AX106" s="52"/>
      <c r="AY106" s="52"/>
      <c r="AZ106" s="52">
        <v>0</v>
      </c>
      <c r="BA106" s="52">
        <v>0</v>
      </c>
      <c r="BB106" s="54" t="s">
        <v>74</v>
      </c>
      <c r="BC106" s="53" t="s">
        <v>74</v>
      </c>
      <c r="BD106" s="55" t="s">
        <v>74</v>
      </c>
      <c r="BE106" s="55" t="s">
        <v>74</v>
      </c>
      <c r="BF106" s="55" t="s">
        <v>74</v>
      </c>
      <c r="BG106" s="55" t="s">
        <v>74</v>
      </c>
      <c r="BH106" s="52">
        <v>0</v>
      </c>
      <c r="BI106" s="52">
        <v>8571863.6099999994</v>
      </c>
      <c r="BJ106" s="52">
        <v>8571863.6099999994</v>
      </c>
      <c r="BK106" s="56">
        <v>43952</v>
      </c>
      <c r="BL106" s="57">
        <v>8571863.6099999994</v>
      </c>
      <c r="BM106" s="47">
        <v>0</v>
      </c>
      <c r="BN106" s="9"/>
      <c r="BO106" s="9"/>
      <c r="BP106" s="9"/>
      <c r="BQ106" s="9"/>
      <c r="BR106" s="9"/>
      <c r="BS106" s="9"/>
      <c r="BT106" s="9"/>
      <c r="BU106" s="9"/>
      <c r="BV106" s="9"/>
      <c r="BW106" s="9"/>
    </row>
    <row r="107" spans="1:75" ht="102.75" hidden="1" outlineLevel="2" x14ac:dyDescent="0.25">
      <c r="A107" s="43" t="s">
        <v>71</v>
      </c>
      <c r="B107" s="110" t="s">
        <v>191</v>
      </c>
      <c r="C107" s="45">
        <v>2020</v>
      </c>
      <c r="D107" s="46" t="s">
        <v>83</v>
      </c>
      <c r="E107" s="47">
        <v>0</v>
      </c>
      <c r="F107" s="47">
        <v>0</v>
      </c>
      <c r="G107" s="47">
        <v>0</v>
      </c>
      <c r="H107" s="47">
        <v>0</v>
      </c>
      <c r="I107" s="47">
        <v>0</v>
      </c>
      <c r="J107" s="47">
        <v>0</v>
      </c>
      <c r="K107" s="47">
        <v>0</v>
      </c>
      <c r="L107" s="47">
        <v>0</v>
      </c>
      <c r="M107" s="47">
        <v>0</v>
      </c>
      <c r="N107" s="47">
        <v>0</v>
      </c>
      <c r="O107" s="47">
        <v>0</v>
      </c>
      <c r="P107" s="47">
        <v>0</v>
      </c>
      <c r="Q107" s="47">
        <v>0</v>
      </c>
      <c r="R107" s="47">
        <v>0</v>
      </c>
      <c r="S107" s="113">
        <v>12479154.720000001</v>
      </c>
      <c r="T107" s="47">
        <v>0</v>
      </c>
      <c r="U107" s="47">
        <v>0</v>
      </c>
      <c r="V107" s="47">
        <v>0</v>
      </c>
      <c r="W107" s="47">
        <v>0</v>
      </c>
      <c r="X107" s="47">
        <v>0</v>
      </c>
      <c r="Y107" s="48">
        <v>12479154.720000001</v>
      </c>
      <c r="Z107" s="58">
        <v>0</v>
      </c>
      <c r="AA107" s="50">
        <v>0</v>
      </c>
      <c r="AB107" s="50">
        <v>0</v>
      </c>
      <c r="AC107" s="50">
        <v>0</v>
      </c>
      <c r="AD107" s="111">
        <v>185003.11</v>
      </c>
      <c r="AE107" s="50">
        <v>4025918.8</v>
      </c>
      <c r="AF107" s="50">
        <v>-104065.34</v>
      </c>
      <c r="AG107" s="49">
        <v>4106856.57</v>
      </c>
      <c r="AH107" s="51" t="s">
        <v>74</v>
      </c>
      <c r="AI107" s="51" t="s">
        <v>74</v>
      </c>
      <c r="AJ107" s="51" t="s">
        <v>74</v>
      </c>
      <c r="AK107" s="51" t="s">
        <v>227</v>
      </c>
      <c r="AL107" s="51" t="s">
        <v>228</v>
      </c>
      <c r="AM107" s="51" t="s">
        <v>229</v>
      </c>
      <c r="AN107" s="52">
        <v>0</v>
      </c>
      <c r="AO107" s="52">
        <v>0</v>
      </c>
      <c r="AP107" s="52">
        <v>0</v>
      </c>
      <c r="AQ107" s="52">
        <v>0</v>
      </c>
      <c r="AR107" s="52">
        <v>0</v>
      </c>
      <c r="AS107" s="52">
        <v>0</v>
      </c>
      <c r="AT107" s="53" t="s">
        <v>74</v>
      </c>
      <c r="AU107" s="52">
        <v>0</v>
      </c>
      <c r="AV107" s="52"/>
      <c r="AW107" s="52">
        <v>0</v>
      </c>
      <c r="AX107" s="52"/>
      <c r="AY107" s="52"/>
      <c r="AZ107" s="52">
        <v>0</v>
      </c>
      <c r="BA107" s="52">
        <v>0</v>
      </c>
      <c r="BB107" s="54" t="s">
        <v>74</v>
      </c>
      <c r="BC107" s="53" t="s">
        <v>74</v>
      </c>
      <c r="BD107" s="55" t="s">
        <v>74</v>
      </c>
      <c r="BE107" s="55" t="s">
        <v>74</v>
      </c>
      <c r="BF107" s="55" t="s">
        <v>74</v>
      </c>
      <c r="BG107" s="55" t="s">
        <v>74</v>
      </c>
      <c r="BH107" s="52">
        <v>0</v>
      </c>
      <c r="BI107" s="52">
        <v>8372298.1500000004</v>
      </c>
      <c r="BJ107" s="52">
        <v>8372298.1500000004</v>
      </c>
      <c r="BK107" s="56">
        <v>43983</v>
      </c>
      <c r="BL107" s="63">
        <v>8372298.1500000004</v>
      </c>
      <c r="BM107" s="47">
        <v>0</v>
      </c>
      <c r="BN107" s="9"/>
      <c r="BO107" s="9"/>
      <c r="BP107" s="9"/>
      <c r="BQ107" s="9"/>
      <c r="BR107" s="9"/>
      <c r="BS107" s="9"/>
      <c r="BT107" s="9"/>
      <c r="BU107" s="9"/>
      <c r="BV107" s="9"/>
      <c r="BW107" s="9"/>
    </row>
    <row r="108" spans="1:75" ht="102.75" hidden="1" outlineLevel="2" x14ac:dyDescent="0.25">
      <c r="A108" s="43" t="s">
        <v>71</v>
      </c>
      <c r="B108" s="110" t="s">
        <v>191</v>
      </c>
      <c r="C108" s="45">
        <v>2020</v>
      </c>
      <c r="D108" s="46" t="s">
        <v>84</v>
      </c>
      <c r="E108" s="47">
        <v>0</v>
      </c>
      <c r="F108" s="47">
        <v>0</v>
      </c>
      <c r="G108" s="47">
        <v>0</v>
      </c>
      <c r="H108" s="47">
        <v>0</v>
      </c>
      <c r="I108" s="47">
        <v>0</v>
      </c>
      <c r="J108" s="47">
        <v>0</v>
      </c>
      <c r="K108" s="47">
        <v>0</v>
      </c>
      <c r="L108" s="47">
        <v>0</v>
      </c>
      <c r="M108" s="47">
        <v>0</v>
      </c>
      <c r="N108" s="47">
        <v>0</v>
      </c>
      <c r="O108" s="47">
        <v>0</v>
      </c>
      <c r="P108" s="47">
        <v>0</v>
      </c>
      <c r="Q108" s="47">
        <v>0</v>
      </c>
      <c r="R108" s="47">
        <v>0</v>
      </c>
      <c r="S108" s="113">
        <v>12479154.720000001</v>
      </c>
      <c r="T108" s="47">
        <v>0</v>
      </c>
      <c r="U108" s="47">
        <v>0</v>
      </c>
      <c r="V108" s="47">
        <v>0</v>
      </c>
      <c r="W108" s="47">
        <v>0</v>
      </c>
      <c r="X108" s="47">
        <v>0</v>
      </c>
      <c r="Y108" s="48">
        <v>12479154.720000001</v>
      </c>
      <c r="Z108" s="58">
        <v>0</v>
      </c>
      <c r="AA108" s="50">
        <v>0</v>
      </c>
      <c r="AB108" s="50">
        <v>0</v>
      </c>
      <c r="AC108" s="50">
        <v>0</v>
      </c>
      <c r="AD108" s="62">
        <v>176088.95999999999</v>
      </c>
      <c r="AE108" s="50">
        <v>3500000</v>
      </c>
      <c r="AF108" s="50">
        <v>-722243.2</v>
      </c>
      <c r="AG108" s="49">
        <v>2953845.76</v>
      </c>
      <c r="AH108" s="51" t="s">
        <v>74</v>
      </c>
      <c r="AI108" s="51" t="s">
        <v>74</v>
      </c>
      <c r="AJ108" s="51" t="s">
        <v>74</v>
      </c>
      <c r="AK108" s="51" t="s">
        <v>165</v>
      </c>
      <c r="AL108" s="51" t="s">
        <v>208</v>
      </c>
      <c r="AM108" s="51" t="s">
        <v>230</v>
      </c>
      <c r="AN108" s="52"/>
      <c r="AO108" s="52">
        <v>0</v>
      </c>
      <c r="AP108" s="52"/>
      <c r="AQ108" s="52"/>
      <c r="AR108" s="52"/>
      <c r="AS108" s="52">
        <v>0</v>
      </c>
      <c r="AT108" s="53" t="s">
        <v>74</v>
      </c>
      <c r="AU108" s="52">
        <v>0</v>
      </c>
      <c r="AV108" s="52"/>
      <c r="AW108" s="114">
        <v>50000</v>
      </c>
      <c r="AX108" s="52"/>
      <c r="AY108" s="52"/>
      <c r="AZ108" s="52">
        <v>0</v>
      </c>
      <c r="BA108" s="52">
        <v>50000</v>
      </c>
      <c r="BB108" s="54" t="s">
        <v>74</v>
      </c>
      <c r="BC108" s="53" t="s">
        <v>74</v>
      </c>
      <c r="BD108" s="55" t="s">
        <v>231</v>
      </c>
      <c r="BE108" s="55" t="s">
        <v>74</v>
      </c>
      <c r="BF108" s="55" t="s">
        <v>74</v>
      </c>
      <c r="BG108" s="55" t="s">
        <v>74</v>
      </c>
      <c r="BH108" s="52">
        <v>50000</v>
      </c>
      <c r="BI108" s="52">
        <v>9575308.9600000009</v>
      </c>
      <c r="BJ108" s="52">
        <v>9525308.9600000009</v>
      </c>
      <c r="BK108" s="56">
        <v>44013</v>
      </c>
      <c r="BL108" s="63">
        <v>9575308.9600000009</v>
      </c>
      <c r="BM108" s="47">
        <v>0</v>
      </c>
      <c r="BN108" s="9"/>
      <c r="BO108" s="9"/>
      <c r="BP108" s="9"/>
      <c r="BQ108" s="9"/>
      <c r="BR108" s="9"/>
      <c r="BS108" s="9"/>
      <c r="BT108" s="9"/>
      <c r="BU108" s="9"/>
      <c r="BV108" s="9"/>
      <c r="BW108" s="9"/>
    </row>
    <row r="109" spans="1:75" ht="90" hidden="1" outlineLevel="2" x14ac:dyDescent="0.25">
      <c r="A109" s="43" t="s">
        <v>71</v>
      </c>
      <c r="B109" s="110" t="s">
        <v>191</v>
      </c>
      <c r="C109" s="45">
        <v>2020</v>
      </c>
      <c r="D109" s="46" t="s">
        <v>86</v>
      </c>
      <c r="E109" s="47">
        <v>0</v>
      </c>
      <c r="F109" s="47">
        <v>0</v>
      </c>
      <c r="G109" s="47">
        <v>0</v>
      </c>
      <c r="H109" s="47">
        <v>0</v>
      </c>
      <c r="I109" s="47">
        <v>0</v>
      </c>
      <c r="J109" s="47">
        <v>0</v>
      </c>
      <c r="K109" s="47">
        <v>0</v>
      </c>
      <c r="L109" s="47">
        <v>0</v>
      </c>
      <c r="M109" s="47">
        <v>0</v>
      </c>
      <c r="N109" s="47">
        <v>0</v>
      </c>
      <c r="O109" s="47">
        <v>0</v>
      </c>
      <c r="P109" s="47">
        <v>0</v>
      </c>
      <c r="Q109" s="47">
        <v>0</v>
      </c>
      <c r="R109" s="47">
        <v>0</v>
      </c>
      <c r="S109" s="113">
        <v>12479154.720000001</v>
      </c>
      <c r="T109" s="47">
        <v>0</v>
      </c>
      <c r="U109" s="47">
        <v>0</v>
      </c>
      <c r="V109" s="47">
        <v>0</v>
      </c>
      <c r="W109" s="47">
        <v>0</v>
      </c>
      <c r="X109" s="47">
        <v>0</v>
      </c>
      <c r="Y109" s="48">
        <v>12479154.720000001</v>
      </c>
      <c r="Z109" s="58">
        <v>0</v>
      </c>
      <c r="AA109" s="50">
        <v>0</v>
      </c>
      <c r="AB109" s="50">
        <v>0</v>
      </c>
      <c r="AC109" s="50">
        <v>0</v>
      </c>
      <c r="AD109" s="62">
        <v>183228.88</v>
      </c>
      <c r="AE109" s="50">
        <v>3500000</v>
      </c>
      <c r="AF109" s="50">
        <v>-847902.68</v>
      </c>
      <c r="AG109" s="49">
        <v>2835326.2</v>
      </c>
      <c r="AH109" s="51" t="s">
        <v>74</v>
      </c>
      <c r="AI109" s="51" t="s">
        <v>74</v>
      </c>
      <c r="AJ109" s="51" t="s">
        <v>74</v>
      </c>
      <c r="AK109" s="51" t="s">
        <v>168</v>
      </c>
      <c r="AL109" s="51" t="s">
        <v>208</v>
      </c>
      <c r="AM109" s="51" t="s">
        <v>232</v>
      </c>
      <c r="AN109" s="52">
        <v>0</v>
      </c>
      <c r="AO109" s="52">
        <v>0</v>
      </c>
      <c r="AP109" s="52">
        <v>0</v>
      </c>
      <c r="AQ109" s="52">
        <v>0</v>
      </c>
      <c r="AR109" s="52">
        <v>0</v>
      </c>
      <c r="AS109" s="52">
        <v>0</v>
      </c>
      <c r="AT109" s="53" t="s">
        <v>74</v>
      </c>
      <c r="AU109" s="52">
        <v>0</v>
      </c>
      <c r="AV109" s="52"/>
      <c r="AW109" s="52">
        <v>0</v>
      </c>
      <c r="AX109" s="52"/>
      <c r="AY109" s="52"/>
      <c r="AZ109" s="52">
        <v>0</v>
      </c>
      <c r="BA109" s="52">
        <v>0</v>
      </c>
      <c r="BB109" s="54" t="s">
        <v>74</v>
      </c>
      <c r="BC109" s="53" t="s">
        <v>74</v>
      </c>
      <c r="BD109" s="55" t="s">
        <v>74</v>
      </c>
      <c r="BE109" s="55" t="s">
        <v>74</v>
      </c>
      <c r="BF109" s="55" t="s">
        <v>74</v>
      </c>
      <c r="BG109" s="55" t="s">
        <v>74</v>
      </c>
      <c r="BH109" s="52">
        <v>0</v>
      </c>
      <c r="BI109" s="52">
        <v>9643828.5199999996</v>
      </c>
      <c r="BJ109" s="52">
        <v>9643828.5199999996</v>
      </c>
      <c r="BK109" s="56">
        <v>44044</v>
      </c>
      <c r="BL109" s="63">
        <v>9643828.5199999996</v>
      </c>
      <c r="BM109" s="47">
        <v>0</v>
      </c>
      <c r="BN109" s="9"/>
      <c r="BO109" s="9"/>
      <c r="BP109" s="9"/>
      <c r="BQ109" s="9"/>
      <c r="BR109" s="9"/>
      <c r="BS109" s="9"/>
      <c r="BT109" s="9"/>
      <c r="BU109" s="9"/>
      <c r="BV109" s="9"/>
      <c r="BW109" s="9"/>
    </row>
    <row r="110" spans="1:75" ht="90" hidden="1" outlineLevel="2" x14ac:dyDescent="0.25">
      <c r="A110" s="43" t="s">
        <v>71</v>
      </c>
      <c r="B110" s="110" t="s">
        <v>191</v>
      </c>
      <c r="C110" s="45">
        <v>2020</v>
      </c>
      <c r="D110" s="46" t="s">
        <v>88</v>
      </c>
      <c r="E110" s="47">
        <v>0</v>
      </c>
      <c r="F110" s="47">
        <v>0</v>
      </c>
      <c r="G110" s="47">
        <v>0</v>
      </c>
      <c r="H110" s="47">
        <v>0</v>
      </c>
      <c r="I110" s="47">
        <v>0</v>
      </c>
      <c r="J110" s="47">
        <v>0</v>
      </c>
      <c r="K110" s="47">
        <v>0</v>
      </c>
      <c r="L110" s="47">
        <v>0</v>
      </c>
      <c r="M110" s="47">
        <v>0</v>
      </c>
      <c r="N110" s="47">
        <v>0</v>
      </c>
      <c r="O110" s="47">
        <v>0</v>
      </c>
      <c r="P110" s="47">
        <v>0</v>
      </c>
      <c r="Q110" s="47">
        <v>0</v>
      </c>
      <c r="R110" s="47">
        <v>0</v>
      </c>
      <c r="S110" s="113">
        <v>12479154.720000001</v>
      </c>
      <c r="T110" s="47">
        <v>0</v>
      </c>
      <c r="U110" s="47">
        <v>0</v>
      </c>
      <c r="V110" s="47">
        <v>0</v>
      </c>
      <c r="W110" s="47">
        <v>0</v>
      </c>
      <c r="X110" s="47">
        <v>0</v>
      </c>
      <c r="Y110" s="48">
        <v>12479154.720000001</v>
      </c>
      <c r="Z110" s="58">
        <v>0</v>
      </c>
      <c r="AA110" s="50">
        <v>0</v>
      </c>
      <c r="AB110" s="50">
        <v>0</v>
      </c>
      <c r="AC110" s="50">
        <v>0</v>
      </c>
      <c r="AD110" s="62">
        <v>178095.61</v>
      </c>
      <c r="AE110" s="50">
        <v>3500000</v>
      </c>
      <c r="AF110" s="50">
        <v>-496119.4</v>
      </c>
      <c r="AG110" s="49">
        <v>3181976.21</v>
      </c>
      <c r="AH110" s="51" t="s">
        <v>74</v>
      </c>
      <c r="AI110" s="51" t="s">
        <v>74</v>
      </c>
      <c r="AJ110" s="51" t="s">
        <v>74</v>
      </c>
      <c r="AK110" s="51" t="s">
        <v>170</v>
      </c>
      <c r="AL110" s="51" t="s">
        <v>208</v>
      </c>
      <c r="AM110" s="51" t="s">
        <v>233</v>
      </c>
      <c r="AN110" s="52">
        <v>0</v>
      </c>
      <c r="AO110" s="52">
        <v>0</v>
      </c>
      <c r="AP110" s="52">
        <v>0</v>
      </c>
      <c r="AQ110" s="52">
        <v>0</v>
      </c>
      <c r="AR110" s="52">
        <v>0</v>
      </c>
      <c r="AS110" s="52">
        <v>0</v>
      </c>
      <c r="AT110" s="53" t="s">
        <v>74</v>
      </c>
      <c r="AU110" s="52">
        <v>0</v>
      </c>
      <c r="AV110" s="52"/>
      <c r="AW110" s="52">
        <v>0</v>
      </c>
      <c r="AX110" s="52"/>
      <c r="AY110" s="52"/>
      <c r="AZ110" s="52">
        <v>0</v>
      </c>
      <c r="BA110" s="52">
        <v>0</v>
      </c>
      <c r="BB110" s="54" t="s">
        <v>74</v>
      </c>
      <c r="BC110" s="53" t="s">
        <v>74</v>
      </c>
      <c r="BD110" s="55" t="s">
        <v>74</v>
      </c>
      <c r="BE110" s="55" t="s">
        <v>74</v>
      </c>
      <c r="BF110" s="55" t="s">
        <v>74</v>
      </c>
      <c r="BG110" s="55" t="s">
        <v>74</v>
      </c>
      <c r="BH110" s="52">
        <v>0</v>
      </c>
      <c r="BI110" s="52">
        <v>9297178.5099999998</v>
      </c>
      <c r="BJ110" s="52">
        <v>9297178.5099999998</v>
      </c>
      <c r="BK110" s="56">
        <v>44075</v>
      </c>
      <c r="BL110" s="63">
        <v>9297178.5099999998</v>
      </c>
      <c r="BM110" s="47">
        <v>0</v>
      </c>
      <c r="BN110" s="9"/>
      <c r="BO110" s="9"/>
      <c r="BP110" s="9"/>
      <c r="BQ110" s="9"/>
      <c r="BR110" s="9"/>
      <c r="BS110" s="9"/>
      <c r="BT110" s="9"/>
      <c r="BU110" s="9"/>
      <c r="BV110" s="9"/>
      <c r="BW110" s="9"/>
    </row>
    <row r="111" spans="1:75" ht="90" hidden="1" outlineLevel="2" x14ac:dyDescent="0.25">
      <c r="A111" s="43" t="s">
        <v>71</v>
      </c>
      <c r="B111" s="110" t="s">
        <v>191</v>
      </c>
      <c r="C111" s="45">
        <v>2020</v>
      </c>
      <c r="D111" s="46" t="s">
        <v>89</v>
      </c>
      <c r="E111" s="47">
        <v>0</v>
      </c>
      <c r="F111" s="47">
        <v>0</v>
      </c>
      <c r="G111" s="47">
        <v>0</v>
      </c>
      <c r="H111" s="47">
        <v>0</v>
      </c>
      <c r="I111" s="47">
        <v>0</v>
      </c>
      <c r="J111" s="47">
        <v>0</v>
      </c>
      <c r="K111" s="47">
        <v>0</v>
      </c>
      <c r="L111" s="47">
        <v>0</v>
      </c>
      <c r="M111" s="47">
        <v>0</v>
      </c>
      <c r="N111" s="47">
        <v>0</v>
      </c>
      <c r="O111" s="47">
        <v>0</v>
      </c>
      <c r="P111" s="47">
        <v>0</v>
      </c>
      <c r="Q111" s="47">
        <v>0</v>
      </c>
      <c r="R111" s="47">
        <v>0</v>
      </c>
      <c r="S111" s="113">
        <v>12479154.720000001</v>
      </c>
      <c r="T111" s="47">
        <v>0</v>
      </c>
      <c r="U111" s="47">
        <v>0</v>
      </c>
      <c r="V111" s="47">
        <v>0</v>
      </c>
      <c r="W111" s="47">
        <v>0</v>
      </c>
      <c r="X111" s="47">
        <v>0</v>
      </c>
      <c r="Y111" s="48">
        <v>12479154.720000001</v>
      </c>
      <c r="Z111" s="58">
        <v>0</v>
      </c>
      <c r="AA111" s="50">
        <v>0</v>
      </c>
      <c r="AB111" s="50">
        <v>0</v>
      </c>
      <c r="AC111" s="50">
        <v>0</v>
      </c>
      <c r="AD111" s="62">
        <v>200169.29</v>
      </c>
      <c r="AE111" s="50">
        <v>3500000</v>
      </c>
      <c r="AF111" s="50">
        <v>-674580.4</v>
      </c>
      <c r="AG111" s="49">
        <v>3025588.89</v>
      </c>
      <c r="AH111" s="51" t="s">
        <v>74</v>
      </c>
      <c r="AI111" s="51" t="s">
        <v>74</v>
      </c>
      <c r="AJ111" s="51" t="s">
        <v>74</v>
      </c>
      <c r="AK111" s="51" t="s">
        <v>172</v>
      </c>
      <c r="AL111" s="51" t="s">
        <v>208</v>
      </c>
      <c r="AM111" s="51" t="s">
        <v>234</v>
      </c>
      <c r="AN111" s="52">
        <v>0</v>
      </c>
      <c r="AO111" s="52">
        <v>0</v>
      </c>
      <c r="AP111" s="52">
        <v>0</v>
      </c>
      <c r="AQ111" s="52">
        <v>0</v>
      </c>
      <c r="AR111" s="52">
        <v>0</v>
      </c>
      <c r="AS111" s="52">
        <v>0</v>
      </c>
      <c r="AT111" s="53" t="s">
        <v>74</v>
      </c>
      <c r="AU111" s="52">
        <v>0</v>
      </c>
      <c r="AV111" s="52"/>
      <c r="AW111" s="52">
        <v>0</v>
      </c>
      <c r="AX111" s="52"/>
      <c r="AY111" s="52"/>
      <c r="AZ111" s="52">
        <v>0</v>
      </c>
      <c r="BA111" s="52">
        <v>0</v>
      </c>
      <c r="BB111" s="54" t="s">
        <v>74</v>
      </c>
      <c r="BC111" s="53" t="s">
        <v>74</v>
      </c>
      <c r="BD111" s="55" t="s">
        <v>74</v>
      </c>
      <c r="BE111" s="55" t="s">
        <v>74</v>
      </c>
      <c r="BF111" s="55" t="s">
        <v>74</v>
      </c>
      <c r="BG111" s="55" t="s">
        <v>74</v>
      </c>
      <c r="BH111" s="52">
        <v>0</v>
      </c>
      <c r="BI111" s="52">
        <v>9453565.8300000001</v>
      </c>
      <c r="BJ111" s="52">
        <v>9453565.8300000001</v>
      </c>
      <c r="BK111" s="56">
        <v>44105</v>
      </c>
      <c r="BL111" s="63">
        <v>9453565.8300000001</v>
      </c>
      <c r="BM111" s="47">
        <v>0</v>
      </c>
      <c r="BN111" s="9"/>
      <c r="BO111" s="9"/>
      <c r="BP111" s="9"/>
      <c r="BQ111" s="9"/>
      <c r="BR111" s="9"/>
      <c r="BS111" s="9"/>
      <c r="BT111" s="9"/>
      <c r="BU111" s="9"/>
      <c r="BV111" s="9"/>
      <c r="BW111" s="9"/>
    </row>
    <row r="112" spans="1:75" ht="90" hidden="1" outlineLevel="2" x14ac:dyDescent="0.25">
      <c r="A112" s="43" t="s">
        <v>71</v>
      </c>
      <c r="B112" s="110" t="s">
        <v>191</v>
      </c>
      <c r="C112" s="45">
        <v>2020</v>
      </c>
      <c r="D112" s="46" t="s">
        <v>90</v>
      </c>
      <c r="E112" s="47">
        <v>0</v>
      </c>
      <c r="F112" s="47">
        <v>0</v>
      </c>
      <c r="G112" s="47">
        <v>0</v>
      </c>
      <c r="H112" s="47">
        <v>0</v>
      </c>
      <c r="I112" s="47">
        <v>0</v>
      </c>
      <c r="J112" s="47">
        <v>0</v>
      </c>
      <c r="K112" s="47">
        <v>0</v>
      </c>
      <c r="L112" s="47">
        <v>0</v>
      </c>
      <c r="M112" s="47">
        <v>0</v>
      </c>
      <c r="N112" s="47">
        <v>0</v>
      </c>
      <c r="O112" s="47">
        <v>0</v>
      </c>
      <c r="P112" s="47">
        <v>0</v>
      </c>
      <c r="Q112" s="47">
        <v>0</v>
      </c>
      <c r="R112" s="47">
        <v>0</v>
      </c>
      <c r="S112" s="113">
        <v>12479154.720000001</v>
      </c>
      <c r="T112" s="47">
        <v>0</v>
      </c>
      <c r="U112" s="47">
        <v>0</v>
      </c>
      <c r="V112" s="47">
        <v>0</v>
      </c>
      <c r="W112" s="47">
        <v>0</v>
      </c>
      <c r="X112" s="47">
        <v>0</v>
      </c>
      <c r="Y112" s="48">
        <v>12479154.720000001</v>
      </c>
      <c r="Z112" s="58">
        <v>0</v>
      </c>
      <c r="AA112" s="50">
        <v>0</v>
      </c>
      <c r="AB112" s="50">
        <v>0</v>
      </c>
      <c r="AC112" s="50">
        <v>0</v>
      </c>
      <c r="AD112" s="62">
        <v>199125.03</v>
      </c>
      <c r="AE112" s="50">
        <v>3500000</v>
      </c>
      <c r="AF112" s="50">
        <v>-618492.65</v>
      </c>
      <c r="AG112" s="49">
        <v>3080632.38</v>
      </c>
      <c r="AH112" s="51" t="s">
        <v>74</v>
      </c>
      <c r="AI112" s="51" t="s">
        <v>74</v>
      </c>
      <c r="AJ112" s="51" t="s">
        <v>74</v>
      </c>
      <c r="AK112" s="51" t="s">
        <v>175</v>
      </c>
      <c r="AL112" s="51" t="s">
        <v>208</v>
      </c>
      <c r="AM112" s="51" t="s">
        <v>235</v>
      </c>
      <c r="AN112" s="52">
        <v>0</v>
      </c>
      <c r="AO112" s="52">
        <v>0</v>
      </c>
      <c r="AP112" s="52">
        <v>0</v>
      </c>
      <c r="AQ112" s="52">
        <v>0</v>
      </c>
      <c r="AR112" s="52">
        <v>0</v>
      </c>
      <c r="AS112" s="52">
        <v>0</v>
      </c>
      <c r="AT112" s="53" t="s">
        <v>74</v>
      </c>
      <c r="AU112" s="52">
        <v>0</v>
      </c>
      <c r="AV112" s="52"/>
      <c r="AW112" s="52">
        <v>0</v>
      </c>
      <c r="AX112" s="52"/>
      <c r="AY112" s="52"/>
      <c r="AZ112" s="52">
        <v>0</v>
      </c>
      <c r="BA112" s="52">
        <v>0</v>
      </c>
      <c r="BB112" s="54" t="s">
        <v>74</v>
      </c>
      <c r="BC112" s="53" t="s">
        <v>74</v>
      </c>
      <c r="BD112" s="55" t="s">
        <v>74</v>
      </c>
      <c r="BE112" s="55" t="s">
        <v>74</v>
      </c>
      <c r="BF112" s="55" t="s">
        <v>74</v>
      </c>
      <c r="BG112" s="55" t="s">
        <v>74</v>
      </c>
      <c r="BH112" s="52">
        <v>0</v>
      </c>
      <c r="BI112" s="52">
        <v>9398522.3399999999</v>
      </c>
      <c r="BJ112" s="52">
        <v>9398522.3399999999</v>
      </c>
      <c r="BK112" s="56">
        <v>44136</v>
      </c>
      <c r="BL112" s="63">
        <v>9398522.3399999999</v>
      </c>
      <c r="BM112" s="47">
        <v>0</v>
      </c>
      <c r="BN112" s="9"/>
      <c r="BO112" s="9"/>
      <c r="BP112" s="9"/>
      <c r="BQ112" s="9"/>
      <c r="BR112" s="9"/>
      <c r="BS112" s="9"/>
      <c r="BT112" s="9"/>
      <c r="BU112" s="9"/>
      <c r="BV112" s="9"/>
      <c r="BW112" s="9"/>
    </row>
    <row r="113" spans="1:75" ht="90" hidden="1" outlineLevel="2" x14ac:dyDescent="0.25">
      <c r="A113" s="43" t="s">
        <v>71</v>
      </c>
      <c r="B113" s="110" t="s">
        <v>191</v>
      </c>
      <c r="C113" s="45">
        <v>2020</v>
      </c>
      <c r="D113" s="46" t="s">
        <v>93</v>
      </c>
      <c r="E113" s="47">
        <v>0</v>
      </c>
      <c r="F113" s="47">
        <v>0</v>
      </c>
      <c r="G113" s="47">
        <v>0</v>
      </c>
      <c r="H113" s="47">
        <v>0</v>
      </c>
      <c r="I113" s="47">
        <v>0</v>
      </c>
      <c r="J113" s="47">
        <v>0</v>
      </c>
      <c r="K113" s="47">
        <v>0</v>
      </c>
      <c r="L113" s="47">
        <v>0</v>
      </c>
      <c r="M113" s="47">
        <v>0</v>
      </c>
      <c r="N113" s="47">
        <v>0</v>
      </c>
      <c r="O113" s="47">
        <v>0</v>
      </c>
      <c r="P113" s="47">
        <v>0</v>
      </c>
      <c r="Q113" s="47">
        <v>0</v>
      </c>
      <c r="R113" s="47">
        <v>0</v>
      </c>
      <c r="S113" s="113">
        <v>12479154.720000001</v>
      </c>
      <c r="T113" s="47">
        <v>0</v>
      </c>
      <c r="U113" s="47">
        <v>0</v>
      </c>
      <c r="V113" s="47">
        <v>0</v>
      </c>
      <c r="W113" s="47">
        <v>0</v>
      </c>
      <c r="X113" s="47">
        <v>0</v>
      </c>
      <c r="Y113" s="48">
        <v>12479154.720000001</v>
      </c>
      <c r="Z113" s="115">
        <v>0</v>
      </c>
      <c r="AA113" s="50">
        <v>0</v>
      </c>
      <c r="AB113" s="50">
        <v>0</v>
      </c>
      <c r="AC113" s="50">
        <v>0</v>
      </c>
      <c r="AD113" s="62">
        <v>444072.5</v>
      </c>
      <c r="AE113" s="50">
        <v>3500000</v>
      </c>
      <c r="AF113" s="50">
        <v>-332243.58</v>
      </c>
      <c r="AG113" s="49">
        <v>3611828.92</v>
      </c>
      <c r="AH113" s="51" t="s">
        <v>74</v>
      </c>
      <c r="AI113" s="51" t="s">
        <v>74</v>
      </c>
      <c r="AJ113" s="51" t="s">
        <v>74</v>
      </c>
      <c r="AK113" s="51" t="s">
        <v>236</v>
      </c>
      <c r="AL113" s="51" t="s">
        <v>208</v>
      </c>
      <c r="AM113" s="51" t="s">
        <v>237</v>
      </c>
      <c r="AN113" s="52">
        <v>0</v>
      </c>
      <c r="AO113" s="52">
        <v>0</v>
      </c>
      <c r="AP113" s="52">
        <v>0</v>
      </c>
      <c r="AQ113" s="52">
        <v>0</v>
      </c>
      <c r="AR113" s="52">
        <v>0</v>
      </c>
      <c r="AS113" s="52">
        <v>0</v>
      </c>
      <c r="AT113" s="53" t="s">
        <v>74</v>
      </c>
      <c r="AU113" s="52">
        <v>0</v>
      </c>
      <c r="AV113" s="52"/>
      <c r="AW113" s="52">
        <v>0</v>
      </c>
      <c r="AX113" s="52"/>
      <c r="AY113" s="52"/>
      <c r="AZ113" s="52">
        <v>0</v>
      </c>
      <c r="BA113" s="52">
        <v>0</v>
      </c>
      <c r="BB113" s="54" t="s">
        <v>74</v>
      </c>
      <c r="BC113" s="53" t="s">
        <v>74</v>
      </c>
      <c r="BD113" s="55" t="s">
        <v>74</v>
      </c>
      <c r="BE113" s="55" t="s">
        <v>74</v>
      </c>
      <c r="BF113" s="55" t="s">
        <v>74</v>
      </c>
      <c r="BG113" s="55" t="s">
        <v>74</v>
      </c>
      <c r="BH113" s="52">
        <v>0</v>
      </c>
      <c r="BI113" s="52">
        <v>8867325.8000000007</v>
      </c>
      <c r="BJ113" s="52">
        <v>8867325.8000000007</v>
      </c>
      <c r="BK113" s="56">
        <v>44166</v>
      </c>
      <c r="BL113" s="63">
        <v>8867325.8000000007</v>
      </c>
      <c r="BM113" s="47">
        <v>0</v>
      </c>
      <c r="BN113" s="9"/>
      <c r="BO113" s="9"/>
      <c r="BP113" s="9"/>
      <c r="BQ113" s="9"/>
      <c r="BR113" s="9"/>
      <c r="BS113" s="9"/>
      <c r="BT113" s="9"/>
      <c r="BU113" s="9"/>
      <c r="BV113" s="9"/>
      <c r="BW113" s="9"/>
    </row>
    <row r="114" spans="1:75" ht="102.75" hidden="1" outlineLevel="2" x14ac:dyDescent="0.25">
      <c r="A114" s="43" t="s">
        <v>71</v>
      </c>
      <c r="B114" s="110" t="s">
        <v>191</v>
      </c>
      <c r="C114" s="45">
        <v>2021</v>
      </c>
      <c r="D114" s="46" t="s">
        <v>73</v>
      </c>
      <c r="E114" s="47">
        <v>0</v>
      </c>
      <c r="F114" s="47">
        <v>0</v>
      </c>
      <c r="G114" s="47">
        <v>0</v>
      </c>
      <c r="H114" s="47">
        <v>0</v>
      </c>
      <c r="I114" s="47">
        <v>0</v>
      </c>
      <c r="J114" s="47">
        <v>0</v>
      </c>
      <c r="K114" s="47">
        <v>0</v>
      </c>
      <c r="L114" s="47">
        <v>0</v>
      </c>
      <c r="M114" s="47">
        <v>0</v>
      </c>
      <c r="N114" s="47">
        <v>0</v>
      </c>
      <c r="O114" s="47">
        <v>0</v>
      </c>
      <c r="P114" s="47">
        <v>0</v>
      </c>
      <c r="Q114" s="47">
        <v>0</v>
      </c>
      <c r="R114" s="47">
        <v>0</v>
      </c>
      <c r="S114" s="113">
        <v>12479154.720000001</v>
      </c>
      <c r="T114" s="47">
        <v>0</v>
      </c>
      <c r="U114" s="47">
        <v>0</v>
      </c>
      <c r="V114" s="47">
        <v>0</v>
      </c>
      <c r="W114" s="47">
        <v>0</v>
      </c>
      <c r="X114" s="47">
        <v>0</v>
      </c>
      <c r="Y114" s="48">
        <f>SUM(E114:X114)</f>
        <v>12479154.720000001</v>
      </c>
      <c r="Z114" s="58">
        <v>0</v>
      </c>
      <c r="AA114" s="50">
        <v>0</v>
      </c>
      <c r="AB114" s="50">
        <v>0</v>
      </c>
      <c r="AC114" s="50">
        <v>0</v>
      </c>
      <c r="AD114" s="50">
        <v>0</v>
      </c>
      <c r="AE114" s="50">
        <v>3500000</v>
      </c>
      <c r="AF114" s="50">
        <v>-664306.80000000005</v>
      </c>
      <c r="AG114" s="49">
        <f>SUM(AA114:AF114)</f>
        <v>2835693.2</v>
      </c>
      <c r="AH114" s="51" t="s">
        <v>74</v>
      </c>
      <c r="AI114" s="51" t="s">
        <v>74</v>
      </c>
      <c r="AJ114" s="51" t="s">
        <v>74</v>
      </c>
      <c r="AK114" s="51" t="s">
        <v>74</v>
      </c>
      <c r="AL114" s="51" t="s">
        <v>208</v>
      </c>
      <c r="AM114" s="51" t="s">
        <v>238</v>
      </c>
      <c r="AN114" s="52">
        <v>0</v>
      </c>
      <c r="AO114" s="52">
        <v>0</v>
      </c>
      <c r="AP114" s="52">
        <v>0</v>
      </c>
      <c r="AQ114" s="52">
        <v>0</v>
      </c>
      <c r="AR114" s="52">
        <v>0</v>
      </c>
      <c r="AS114" s="52">
        <f>AN114+AO114+AP114+AQ114+AR114</f>
        <v>0</v>
      </c>
      <c r="AT114" s="53" t="s">
        <v>74</v>
      </c>
      <c r="AU114" s="52">
        <v>0</v>
      </c>
      <c r="AV114" s="52"/>
      <c r="AW114" s="52">
        <v>0</v>
      </c>
      <c r="AX114" s="52"/>
      <c r="AY114" s="52"/>
      <c r="AZ114" s="52">
        <v>0</v>
      </c>
      <c r="BA114" s="52">
        <f t="shared" ref="BA114:BA122" si="7">AU114+AW114+AX114+AZ114</f>
        <v>0</v>
      </c>
      <c r="BB114" s="54" t="s">
        <v>74</v>
      </c>
      <c r="BC114" s="53" t="s">
        <v>74</v>
      </c>
      <c r="BD114" s="55" t="s">
        <v>74</v>
      </c>
      <c r="BE114" s="55" t="s">
        <v>74</v>
      </c>
      <c r="BF114" s="55" t="s">
        <v>74</v>
      </c>
      <c r="BG114" s="55" t="s">
        <v>74</v>
      </c>
      <c r="BH114" s="52">
        <f t="shared" ref="BH114:BH122" si="8">AS114+BA114</f>
        <v>0</v>
      </c>
      <c r="BI114" s="52">
        <f t="shared" ref="BI114:BI122" si="9">Y114-AG114+BH114</f>
        <v>9643461.5199999996</v>
      </c>
      <c r="BJ114" s="52">
        <f t="shared" ref="BJ114:BJ122" si="10">BI114-BA114</f>
        <v>9643461.5199999996</v>
      </c>
      <c r="BK114" s="56">
        <v>44197</v>
      </c>
      <c r="BL114" s="57">
        <v>9643461.5199999996</v>
      </c>
      <c r="BM114" s="47">
        <v>0</v>
      </c>
      <c r="BN114" s="9"/>
      <c r="BO114" s="9"/>
      <c r="BP114" s="9"/>
      <c r="BQ114" s="9"/>
      <c r="BR114" s="9"/>
      <c r="BS114" s="9"/>
      <c r="BT114" s="9"/>
      <c r="BU114" s="9"/>
      <c r="BV114" s="9"/>
      <c r="BW114" s="9"/>
    </row>
    <row r="115" spans="1:75" ht="102.75" hidden="1" outlineLevel="2" x14ac:dyDescent="0.25">
      <c r="A115" s="43" t="s">
        <v>71</v>
      </c>
      <c r="B115" s="110" t="s">
        <v>191</v>
      </c>
      <c r="C115" s="45">
        <v>2021</v>
      </c>
      <c r="D115" s="46" t="s">
        <v>75</v>
      </c>
      <c r="E115" s="47">
        <v>0</v>
      </c>
      <c r="F115" s="47">
        <v>0</v>
      </c>
      <c r="G115" s="47">
        <v>0</v>
      </c>
      <c r="H115" s="47">
        <v>0</v>
      </c>
      <c r="I115" s="47">
        <v>0</v>
      </c>
      <c r="J115" s="47">
        <v>0</v>
      </c>
      <c r="K115" s="47">
        <v>0</v>
      </c>
      <c r="L115" s="47">
        <v>0</v>
      </c>
      <c r="M115" s="47">
        <v>0</v>
      </c>
      <c r="N115" s="47">
        <v>0</v>
      </c>
      <c r="O115" s="47">
        <v>0</v>
      </c>
      <c r="P115" s="47">
        <v>0</v>
      </c>
      <c r="Q115" s="47">
        <v>0</v>
      </c>
      <c r="R115" s="47">
        <v>0</v>
      </c>
      <c r="S115" s="113">
        <v>12479154.720000001</v>
      </c>
      <c r="T115" s="47">
        <v>0</v>
      </c>
      <c r="U115" s="47">
        <v>0</v>
      </c>
      <c r="V115" s="47">
        <v>0</v>
      </c>
      <c r="W115" s="47">
        <v>0</v>
      </c>
      <c r="X115" s="47">
        <v>0</v>
      </c>
      <c r="Y115" s="48">
        <f>SUM(E115:X115)</f>
        <v>12479154.720000001</v>
      </c>
      <c r="Z115" s="49">
        <v>0</v>
      </c>
      <c r="AA115" s="50">
        <v>0</v>
      </c>
      <c r="AB115" s="50">
        <v>0</v>
      </c>
      <c r="AC115" s="50">
        <v>0</v>
      </c>
      <c r="AD115" s="62">
        <v>298086.62</v>
      </c>
      <c r="AE115" s="50">
        <v>3500000</v>
      </c>
      <c r="AF115" s="50">
        <v>-120429.2</v>
      </c>
      <c r="AG115" s="49">
        <f>SUM(AA115:AF115)</f>
        <v>3677657.42</v>
      </c>
      <c r="AH115" s="51" t="s">
        <v>74</v>
      </c>
      <c r="AI115" s="51" t="s">
        <v>74</v>
      </c>
      <c r="AJ115" s="51" t="s">
        <v>74</v>
      </c>
      <c r="AK115" s="51" t="s">
        <v>180</v>
      </c>
      <c r="AL115" s="51" t="s">
        <v>208</v>
      </c>
      <c r="AM115" s="51" t="s">
        <v>239</v>
      </c>
      <c r="AN115" s="52">
        <v>0</v>
      </c>
      <c r="AO115" s="52">
        <v>0</v>
      </c>
      <c r="AP115" s="52">
        <v>0</v>
      </c>
      <c r="AQ115" s="52">
        <v>0</v>
      </c>
      <c r="AR115" s="52">
        <v>0</v>
      </c>
      <c r="AS115" s="52">
        <f>AN115+AO115+AP115+AQ115+AR115</f>
        <v>0</v>
      </c>
      <c r="AT115" s="53" t="s">
        <v>74</v>
      </c>
      <c r="AU115" s="52">
        <v>0</v>
      </c>
      <c r="AV115" s="52"/>
      <c r="AW115" s="52">
        <v>0</v>
      </c>
      <c r="AX115" s="52"/>
      <c r="AY115" s="52"/>
      <c r="AZ115" s="52">
        <v>0</v>
      </c>
      <c r="BA115" s="52">
        <f t="shared" si="7"/>
        <v>0</v>
      </c>
      <c r="BB115" s="54" t="s">
        <v>74</v>
      </c>
      <c r="BC115" s="53" t="s">
        <v>74</v>
      </c>
      <c r="BD115" s="55" t="s">
        <v>74</v>
      </c>
      <c r="BE115" s="55" t="s">
        <v>74</v>
      </c>
      <c r="BF115" s="55" t="s">
        <v>74</v>
      </c>
      <c r="BG115" s="55" t="s">
        <v>74</v>
      </c>
      <c r="BH115" s="52">
        <f t="shared" si="8"/>
        <v>0</v>
      </c>
      <c r="BI115" s="52">
        <f t="shared" si="9"/>
        <v>8801497.3000000007</v>
      </c>
      <c r="BJ115" s="52">
        <f t="shared" si="10"/>
        <v>8801497.3000000007</v>
      </c>
      <c r="BK115" s="56">
        <v>44228</v>
      </c>
      <c r="BL115" s="57">
        <v>8801497.3000000007</v>
      </c>
      <c r="BM115" s="47">
        <v>0</v>
      </c>
      <c r="BN115" s="9"/>
      <c r="BO115" s="9"/>
      <c r="BP115" s="9"/>
      <c r="BQ115" s="9"/>
      <c r="BR115" s="9"/>
      <c r="BS115" s="9"/>
      <c r="BT115" s="9"/>
      <c r="BU115" s="9"/>
      <c r="BV115" s="9"/>
      <c r="BW115" s="9"/>
    </row>
    <row r="116" spans="1:75" ht="192" hidden="1" outlineLevel="2" x14ac:dyDescent="0.25">
      <c r="A116" s="43" t="s">
        <v>71</v>
      </c>
      <c r="B116" s="110" t="s">
        <v>191</v>
      </c>
      <c r="C116" s="45">
        <v>2021</v>
      </c>
      <c r="D116" s="46" t="s">
        <v>77</v>
      </c>
      <c r="E116" s="47">
        <v>0</v>
      </c>
      <c r="F116" s="47">
        <v>0</v>
      </c>
      <c r="G116" s="47">
        <v>0</v>
      </c>
      <c r="H116" s="47">
        <v>0</v>
      </c>
      <c r="I116" s="47">
        <v>0</v>
      </c>
      <c r="J116" s="47">
        <v>0</v>
      </c>
      <c r="K116" s="47">
        <v>0</v>
      </c>
      <c r="L116" s="47">
        <v>0</v>
      </c>
      <c r="M116" s="47">
        <v>0</v>
      </c>
      <c r="N116" s="47">
        <v>0</v>
      </c>
      <c r="O116" s="47">
        <v>0</v>
      </c>
      <c r="P116" s="47">
        <v>0</v>
      </c>
      <c r="Q116" s="47">
        <v>0</v>
      </c>
      <c r="R116" s="47">
        <v>0</v>
      </c>
      <c r="S116" s="113">
        <v>11231239.25</v>
      </c>
      <c r="T116" s="47">
        <v>0</v>
      </c>
      <c r="U116" s="47">
        <v>0</v>
      </c>
      <c r="V116" s="47">
        <v>0</v>
      </c>
      <c r="W116" s="47">
        <v>0</v>
      </c>
      <c r="X116" s="47">
        <v>0</v>
      </c>
      <c r="Y116" s="48">
        <f>SUM(E116:X116)</f>
        <v>11231239.25</v>
      </c>
      <c r="Z116" s="80">
        <v>0</v>
      </c>
      <c r="AA116" s="50">
        <v>0</v>
      </c>
      <c r="AB116" s="50">
        <v>0</v>
      </c>
      <c r="AC116" s="50">
        <v>0</v>
      </c>
      <c r="AD116" s="62">
        <v>252325.68</v>
      </c>
      <c r="AE116" s="50">
        <v>3500000</v>
      </c>
      <c r="AF116" s="50">
        <v>-500211.51</v>
      </c>
      <c r="AG116" s="49">
        <f>SUM(AA116:AF116)</f>
        <v>3252114.17</v>
      </c>
      <c r="AH116" s="51" t="s">
        <v>74</v>
      </c>
      <c r="AI116" s="51" t="s">
        <v>74</v>
      </c>
      <c r="AJ116" s="51" t="s">
        <v>74</v>
      </c>
      <c r="AK116" s="51" t="s">
        <v>182</v>
      </c>
      <c r="AL116" s="51" t="s">
        <v>208</v>
      </c>
      <c r="AM116" s="51" t="s">
        <v>240</v>
      </c>
      <c r="AN116" s="52">
        <v>0</v>
      </c>
      <c r="AO116" s="52">
        <v>0</v>
      </c>
      <c r="AP116" s="52">
        <v>0</v>
      </c>
      <c r="AQ116" s="52">
        <v>0</v>
      </c>
      <c r="AR116" s="52">
        <v>0</v>
      </c>
      <c r="AS116" s="52">
        <f>AN116+AO116+AP116+AQ116+AR116</f>
        <v>0</v>
      </c>
      <c r="AT116" s="53" t="s">
        <v>74</v>
      </c>
      <c r="AU116" s="52">
        <v>0</v>
      </c>
      <c r="AV116" s="52"/>
      <c r="AW116" s="52">
        <v>0</v>
      </c>
      <c r="AX116" s="68">
        <v>1915368.04</v>
      </c>
      <c r="AY116" s="52"/>
      <c r="AZ116" s="52">
        <v>0</v>
      </c>
      <c r="BA116" s="52">
        <f t="shared" si="7"/>
        <v>1915368.04</v>
      </c>
      <c r="BB116" s="54" t="s">
        <v>74</v>
      </c>
      <c r="BC116" s="53" t="s">
        <v>74</v>
      </c>
      <c r="BD116" s="55" t="s">
        <v>74</v>
      </c>
      <c r="BE116" s="55" t="s">
        <v>241</v>
      </c>
      <c r="BF116" s="55" t="s">
        <v>74</v>
      </c>
      <c r="BG116" s="55" t="s">
        <v>74</v>
      </c>
      <c r="BH116" s="52">
        <f t="shared" si="8"/>
        <v>1915368.04</v>
      </c>
      <c r="BI116" s="52">
        <f t="shared" si="9"/>
        <v>9894493.120000001</v>
      </c>
      <c r="BJ116" s="52">
        <f t="shared" si="10"/>
        <v>7979125.080000001</v>
      </c>
      <c r="BK116" s="56">
        <v>44256</v>
      </c>
      <c r="BL116" s="63">
        <f>7979125.08+1915368.04</f>
        <v>9894493.120000001</v>
      </c>
      <c r="BM116" s="47">
        <v>0</v>
      </c>
      <c r="BN116" s="9"/>
      <c r="BO116" s="9"/>
      <c r="BP116" s="9"/>
      <c r="BQ116" s="9"/>
      <c r="BR116" s="9"/>
      <c r="BS116" s="9"/>
      <c r="BT116" s="9"/>
      <c r="BU116" s="9"/>
      <c r="BV116" s="9"/>
      <c r="BW116" s="9"/>
    </row>
    <row r="117" spans="1:75" ht="192" hidden="1" outlineLevel="2" x14ac:dyDescent="0.25">
      <c r="A117" s="43" t="s">
        <v>71</v>
      </c>
      <c r="B117" s="110" t="s">
        <v>191</v>
      </c>
      <c r="C117" s="45">
        <v>2021</v>
      </c>
      <c r="D117" s="46" t="s">
        <v>79</v>
      </c>
      <c r="E117" s="47"/>
      <c r="F117" s="47"/>
      <c r="G117" s="47"/>
      <c r="H117" s="47"/>
      <c r="I117" s="47"/>
      <c r="J117" s="47"/>
      <c r="K117" s="47"/>
      <c r="L117" s="47"/>
      <c r="M117" s="47"/>
      <c r="N117" s="47"/>
      <c r="O117" s="47"/>
      <c r="P117" s="47"/>
      <c r="Q117" s="47"/>
      <c r="R117" s="47"/>
      <c r="S117" s="113"/>
      <c r="T117" s="47"/>
      <c r="U117" s="47"/>
      <c r="V117" s="47"/>
      <c r="W117" s="47">
        <v>0</v>
      </c>
      <c r="X117" s="47">
        <v>0</v>
      </c>
      <c r="Y117" s="48"/>
      <c r="Z117" s="49"/>
      <c r="AA117" s="50"/>
      <c r="AB117" s="50"/>
      <c r="AC117" s="50"/>
      <c r="AD117" s="62"/>
      <c r="AE117" s="50"/>
      <c r="AF117" s="50"/>
      <c r="AG117" s="49"/>
      <c r="AH117" s="70" t="s">
        <v>74</v>
      </c>
      <c r="AI117" s="70" t="s">
        <v>74</v>
      </c>
      <c r="AJ117" s="70" t="s">
        <v>74</v>
      </c>
      <c r="AK117" s="70" t="s">
        <v>74</v>
      </c>
      <c r="AL117" s="70" t="s">
        <v>74</v>
      </c>
      <c r="AM117" s="70" t="s">
        <v>74</v>
      </c>
      <c r="AN117" s="52"/>
      <c r="AO117" s="52"/>
      <c r="AP117" s="52"/>
      <c r="AQ117" s="52"/>
      <c r="AR117" s="52"/>
      <c r="AS117" s="52"/>
      <c r="AT117" s="70" t="s">
        <v>74</v>
      </c>
      <c r="AU117" s="52"/>
      <c r="AV117" s="52"/>
      <c r="AW117" s="52"/>
      <c r="AX117" s="68">
        <v>14556797.16</v>
      </c>
      <c r="AY117" s="52"/>
      <c r="AZ117" s="52"/>
      <c r="BA117" s="52">
        <f t="shared" si="7"/>
        <v>14556797.16</v>
      </c>
      <c r="BB117" s="52" t="s">
        <v>74</v>
      </c>
      <c r="BC117" s="52" t="s">
        <v>74</v>
      </c>
      <c r="BD117" s="52" t="s">
        <v>74</v>
      </c>
      <c r="BE117" s="55" t="s">
        <v>242</v>
      </c>
      <c r="BF117" s="52" t="s">
        <v>74</v>
      </c>
      <c r="BG117" s="52"/>
      <c r="BH117" s="52">
        <f t="shared" si="8"/>
        <v>14556797.16</v>
      </c>
      <c r="BI117" s="52">
        <f t="shared" si="9"/>
        <v>14556797.16</v>
      </c>
      <c r="BJ117" s="52">
        <f t="shared" si="10"/>
        <v>0</v>
      </c>
      <c r="BK117" s="56">
        <v>44287</v>
      </c>
      <c r="BL117" s="63">
        <f>14556797.16</f>
        <v>14556797.16</v>
      </c>
      <c r="BM117" s="47">
        <v>0</v>
      </c>
      <c r="BN117" s="9"/>
      <c r="BO117" s="9"/>
      <c r="BP117" s="9"/>
      <c r="BQ117" s="9"/>
      <c r="BR117" s="9"/>
      <c r="BS117" s="9"/>
      <c r="BT117" s="9"/>
      <c r="BU117" s="9"/>
      <c r="BV117" s="9"/>
      <c r="BW117" s="9"/>
    </row>
    <row r="118" spans="1:75" ht="166.5" hidden="1" outlineLevel="2" x14ac:dyDescent="0.25">
      <c r="A118" s="43" t="s">
        <v>71</v>
      </c>
      <c r="B118" s="110" t="s">
        <v>191</v>
      </c>
      <c r="C118" s="45">
        <v>2021</v>
      </c>
      <c r="D118" s="46" t="s">
        <v>81</v>
      </c>
      <c r="E118" s="47"/>
      <c r="F118" s="47"/>
      <c r="G118" s="47"/>
      <c r="H118" s="47"/>
      <c r="I118" s="47"/>
      <c r="J118" s="47"/>
      <c r="K118" s="47"/>
      <c r="L118" s="47"/>
      <c r="M118" s="47"/>
      <c r="N118" s="47"/>
      <c r="O118" s="47"/>
      <c r="P118" s="47"/>
      <c r="Q118" s="47"/>
      <c r="R118" s="47"/>
      <c r="S118" s="113"/>
      <c r="T118" s="47"/>
      <c r="U118" s="47"/>
      <c r="V118" s="47"/>
      <c r="W118" s="47">
        <v>0</v>
      </c>
      <c r="X118" s="47">
        <v>0</v>
      </c>
      <c r="Y118" s="48"/>
      <c r="Z118" s="102"/>
      <c r="AA118" s="50"/>
      <c r="AB118" s="50"/>
      <c r="AC118" s="50"/>
      <c r="AD118" s="62"/>
      <c r="AE118" s="50"/>
      <c r="AF118" s="50"/>
      <c r="AG118" s="49"/>
      <c r="AH118" s="70" t="s">
        <v>74</v>
      </c>
      <c r="AI118" s="70" t="s">
        <v>74</v>
      </c>
      <c r="AJ118" s="70" t="s">
        <v>74</v>
      </c>
      <c r="AK118" s="70" t="s">
        <v>74</v>
      </c>
      <c r="AL118" s="70" t="s">
        <v>74</v>
      </c>
      <c r="AM118" s="70" t="s">
        <v>74</v>
      </c>
      <c r="AN118" s="52"/>
      <c r="AO118" s="52"/>
      <c r="AP118" s="52"/>
      <c r="AQ118" s="52"/>
      <c r="AR118" s="52"/>
      <c r="AS118" s="52"/>
      <c r="AT118" s="70" t="s">
        <v>74</v>
      </c>
      <c r="AU118" s="52"/>
      <c r="AV118" s="52"/>
      <c r="AW118" s="52"/>
      <c r="AX118" s="68">
        <v>14556797.16</v>
      </c>
      <c r="AY118" s="52"/>
      <c r="AZ118" s="52"/>
      <c r="BA118" s="52">
        <f t="shared" si="7"/>
        <v>14556797.16</v>
      </c>
      <c r="BB118" s="52" t="s">
        <v>74</v>
      </c>
      <c r="BC118" s="52" t="s">
        <v>74</v>
      </c>
      <c r="BD118" s="52" t="s">
        <v>74</v>
      </c>
      <c r="BE118" s="55" t="s">
        <v>243</v>
      </c>
      <c r="BF118" s="52" t="s">
        <v>74</v>
      </c>
      <c r="BG118" s="52"/>
      <c r="BH118" s="52">
        <f t="shared" si="8"/>
        <v>14556797.16</v>
      </c>
      <c r="BI118" s="52">
        <f t="shared" si="9"/>
        <v>14556797.16</v>
      </c>
      <c r="BJ118" s="52">
        <f t="shared" si="10"/>
        <v>0</v>
      </c>
      <c r="BK118" s="56"/>
      <c r="BL118" s="63">
        <v>14556797.16</v>
      </c>
      <c r="BM118" s="47">
        <v>0</v>
      </c>
      <c r="BN118" s="9"/>
      <c r="BO118" s="9"/>
      <c r="BP118" s="9"/>
      <c r="BQ118" s="9"/>
      <c r="BR118" s="9"/>
      <c r="BS118" s="9"/>
      <c r="BT118" s="9"/>
      <c r="BU118" s="9"/>
      <c r="BV118" s="9"/>
      <c r="BW118" s="9"/>
    </row>
    <row r="119" spans="1:75" ht="179.25" hidden="1" outlineLevel="2" x14ac:dyDescent="0.25">
      <c r="A119" s="43" t="s">
        <v>71</v>
      </c>
      <c r="B119" s="110" t="s">
        <v>191</v>
      </c>
      <c r="C119" s="45">
        <v>2021</v>
      </c>
      <c r="D119" s="46" t="s">
        <v>83</v>
      </c>
      <c r="E119" s="47"/>
      <c r="F119" s="47"/>
      <c r="G119" s="47"/>
      <c r="H119" s="47"/>
      <c r="I119" s="47"/>
      <c r="J119" s="47"/>
      <c r="K119" s="47"/>
      <c r="L119" s="47"/>
      <c r="M119" s="47"/>
      <c r="N119" s="47"/>
      <c r="O119" s="47"/>
      <c r="P119" s="47"/>
      <c r="Q119" s="47"/>
      <c r="R119" s="47"/>
      <c r="S119" s="113"/>
      <c r="T119" s="47"/>
      <c r="U119" s="47"/>
      <c r="V119" s="47"/>
      <c r="W119" s="47">
        <v>0</v>
      </c>
      <c r="X119" s="47">
        <v>0</v>
      </c>
      <c r="Y119" s="48"/>
      <c r="Z119" s="102"/>
      <c r="AA119" s="50"/>
      <c r="AB119" s="50"/>
      <c r="AC119" s="50"/>
      <c r="AD119" s="62"/>
      <c r="AE119" s="50"/>
      <c r="AF119" s="50"/>
      <c r="AG119" s="49"/>
      <c r="AH119" s="70" t="s">
        <v>74</v>
      </c>
      <c r="AI119" s="70" t="s">
        <v>74</v>
      </c>
      <c r="AJ119" s="70" t="s">
        <v>74</v>
      </c>
      <c r="AK119" s="70" t="s">
        <v>74</v>
      </c>
      <c r="AL119" s="70" t="s">
        <v>74</v>
      </c>
      <c r="AM119" s="70" t="s">
        <v>74</v>
      </c>
      <c r="AN119" s="52"/>
      <c r="AO119" s="52"/>
      <c r="AP119" s="52"/>
      <c r="AQ119" s="52"/>
      <c r="AR119" s="52"/>
      <c r="AS119" s="52"/>
      <c r="AT119" s="70" t="s">
        <v>74</v>
      </c>
      <c r="AU119" s="52"/>
      <c r="AV119" s="52"/>
      <c r="AW119" s="52"/>
      <c r="AX119" s="68">
        <v>14556797.16</v>
      </c>
      <c r="AY119" s="52"/>
      <c r="AZ119" s="52"/>
      <c r="BA119" s="52">
        <f t="shared" si="7"/>
        <v>14556797.16</v>
      </c>
      <c r="BB119" s="52" t="s">
        <v>74</v>
      </c>
      <c r="BC119" s="52" t="s">
        <v>74</v>
      </c>
      <c r="BD119" s="52" t="s">
        <v>74</v>
      </c>
      <c r="BE119" s="55" t="s">
        <v>244</v>
      </c>
      <c r="BF119" s="52" t="s">
        <v>74</v>
      </c>
      <c r="BG119" s="52"/>
      <c r="BH119" s="52">
        <f t="shared" si="8"/>
        <v>14556797.16</v>
      </c>
      <c r="BI119" s="52">
        <f t="shared" si="9"/>
        <v>14556797.16</v>
      </c>
      <c r="BJ119" s="52">
        <f t="shared" si="10"/>
        <v>0</v>
      </c>
      <c r="BK119" s="56"/>
      <c r="BL119" s="63">
        <v>14556797.16</v>
      </c>
      <c r="BM119" s="47">
        <v>0</v>
      </c>
      <c r="BN119" s="9"/>
      <c r="BO119" s="9"/>
      <c r="BP119" s="9"/>
      <c r="BQ119" s="9"/>
      <c r="BR119" s="9"/>
      <c r="BS119" s="9"/>
      <c r="BT119" s="9"/>
      <c r="BU119" s="9"/>
      <c r="BV119" s="9"/>
      <c r="BW119" s="9"/>
    </row>
    <row r="120" spans="1:75" hidden="1" outlineLevel="2" x14ac:dyDescent="0.25">
      <c r="A120" s="43" t="s">
        <v>71</v>
      </c>
      <c r="B120" s="110" t="s">
        <v>191</v>
      </c>
      <c r="C120" s="45">
        <v>2021</v>
      </c>
      <c r="D120" s="46" t="s">
        <v>84</v>
      </c>
      <c r="E120" s="47"/>
      <c r="F120" s="47"/>
      <c r="G120" s="47"/>
      <c r="H120" s="47"/>
      <c r="I120" s="47"/>
      <c r="J120" s="47"/>
      <c r="K120" s="47"/>
      <c r="L120" s="47"/>
      <c r="M120" s="47"/>
      <c r="N120" s="47"/>
      <c r="O120" s="47"/>
      <c r="P120" s="47"/>
      <c r="Q120" s="47"/>
      <c r="R120" s="47"/>
      <c r="S120" s="113"/>
      <c r="T120" s="47"/>
      <c r="U120" s="47"/>
      <c r="V120" s="47"/>
      <c r="W120" s="47">
        <v>0</v>
      </c>
      <c r="X120" s="47">
        <v>0</v>
      </c>
      <c r="Y120" s="48"/>
      <c r="Z120" s="102"/>
      <c r="AA120" s="50"/>
      <c r="AB120" s="50"/>
      <c r="AC120" s="50"/>
      <c r="AD120" s="62"/>
      <c r="AE120" s="50"/>
      <c r="AF120" s="50"/>
      <c r="AG120" s="49"/>
      <c r="AH120" s="70" t="s">
        <v>74</v>
      </c>
      <c r="AI120" s="70" t="s">
        <v>74</v>
      </c>
      <c r="AJ120" s="70" t="s">
        <v>74</v>
      </c>
      <c r="AK120" s="70" t="s">
        <v>74</v>
      </c>
      <c r="AL120" s="70" t="s">
        <v>74</v>
      </c>
      <c r="AM120" s="70" t="s">
        <v>74</v>
      </c>
      <c r="AN120" s="52"/>
      <c r="AO120" s="52"/>
      <c r="AP120" s="52"/>
      <c r="AQ120" s="52"/>
      <c r="AR120" s="52"/>
      <c r="AS120" s="52"/>
      <c r="AT120" s="70" t="s">
        <v>74</v>
      </c>
      <c r="AU120" s="52"/>
      <c r="AV120" s="52"/>
      <c r="AW120" s="52"/>
      <c r="AX120" s="68"/>
      <c r="AY120" s="52"/>
      <c r="AZ120" s="52"/>
      <c r="BA120" s="52">
        <f t="shared" si="7"/>
        <v>0</v>
      </c>
      <c r="BB120" s="52" t="s">
        <v>74</v>
      </c>
      <c r="BC120" s="52" t="s">
        <v>74</v>
      </c>
      <c r="BD120" s="52" t="s">
        <v>74</v>
      </c>
      <c r="BE120" s="55" t="s">
        <v>74</v>
      </c>
      <c r="BF120" s="52" t="s">
        <v>74</v>
      </c>
      <c r="BG120" s="52"/>
      <c r="BH120" s="52">
        <f t="shared" si="8"/>
        <v>0</v>
      </c>
      <c r="BI120" s="52">
        <f t="shared" si="9"/>
        <v>0</v>
      </c>
      <c r="BJ120" s="52">
        <f t="shared" si="10"/>
        <v>0</v>
      </c>
      <c r="BK120" s="56"/>
      <c r="BL120" s="63"/>
      <c r="BM120" s="47">
        <v>0</v>
      </c>
      <c r="BN120" s="9"/>
      <c r="BO120" s="9"/>
      <c r="BP120" s="9"/>
      <c r="BQ120" s="9"/>
      <c r="BR120" s="9"/>
      <c r="BS120" s="9"/>
      <c r="BT120" s="9"/>
      <c r="BU120" s="9"/>
      <c r="BV120" s="9"/>
      <c r="BW120" s="9"/>
    </row>
    <row r="121" spans="1:75" ht="141" hidden="1" outlineLevel="2" x14ac:dyDescent="0.25">
      <c r="A121" s="43" t="s">
        <v>71</v>
      </c>
      <c r="B121" s="110" t="s">
        <v>191</v>
      </c>
      <c r="C121" s="45">
        <v>2021</v>
      </c>
      <c r="D121" s="46" t="s">
        <v>86</v>
      </c>
      <c r="E121" s="47"/>
      <c r="F121" s="47"/>
      <c r="G121" s="47"/>
      <c r="H121" s="47"/>
      <c r="I121" s="47"/>
      <c r="J121" s="47"/>
      <c r="K121" s="47"/>
      <c r="L121" s="47"/>
      <c r="M121" s="47"/>
      <c r="N121" s="47"/>
      <c r="O121" s="47"/>
      <c r="P121" s="47"/>
      <c r="Q121" s="47"/>
      <c r="R121" s="47"/>
      <c r="S121" s="113"/>
      <c r="T121" s="47"/>
      <c r="U121" s="47"/>
      <c r="V121" s="47"/>
      <c r="W121" s="47">
        <v>0</v>
      </c>
      <c r="X121" s="47">
        <v>0</v>
      </c>
      <c r="Y121" s="48"/>
      <c r="Z121" s="102"/>
      <c r="AA121" s="50"/>
      <c r="AB121" s="50"/>
      <c r="AC121" s="50"/>
      <c r="AD121" s="62"/>
      <c r="AE121" s="50"/>
      <c r="AF121" s="50"/>
      <c r="AG121" s="49"/>
      <c r="AH121" s="70" t="s">
        <v>74</v>
      </c>
      <c r="AI121" s="70" t="s">
        <v>74</v>
      </c>
      <c r="AJ121" s="70" t="s">
        <v>74</v>
      </c>
      <c r="AK121" s="70" t="s">
        <v>74</v>
      </c>
      <c r="AL121" s="70" t="s">
        <v>74</v>
      </c>
      <c r="AM121" s="70" t="s">
        <v>74</v>
      </c>
      <c r="AN121" s="52"/>
      <c r="AO121" s="52"/>
      <c r="AP121" s="52"/>
      <c r="AQ121" s="52"/>
      <c r="AR121" s="52"/>
      <c r="AS121" s="52"/>
      <c r="AT121" s="70" t="s">
        <v>74</v>
      </c>
      <c r="AU121" s="52"/>
      <c r="AV121" s="52"/>
      <c r="AW121" s="52"/>
      <c r="AX121" s="68">
        <v>14556797.16</v>
      </c>
      <c r="AY121" s="52"/>
      <c r="AZ121" s="52"/>
      <c r="BA121" s="52">
        <f t="shared" si="7"/>
        <v>14556797.16</v>
      </c>
      <c r="BB121" s="52" t="s">
        <v>74</v>
      </c>
      <c r="BC121" s="52" t="s">
        <v>74</v>
      </c>
      <c r="BD121" s="52" t="s">
        <v>74</v>
      </c>
      <c r="BE121" s="55" t="s">
        <v>245</v>
      </c>
      <c r="BF121" s="52" t="s">
        <v>74</v>
      </c>
      <c r="BG121" s="52"/>
      <c r="BH121" s="52">
        <f t="shared" si="8"/>
        <v>14556797.16</v>
      </c>
      <c r="BI121" s="52">
        <f t="shared" si="9"/>
        <v>14556797.16</v>
      </c>
      <c r="BJ121" s="52">
        <f t="shared" si="10"/>
        <v>0</v>
      </c>
      <c r="BK121" s="56"/>
      <c r="BL121" s="63">
        <v>14556797.16</v>
      </c>
      <c r="BM121" s="47">
        <v>0</v>
      </c>
      <c r="BN121" s="9"/>
      <c r="BO121" s="9"/>
      <c r="BP121" s="9"/>
      <c r="BQ121" s="9"/>
      <c r="BR121" s="9"/>
      <c r="BS121" s="9"/>
      <c r="BT121" s="9"/>
      <c r="BU121" s="9"/>
      <c r="BV121" s="9"/>
      <c r="BW121" s="9"/>
    </row>
    <row r="122" spans="1:75" hidden="1" outlineLevel="2" x14ac:dyDescent="0.25">
      <c r="A122" s="43" t="s">
        <v>71</v>
      </c>
      <c r="B122" s="110" t="s">
        <v>191</v>
      </c>
      <c r="C122" s="45">
        <v>2021</v>
      </c>
      <c r="D122" s="46" t="s">
        <v>88</v>
      </c>
      <c r="E122" s="47"/>
      <c r="F122" s="47"/>
      <c r="G122" s="47"/>
      <c r="H122" s="47"/>
      <c r="I122" s="47"/>
      <c r="J122" s="47"/>
      <c r="K122" s="47"/>
      <c r="L122" s="47"/>
      <c r="M122" s="47"/>
      <c r="N122" s="47"/>
      <c r="O122" s="47"/>
      <c r="P122" s="47"/>
      <c r="Q122" s="47"/>
      <c r="R122" s="47"/>
      <c r="S122" s="113"/>
      <c r="T122" s="47"/>
      <c r="U122" s="47"/>
      <c r="V122" s="47"/>
      <c r="W122" s="47">
        <v>0</v>
      </c>
      <c r="X122" s="47">
        <v>0</v>
      </c>
      <c r="Y122" s="48"/>
      <c r="Z122" s="102"/>
      <c r="AA122" s="50"/>
      <c r="AB122" s="50"/>
      <c r="AC122" s="50"/>
      <c r="AD122" s="62"/>
      <c r="AE122" s="50"/>
      <c r="AF122" s="50"/>
      <c r="AG122" s="49"/>
      <c r="AH122" s="70" t="s">
        <v>74</v>
      </c>
      <c r="AI122" s="70" t="s">
        <v>74</v>
      </c>
      <c r="AJ122" s="70" t="s">
        <v>74</v>
      </c>
      <c r="AK122" s="70" t="s">
        <v>74</v>
      </c>
      <c r="AL122" s="70" t="s">
        <v>74</v>
      </c>
      <c r="AM122" s="70" t="s">
        <v>74</v>
      </c>
      <c r="AN122" s="52"/>
      <c r="AO122" s="52"/>
      <c r="AP122" s="52"/>
      <c r="AQ122" s="52"/>
      <c r="AR122" s="52"/>
      <c r="AS122" s="52"/>
      <c r="AT122" s="70" t="s">
        <v>74</v>
      </c>
      <c r="AU122" s="52"/>
      <c r="AV122" s="52"/>
      <c r="AW122" s="52"/>
      <c r="AX122" s="68"/>
      <c r="AY122" s="52"/>
      <c r="AZ122" s="52"/>
      <c r="BA122" s="52">
        <f t="shared" si="7"/>
        <v>0</v>
      </c>
      <c r="BB122" s="52" t="s">
        <v>74</v>
      </c>
      <c r="BC122" s="52" t="s">
        <v>74</v>
      </c>
      <c r="BD122" s="52" t="s">
        <v>74</v>
      </c>
      <c r="BE122" s="52" t="s">
        <v>74</v>
      </c>
      <c r="BF122" s="52" t="s">
        <v>74</v>
      </c>
      <c r="BG122" s="52"/>
      <c r="BH122" s="52">
        <f t="shared" si="8"/>
        <v>0</v>
      </c>
      <c r="BI122" s="52">
        <f t="shared" si="9"/>
        <v>0</v>
      </c>
      <c r="BJ122" s="52">
        <f t="shared" si="10"/>
        <v>0</v>
      </c>
      <c r="BK122" s="56">
        <v>44440</v>
      </c>
      <c r="BL122" s="63"/>
      <c r="BM122" s="47">
        <v>0</v>
      </c>
      <c r="BN122" s="9"/>
      <c r="BO122" s="9"/>
      <c r="BP122" s="9"/>
      <c r="BQ122" s="9"/>
      <c r="BR122" s="9"/>
      <c r="BS122" s="9"/>
      <c r="BT122" s="9"/>
      <c r="BU122" s="9"/>
      <c r="BV122" s="9"/>
      <c r="BW122" s="9"/>
    </row>
    <row r="123" spans="1:75" hidden="1" outlineLevel="2" x14ac:dyDescent="0.25">
      <c r="A123" s="71" t="s">
        <v>71</v>
      </c>
      <c r="B123" s="116" t="s">
        <v>191</v>
      </c>
      <c r="C123" s="73">
        <v>2021</v>
      </c>
      <c r="D123" s="74" t="s">
        <v>89</v>
      </c>
      <c r="E123" s="75"/>
      <c r="F123" s="75"/>
      <c r="G123" s="75"/>
      <c r="H123" s="75"/>
      <c r="I123" s="75"/>
      <c r="J123" s="75"/>
      <c r="K123" s="75"/>
      <c r="L123" s="75"/>
      <c r="M123" s="75"/>
      <c r="N123" s="75"/>
      <c r="O123" s="75"/>
      <c r="P123" s="75"/>
      <c r="Q123" s="75"/>
      <c r="R123" s="75"/>
      <c r="S123" s="117"/>
      <c r="T123" s="75"/>
      <c r="U123" s="75"/>
      <c r="V123" s="75"/>
      <c r="W123" s="75">
        <v>0</v>
      </c>
      <c r="X123" s="75">
        <v>0</v>
      </c>
      <c r="Y123" s="76"/>
      <c r="Z123" s="118"/>
      <c r="AA123" s="79"/>
      <c r="AB123" s="79"/>
      <c r="AC123" s="79"/>
      <c r="AD123" s="78"/>
      <c r="AE123" s="79"/>
      <c r="AF123" s="79"/>
      <c r="AG123" s="80">
        <f>SUM(AA123:AF123)</f>
        <v>0</v>
      </c>
      <c r="AH123" s="81" t="s">
        <v>74</v>
      </c>
      <c r="AI123" s="81" t="s">
        <v>74</v>
      </c>
      <c r="AJ123" s="81" t="s">
        <v>74</v>
      </c>
      <c r="AK123" s="81" t="s">
        <v>74</v>
      </c>
      <c r="AL123" s="81" t="s">
        <v>74</v>
      </c>
      <c r="AM123" s="81" t="s">
        <v>74</v>
      </c>
      <c r="AN123" s="82"/>
      <c r="AO123" s="82"/>
      <c r="AP123" s="82"/>
      <c r="AQ123" s="82"/>
      <c r="AR123" s="82"/>
      <c r="AS123" s="82"/>
      <c r="AT123" s="81" t="s">
        <v>74</v>
      </c>
      <c r="AU123" s="82"/>
      <c r="AV123" s="82"/>
      <c r="AW123" s="82"/>
      <c r="AX123" s="119"/>
      <c r="AY123" s="82"/>
      <c r="AZ123" s="82"/>
      <c r="BA123" s="82"/>
      <c r="BB123" s="82" t="s">
        <v>74</v>
      </c>
      <c r="BC123" s="82" t="s">
        <v>74</v>
      </c>
      <c r="BD123" s="82" t="s">
        <v>74</v>
      </c>
      <c r="BE123" s="82" t="s">
        <v>74</v>
      </c>
      <c r="BF123" s="82" t="s">
        <v>74</v>
      </c>
      <c r="BG123" s="82"/>
      <c r="BH123" s="82"/>
      <c r="BI123" s="82"/>
      <c r="BJ123" s="52"/>
      <c r="BK123" s="56">
        <v>44470</v>
      </c>
      <c r="BL123" s="83"/>
      <c r="BM123" s="75">
        <v>0</v>
      </c>
      <c r="BN123" s="9"/>
      <c r="BO123" s="9"/>
      <c r="BP123" s="9"/>
      <c r="BQ123" s="9"/>
      <c r="BR123" s="9"/>
      <c r="BS123" s="9"/>
      <c r="BT123" s="9"/>
      <c r="BU123" s="9"/>
      <c r="BV123" s="9"/>
      <c r="BW123" s="9"/>
    </row>
    <row r="124" spans="1:75" hidden="1" outlineLevel="1" collapsed="1" x14ac:dyDescent="0.25">
      <c r="A124" s="84"/>
      <c r="B124" s="120" t="s">
        <v>246</v>
      </c>
      <c r="C124" s="86"/>
      <c r="D124" s="87"/>
      <c r="E124" s="88"/>
      <c r="F124" s="88"/>
      <c r="G124" s="88"/>
      <c r="H124" s="88"/>
      <c r="I124" s="88"/>
      <c r="J124" s="88"/>
      <c r="K124" s="88"/>
      <c r="L124" s="88"/>
      <c r="M124" s="88"/>
      <c r="N124" s="88"/>
      <c r="O124" s="88"/>
      <c r="P124" s="88"/>
      <c r="Q124" s="88"/>
      <c r="R124" s="88"/>
      <c r="S124" s="121"/>
      <c r="T124" s="88"/>
      <c r="U124" s="88"/>
      <c r="V124" s="88"/>
      <c r="W124" s="88"/>
      <c r="X124" s="88"/>
      <c r="Y124" s="89">
        <f t="shared" ref="Y124:AG124" si="11">SUBTOTAL(9,Y66:Y123)</f>
        <v>0</v>
      </c>
      <c r="Z124" s="89">
        <f t="shared" si="11"/>
        <v>0</v>
      </c>
      <c r="AA124" s="89">
        <f t="shared" si="11"/>
        <v>0</v>
      </c>
      <c r="AB124" s="89">
        <f t="shared" si="11"/>
        <v>0</v>
      </c>
      <c r="AC124" s="89">
        <f t="shared" si="11"/>
        <v>0</v>
      </c>
      <c r="AD124" s="90">
        <f t="shared" si="11"/>
        <v>0</v>
      </c>
      <c r="AE124" s="89">
        <f t="shared" si="11"/>
        <v>0</v>
      </c>
      <c r="AF124" s="89">
        <f t="shared" si="11"/>
        <v>0</v>
      </c>
      <c r="AG124" s="89">
        <f t="shared" si="11"/>
        <v>0</v>
      </c>
      <c r="AH124" s="91"/>
      <c r="AI124" s="91"/>
      <c r="AJ124" s="91"/>
      <c r="AK124" s="91"/>
      <c r="AL124" s="91"/>
      <c r="AM124" s="91"/>
      <c r="AN124" s="92">
        <f t="shared" ref="AN124:AS124" si="12">SUBTOTAL(9,AN66:AN123)</f>
        <v>0</v>
      </c>
      <c r="AO124" s="92">
        <f t="shared" si="12"/>
        <v>0</v>
      </c>
      <c r="AP124" s="92">
        <f t="shared" si="12"/>
        <v>0</v>
      </c>
      <c r="AQ124" s="92">
        <f t="shared" si="12"/>
        <v>0</v>
      </c>
      <c r="AR124" s="92">
        <f t="shared" si="12"/>
        <v>0</v>
      </c>
      <c r="AS124" s="92">
        <f t="shared" si="12"/>
        <v>0</v>
      </c>
      <c r="AT124" s="91"/>
      <c r="AU124" s="92">
        <f t="shared" ref="AU124:BA124" si="13">SUBTOTAL(9,AU66:AU123)</f>
        <v>0</v>
      </c>
      <c r="AV124" s="92">
        <f t="shared" si="13"/>
        <v>0</v>
      </c>
      <c r="AW124" s="92">
        <f t="shared" si="13"/>
        <v>0</v>
      </c>
      <c r="AX124" s="122">
        <f t="shared" si="13"/>
        <v>0</v>
      </c>
      <c r="AY124" s="92">
        <f t="shared" si="13"/>
        <v>0</v>
      </c>
      <c r="AZ124" s="92">
        <f t="shared" si="13"/>
        <v>0</v>
      </c>
      <c r="BA124" s="92">
        <f t="shared" si="13"/>
        <v>0</v>
      </c>
      <c r="BB124" s="92"/>
      <c r="BC124" s="92"/>
      <c r="BD124" s="92"/>
      <c r="BE124" s="92"/>
      <c r="BF124" s="92"/>
      <c r="BG124" s="92"/>
      <c r="BH124" s="92">
        <f>SUBTOTAL(9,BH66:BH123)</f>
        <v>0</v>
      </c>
      <c r="BI124" s="92">
        <f>SUBTOTAL(9,BI66:BI123)</f>
        <v>0</v>
      </c>
      <c r="BJ124" s="93"/>
      <c r="BK124" s="94"/>
      <c r="BL124" s="95">
        <f>SUBTOTAL(9,BL66:BL123)</f>
        <v>0</v>
      </c>
      <c r="BM124" s="88">
        <f>SUBTOTAL(9,BM66:BM123)</f>
        <v>0</v>
      </c>
      <c r="BN124" s="9"/>
      <c r="BO124" s="9"/>
      <c r="BP124" s="9"/>
      <c r="BQ124" s="9"/>
      <c r="BR124" s="9"/>
      <c r="BS124" s="9"/>
      <c r="BT124" s="9"/>
      <c r="BU124" s="9"/>
      <c r="BV124" s="9"/>
      <c r="BW124" s="9"/>
    </row>
    <row r="125" spans="1:75" hidden="1" outlineLevel="2" x14ac:dyDescent="0.25">
      <c r="A125" s="96" t="s">
        <v>247</v>
      </c>
      <c r="B125" s="97" t="s">
        <v>247</v>
      </c>
      <c r="C125" s="98">
        <v>2017</v>
      </c>
      <c r="D125" s="99" t="s">
        <v>73</v>
      </c>
      <c r="E125" s="100">
        <v>1076304.3999999999</v>
      </c>
      <c r="F125" s="100">
        <v>0</v>
      </c>
      <c r="G125" s="100">
        <v>205262.07</v>
      </c>
      <c r="H125" s="100">
        <v>1487438.93</v>
      </c>
      <c r="I125" s="100">
        <v>0</v>
      </c>
      <c r="J125" s="100">
        <v>1487438.93</v>
      </c>
      <c r="K125" s="100">
        <v>-650040.53</v>
      </c>
      <c r="L125" s="100">
        <v>0</v>
      </c>
      <c r="M125" s="100">
        <v>-650040.53</v>
      </c>
      <c r="N125" s="100">
        <v>1226769.13333333</v>
      </c>
      <c r="O125" s="100">
        <v>0</v>
      </c>
      <c r="P125" s="100">
        <v>0</v>
      </c>
      <c r="Q125" s="100">
        <v>0</v>
      </c>
      <c r="R125" s="100">
        <v>0</v>
      </c>
      <c r="S125" s="100">
        <v>0</v>
      </c>
      <c r="T125" s="100">
        <v>0</v>
      </c>
      <c r="U125" s="100">
        <v>0</v>
      </c>
      <c r="V125" s="100">
        <v>0</v>
      </c>
      <c r="W125" s="100">
        <v>0</v>
      </c>
      <c r="X125" s="100">
        <v>0</v>
      </c>
      <c r="Y125" s="101">
        <v>3345734.0033333302</v>
      </c>
      <c r="Z125" s="102">
        <v>0</v>
      </c>
      <c r="AA125" s="103">
        <v>0</v>
      </c>
      <c r="AB125" s="103">
        <v>0</v>
      </c>
      <c r="AC125" s="103">
        <v>0</v>
      </c>
      <c r="AD125" s="103">
        <v>0</v>
      </c>
      <c r="AE125" s="103">
        <v>0</v>
      </c>
      <c r="AF125" s="103">
        <v>0</v>
      </c>
      <c r="AG125" s="102">
        <v>0</v>
      </c>
      <c r="AH125" s="104" t="s">
        <v>74</v>
      </c>
      <c r="AI125" s="104" t="s">
        <v>74</v>
      </c>
      <c r="AJ125" s="104" t="s">
        <v>74</v>
      </c>
      <c r="AK125" s="104" t="s">
        <v>74</v>
      </c>
      <c r="AL125" s="104" t="s">
        <v>74</v>
      </c>
      <c r="AM125" s="104" t="s">
        <v>74</v>
      </c>
      <c r="AN125" s="105">
        <v>0</v>
      </c>
      <c r="AO125" s="105">
        <v>0</v>
      </c>
      <c r="AP125" s="105">
        <v>0</v>
      </c>
      <c r="AQ125" s="105">
        <v>0</v>
      </c>
      <c r="AR125" s="105">
        <v>0</v>
      </c>
      <c r="AS125" s="105">
        <v>0</v>
      </c>
      <c r="AT125" s="106" t="s">
        <v>74</v>
      </c>
      <c r="AU125" s="105">
        <v>0</v>
      </c>
      <c r="AV125" s="105"/>
      <c r="AW125" s="105">
        <v>0</v>
      </c>
      <c r="AX125" s="105"/>
      <c r="AY125" s="105"/>
      <c r="AZ125" s="105">
        <v>0</v>
      </c>
      <c r="BA125" s="105">
        <v>0</v>
      </c>
      <c r="BB125" s="107" t="s">
        <v>74</v>
      </c>
      <c r="BC125" s="106" t="s">
        <v>74</v>
      </c>
      <c r="BD125" s="108" t="s">
        <v>74</v>
      </c>
      <c r="BE125" s="108" t="s">
        <v>74</v>
      </c>
      <c r="BF125" s="108" t="s">
        <v>74</v>
      </c>
      <c r="BG125" s="108" t="s">
        <v>74</v>
      </c>
      <c r="BH125" s="105">
        <v>0</v>
      </c>
      <c r="BI125" s="105">
        <v>3345734.0033333302</v>
      </c>
      <c r="BJ125" s="52">
        <v>3345734.0033333302</v>
      </c>
      <c r="BK125" s="56">
        <v>42736</v>
      </c>
      <c r="BL125" s="109">
        <v>3345734</v>
      </c>
      <c r="BM125" s="100">
        <v>0</v>
      </c>
      <c r="BN125" s="9"/>
      <c r="BO125" s="9"/>
      <c r="BP125" s="9"/>
      <c r="BQ125" s="9"/>
      <c r="BR125" s="9"/>
      <c r="BS125" s="9"/>
      <c r="BT125" s="9"/>
      <c r="BU125" s="9"/>
      <c r="BV125" s="9"/>
      <c r="BW125" s="9"/>
    </row>
    <row r="126" spans="1:75" hidden="1" outlineLevel="2" x14ac:dyDescent="0.25">
      <c r="A126" s="43" t="s">
        <v>247</v>
      </c>
      <c r="B126" s="110" t="s">
        <v>247</v>
      </c>
      <c r="C126" s="45">
        <v>2017</v>
      </c>
      <c r="D126" s="110" t="s">
        <v>75</v>
      </c>
      <c r="E126" s="47">
        <v>0</v>
      </c>
      <c r="F126" s="47">
        <v>0</v>
      </c>
      <c r="G126" s="47">
        <v>0</v>
      </c>
      <c r="H126" s="47">
        <v>0</v>
      </c>
      <c r="I126" s="47">
        <v>0</v>
      </c>
      <c r="J126" s="47">
        <v>0</v>
      </c>
      <c r="K126" s="47">
        <v>0</v>
      </c>
      <c r="L126" s="47">
        <v>0</v>
      </c>
      <c r="M126" s="47">
        <v>0</v>
      </c>
      <c r="N126" s="47">
        <v>3345734</v>
      </c>
      <c r="O126" s="47">
        <v>0</v>
      </c>
      <c r="P126" s="47">
        <v>0</v>
      </c>
      <c r="Q126" s="47">
        <v>0</v>
      </c>
      <c r="R126" s="47">
        <v>0</v>
      </c>
      <c r="S126" s="47">
        <v>0</v>
      </c>
      <c r="T126" s="47">
        <v>0</v>
      </c>
      <c r="U126" s="47">
        <v>0</v>
      </c>
      <c r="V126" s="47">
        <v>0</v>
      </c>
      <c r="W126" s="47">
        <v>0</v>
      </c>
      <c r="X126" s="47">
        <v>0</v>
      </c>
      <c r="Y126" s="48">
        <v>3345734</v>
      </c>
      <c r="Z126" s="49">
        <v>0</v>
      </c>
      <c r="AA126" s="50">
        <v>0</v>
      </c>
      <c r="AB126" s="50">
        <v>0</v>
      </c>
      <c r="AC126" s="50">
        <v>0</v>
      </c>
      <c r="AD126" s="50">
        <v>0</v>
      </c>
      <c r="AE126" s="50">
        <v>0</v>
      </c>
      <c r="AF126" s="50">
        <v>0</v>
      </c>
      <c r="AG126" s="49">
        <v>0</v>
      </c>
      <c r="AH126" s="51" t="s">
        <v>74</v>
      </c>
      <c r="AI126" s="51" t="s">
        <v>74</v>
      </c>
      <c r="AJ126" s="51" t="s">
        <v>74</v>
      </c>
      <c r="AK126" s="51" t="s">
        <v>74</v>
      </c>
      <c r="AL126" s="51" t="s">
        <v>74</v>
      </c>
      <c r="AM126" s="51" t="s">
        <v>74</v>
      </c>
      <c r="AN126" s="52">
        <v>0</v>
      </c>
      <c r="AO126" s="52">
        <v>0</v>
      </c>
      <c r="AP126" s="52">
        <v>0</v>
      </c>
      <c r="AQ126" s="52">
        <v>0</v>
      </c>
      <c r="AR126" s="52">
        <v>0</v>
      </c>
      <c r="AS126" s="52">
        <v>0</v>
      </c>
      <c r="AT126" s="53" t="s">
        <v>74</v>
      </c>
      <c r="AU126" s="52">
        <v>0</v>
      </c>
      <c r="AV126" s="52"/>
      <c r="AW126" s="52">
        <v>0</v>
      </c>
      <c r="AX126" s="52"/>
      <c r="AY126" s="52"/>
      <c r="AZ126" s="52">
        <v>0</v>
      </c>
      <c r="BA126" s="52">
        <v>0</v>
      </c>
      <c r="BB126" s="54" t="s">
        <v>74</v>
      </c>
      <c r="BC126" s="53" t="s">
        <v>74</v>
      </c>
      <c r="BD126" s="55" t="s">
        <v>74</v>
      </c>
      <c r="BE126" s="55" t="s">
        <v>74</v>
      </c>
      <c r="BF126" s="55" t="s">
        <v>74</v>
      </c>
      <c r="BG126" s="55" t="s">
        <v>74</v>
      </c>
      <c r="BH126" s="52">
        <v>0</v>
      </c>
      <c r="BI126" s="52">
        <v>3345734</v>
      </c>
      <c r="BJ126" s="52">
        <v>3345734</v>
      </c>
      <c r="BK126" s="56">
        <v>42767</v>
      </c>
      <c r="BL126" s="57">
        <v>3345734</v>
      </c>
      <c r="BM126" s="47">
        <v>0</v>
      </c>
      <c r="BN126" s="9"/>
      <c r="BO126" s="9"/>
      <c r="BP126" s="9"/>
      <c r="BQ126" s="9"/>
      <c r="BR126" s="9"/>
      <c r="BS126" s="9"/>
      <c r="BT126" s="9"/>
      <c r="BU126" s="9"/>
      <c r="BV126" s="9"/>
      <c r="BW126" s="9"/>
    </row>
    <row r="127" spans="1:75" hidden="1" outlineLevel="2" x14ac:dyDescent="0.25">
      <c r="A127" s="43" t="s">
        <v>247</v>
      </c>
      <c r="B127" s="110" t="s">
        <v>247</v>
      </c>
      <c r="C127" s="45">
        <v>2017</v>
      </c>
      <c r="D127" s="110" t="s">
        <v>77</v>
      </c>
      <c r="E127" s="47">
        <v>0</v>
      </c>
      <c r="F127" s="47">
        <v>0</v>
      </c>
      <c r="G127" s="47">
        <v>0</v>
      </c>
      <c r="H127" s="47">
        <v>0</v>
      </c>
      <c r="I127" s="47">
        <v>0</v>
      </c>
      <c r="J127" s="47">
        <v>0</v>
      </c>
      <c r="K127" s="47">
        <v>0</v>
      </c>
      <c r="L127" s="47">
        <v>0</v>
      </c>
      <c r="M127" s="47">
        <v>0</v>
      </c>
      <c r="N127" s="47">
        <v>3345734</v>
      </c>
      <c r="O127" s="47">
        <v>0</v>
      </c>
      <c r="P127" s="47">
        <v>0</v>
      </c>
      <c r="Q127" s="47">
        <v>0</v>
      </c>
      <c r="R127" s="47">
        <v>0</v>
      </c>
      <c r="S127" s="47">
        <v>0</v>
      </c>
      <c r="T127" s="47">
        <v>0</v>
      </c>
      <c r="U127" s="47">
        <v>0</v>
      </c>
      <c r="V127" s="47">
        <v>0</v>
      </c>
      <c r="W127" s="47">
        <v>0</v>
      </c>
      <c r="X127" s="47">
        <v>0</v>
      </c>
      <c r="Y127" s="48">
        <v>3345734</v>
      </c>
      <c r="Z127" s="49">
        <v>0</v>
      </c>
      <c r="AA127" s="50">
        <v>0</v>
      </c>
      <c r="AB127" s="50">
        <v>0</v>
      </c>
      <c r="AC127" s="50">
        <v>0</v>
      </c>
      <c r="AD127" s="50">
        <v>0</v>
      </c>
      <c r="AE127" s="50">
        <v>0</v>
      </c>
      <c r="AF127" s="50">
        <v>0</v>
      </c>
      <c r="AG127" s="49">
        <v>0</v>
      </c>
      <c r="AH127" s="51" t="s">
        <v>74</v>
      </c>
      <c r="AI127" s="51" t="s">
        <v>74</v>
      </c>
      <c r="AJ127" s="51" t="s">
        <v>74</v>
      </c>
      <c r="AK127" s="51" t="s">
        <v>74</v>
      </c>
      <c r="AL127" s="51" t="s">
        <v>74</v>
      </c>
      <c r="AM127" s="51" t="s">
        <v>74</v>
      </c>
      <c r="AN127" s="52">
        <v>0</v>
      </c>
      <c r="AO127" s="52">
        <v>0</v>
      </c>
      <c r="AP127" s="52">
        <v>0</v>
      </c>
      <c r="AQ127" s="52">
        <v>0</v>
      </c>
      <c r="AR127" s="52">
        <v>0</v>
      </c>
      <c r="AS127" s="52">
        <v>0</v>
      </c>
      <c r="AT127" s="53" t="s">
        <v>74</v>
      </c>
      <c r="AU127" s="52">
        <v>0</v>
      </c>
      <c r="AV127" s="52"/>
      <c r="AW127" s="52">
        <v>0</v>
      </c>
      <c r="AX127" s="52"/>
      <c r="AY127" s="52"/>
      <c r="AZ127" s="52">
        <v>0</v>
      </c>
      <c r="BA127" s="52">
        <v>0</v>
      </c>
      <c r="BB127" s="54" t="s">
        <v>74</v>
      </c>
      <c r="BC127" s="53" t="s">
        <v>74</v>
      </c>
      <c r="BD127" s="55" t="s">
        <v>74</v>
      </c>
      <c r="BE127" s="55" t="s">
        <v>74</v>
      </c>
      <c r="BF127" s="55" t="s">
        <v>74</v>
      </c>
      <c r="BG127" s="55" t="s">
        <v>74</v>
      </c>
      <c r="BH127" s="52">
        <v>0</v>
      </c>
      <c r="BI127" s="52">
        <v>3345734</v>
      </c>
      <c r="BJ127" s="52">
        <v>3345734</v>
      </c>
      <c r="BK127" s="56">
        <v>42795</v>
      </c>
      <c r="BL127" s="57">
        <v>3345734</v>
      </c>
      <c r="BM127" s="47">
        <v>0</v>
      </c>
      <c r="BN127" s="9"/>
      <c r="BO127" s="9"/>
      <c r="BP127" s="9"/>
      <c r="BQ127" s="9"/>
      <c r="BR127" s="9"/>
      <c r="BS127" s="9"/>
      <c r="BT127" s="9"/>
      <c r="BU127" s="9"/>
      <c r="BV127" s="9"/>
      <c r="BW127" s="9"/>
    </row>
    <row r="128" spans="1:75" hidden="1" outlineLevel="2" x14ac:dyDescent="0.25">
      <c r="A128" s="43" t="s">
        <v>247</v>
      </c>
      <c r="B128" s="110" t="s">
        <v>247</v>
      </c>
      <c r="C128" s="45">
        <v>2017</v>
      </c>
      <c r="D128" s="110" t="s">
        <v>79</v>
      </c>
      <c r="E128" s="47">
        <v>0</v>
      </c>
      <c r="F128" s="47">
        <v>0</v>
      </c>
      <c r="G128" s="47">
        <v>0</v>
      </c>
      <c r="H128" s="47">
        <v>0</v>
      </c>
      <c r="I128" s="47">
        <v>0</v>
      </c>
      <c r="J128" s="47">
        <v>0</v>
      </c>
      <c r="K128" s="47">
        <v>0</v>
      </c>
      <c r="L128" s="47">
        <v>0</v>
      </c>
      <c r="M128" s="47">
        <v>0</v>
      </c>
      <c r="N128" s="47">
        <v>3345734</v>
      </c>
      <c r="O128" s="47">
        <v>0</v>
      </c>
      <c r="P128" s="47">
        <v>0</v>
      </c>
      <c r="Q128" s="47">
        <v>0</v>
      </c>
      <c r="R128" s="47">
        <v>0</v>
      </c>
      <c r="S128" s="47">
        <v>0</v>
      </c>
      <c r="T128" s="47">
        <v>0</v>
      </c>
      <c r="U128" s="47">
        <v>0</v>
      </c>
      <c r="V128" s="47">
        <v>0</v>
      </c>
      <c r="W128" s="47">
        <v>0</v>
      </c>
      <c r="X128" s="47">
        <v>0</v>
      </c>
      <c r="Y128" s="48">
        <v>3345734</v>
      </c>
      <c r="Z128" s="49">
        <v>0</v>
      </c>
      <c r="AA128" s="50">
        <v>0</v>
      </c>
      <c r="AB128" s="50">
        <v>0</v>
      </c>
      <c r="AC128" s="50">
        <v>0</v>
      </c>
      <c r="AD128" s="50">
        <v>0</v>
      </c>
      <c r="AE128" s="50">
        <v>0</v>
      </c>
      <c r="AF128" s="50">
        <v>0</v>
      </c>
      <c r="AG128" s="49">
        <v>0</v>
      </c>
      <c r="AH128" s="51" t="s">
        <v>74</v>
      </c>
      <c r="AI128" s="51" t="s">
        <v>74</v>
      </c>
      <c r="AJ128" s="51" t="s">
        <v>74</v>
      </c>
      <c r="AK128" s="51" t="s">
        <v>74</v>
      </c>
      <c r="AL128" s="51" t="s">
        <v>74</v>
      </c>
      <c r="AM128" s="51" t="s">
        <v>74</v>
      </c>
      <c r="AN128" s="52">
        <v>0</v>
      </c>
      <c r="AO128" s="52">
        <v>0</v>
      </c>
      <c r="AP128" s="52">
        <v>0</v>
      </c>
      <c r="AQ128" s="52">
        <v>0</v>
      </c>
      <c r="AR128" s="52">
        <v>0</v>
      </c>
      <c r="AS128" s="52">
        <v>0</v>
      </c>
      <c r="AT128" s="53" t="s">
        <v>74</v>
      </c>
      <c r="AU128" s="52">
        <v>0</v>
      </c>
      <c r="AV128" s="52"/>
      <c r="AW128" s="52">
        <v>0</v>
      </c>
      <c r="AX128" s="52"/>
      <c r="AY128" s="52"/>
      <c r="AZ128" s="52">
        <v>0</v>
      </c>
      <c r="BA128" s="52">
        <v>0</v>
      </c>
      <c r="BB128" s="54" t="s">
        <v>74</v>
      </c>
      <c r="BC128" s="53" t="s">
        <v>74</v>
      </c>
      <c r="BD128" s="55" t="s">
        <v>74</v>
      </c>
      <c r="BE128" s="55" t="s">
        <v>74</v>
      </c>
      <c r="BF128" s="55" t="s">
        <v>74</v>
      </c>
      <c r="BG128" s="55" t="s">
        <v>74</v>
      </c>
      <c r="BH128" s="52">
        <v>0</v>
      </c>
      <c r="BI128" s="52">
        <v>3345734</v>
      </c>
      <c r="BJ128" s="52">
        <v>3345734</v>
      </c>
      <c r="BK128" s="56">
        <v>42826</v>
      </c>
      <c r="BL128" s="57">
        <v>3345734</v>
      </c>
      <c r="BM128" s="47">
        <v>0</v>
      </c>
      <c r="BN128" s="9"/>
      <c r="BO128" s="9"/>
      <c r="BP128" s="9"/>
      <c r="BQ128" s="9"/>
      <c r="BR128" s="9"/>
      <c r="BS128" s="9"/>
      <c r="BT128" s="9"/>
      <c r="BU128" s="9"/>
      <c r="BV128" s="9"/>
      <c r="BW128" s="9"/>
    </row>
    <row r="129" spans="1:75" hidden="1" outlineLevel="2" x14ac:dyDescent="0.25">
      <c r="A129" s="43" t="s">
        <v>247</v>
      </c>
      <c r="B129" s="110" t="s">
        <v>247</v>
      </c>
      <c r="C129" s="45">
        <v>2017</v>
      </c>
      <c r="D129" s="110" t="s">
        <v>81</v>
      </c>
      <c r="E129" s="47">
        <v>0</v>
      </c>
      <c r="F129" s="47">
        <v>0</v>
      </c>
      <c r="G129" s="47">
        <v>0</v>
      </c>
      <c r="H129" s="47">
        <v>0</v>
      </c>
      <c r="I129" s="47">
        <v>0</v>
      </c>
      <c r="J129" s="47">
        <v>0</v>
      </c>
      <c r="K129" s="47">
        <v>0</v>
      </c>
      <c r="L129" s="47">
        <v>0</v>
      </c>
      <c r="M129" s="47">
        <v>0</v>
      </c>
      <c r="N129" s="47">
        <v>3345734</v>
      </c>
      <c r="O129" s="47">
        <v>0</v>
      </c>
      <c r="P129" s="47">
        <v>0</v>
      </c>
      <c r="Q129" s="47">
        <v>0</v>
      </c>
      <c r="R129" s="47">
        <v>0</v>
      </c>
      <c r="S129" s="47">
        <v>0</v>
      </c>
      <c r="T129" s="47">
        <v>0</v>
      </c>
      <c r="U129" s="47">
        <v>0</v>
      </c>
      <c r="V129" s="47">
        <v>0</v>
      </c>
      <c r="W129" s="47">
        <v>0</v>
      </c>
      <c r="X129" s="47">
        <v>0</v>
      </c>
      <c r="Y129" s="48">
        <v>3345734</v>
      </c>
      <c r="Z129" s="49">
        <v>0</v>
      </c>
      <c r="AA129" s="50">
        <v>0</v>
      </c>
      <c r="AB129" s="50">
        <v>0</v>
      </c>
      <c r="AC129" s="50">
        <v>0</v>
      </c>
      <c r="AD129" s="50">
        <v>0</v>
      </c>
      <c r="AE129" s="50">
        <v>0</v>
      </c>
      <c r="AF129" s="50">
        <v>0</v>
      </c>
      <c r="AG129" s="49">
        <v>0</v>
      </c>
      <c r="AH129" s="51" t="s">
        <v>74</v>
      </c>
      <c r="AI129" s="51" t="s">
        <v>74</v>
      </c>
      <c r="AJ129" s="51" t="s">
        <v>74</v>
      </c>
      <c r="AK129" s="51" t="s">
        <v>74</v>
      </c>
      <c r="AL129" s="51" t="s">
        <v>74</v>
      </c>
      <c r="AM129" s="51" t="s">
        <v>74</v>
      </c>
      <c r="AN129" s="52">
        <v>0</v>
      </c>
      <c r="AO129" s="52">
        <v>0</v>
      </c>
      <c r="AP129" s="52">
        <v>0</v>
      </c>
      <c r="AQ129" s="52">
        <v>0</v>
      </c>
      <c r="AR129" s="52">
        <v>0</v>
      </c>
      <c r="AS129" s="52">
        <v>0</v>
      </c>
      <c r="AT129" s="53" t="s">
        <v>74</v>
      </c>
      <c r="AU129" s="52">
        <v>0</v>
      </c>
      <c r="AV129" s="52"/>
      <c r="AW129" s="52">
        <v>0</v>
      </c>
      <c r="AX129" s="52"/>
      <c r="AY129" s="52"/>
      <c r="AZ129" s="52">
        <v>0</v>
      </c>
      <c r="BA129" s="52">
        <v>0</v>
      </c>
      <c r="BB129" s="54" t="s">
        <v>74</v>
      </c>
      <c r="BC129" s="53" t="s">
        <v>74</v>
      </c>
      <c r="BD129" s="55" t="s">
        <v>74</v>
      </c>
      <c r="BE129" s="55" t="s">
        <v>74</v>
      </c>
      <c r="BF129" s="55" t="s">
        <v>74</v>
      </c>
      <c r="BG129" s="55" t="s">
        <v>74</v>
      </c>
      <c r="BH129" s="52">
        <v>0</v>
      </c>
      <c r="BI129" s="52">
        <v>3345734</v>
      </c>
      <c r="BJ129" s="52">
        <v>3345734</v>
      </c>
      <c r="BK129" s="56">
        <v>42856</v>
      </c>
      <c r="BL129" s="57">
        <v>3345734</v>
      </c>
      <c r="BM129" s="47">
        <v>0</v>
      </c>
      <c r="BN129" s="9"/>
      <c r="BO129" s="9"/>
      <c r="BP129" s="9"/>
      <c r="BQ129" s="9"/>
      <c r="BR129" s="9"/>
      <c r="BS129" s="9"/>
      <c r="BT129" s="9"/>
      <c r="BU129" s="9"/>
      <c r="BV129" s="9"/>
      <c r="BW129" s="9"/>
    </row>
    <row r="130" spans="1:75" hidden="1" outlineLevel="2" x14ac:dyDescent="0.25">
      <c r="A130" s="43" t="s">
        <v>247</v>
      </c>
      <c r="B130" s="110" t="s">
        <v>247</v>
      </c>
      <c r="C130" s="45">
        <v>2017</v>
      </c>
      <c r="D130" s="110" t="s">
        <v>83</v>
      </c>
      <c r="E130" s="47">
        <v>0</v>
      </c>
      <c r="F130" s="47">
        <v>0</v>
      </c>
      <c r="G130" s="47">
        <v>0</v>
      </c>
      <c r="H130" s="47">
        <v>0</v>
      </c>
      <c r="I130" s="47">
        <v>0</v>
      </c>
      <c r="J130" s="47">
        <v>0</v>
      </c>
      <c r="K130" s="47">
        <v>0</v>
      </c>
      <c r="L130" s="47">
        <v>0</v>
      </c>
      <c r="M130" s="47">
        <v>0</v>
      </c>
      <c r="N130" s="47">
        <v>3345734</v>
      </c>
      <c r="O130" s="47">
        <v>0</v>
      </c>
      <c r="P130" s="47">
        <v>0</v>
      </c>
      <c r="Q130" s="47">
        <v>0</v>
      </c>
      <c r="R130" s="47">
        <v>0</v>
      </c>
      <c r="S130" s="47">
        <v>0</v>
      </c>
      <c r="T130" s="47">
        <v>0</v>
      </c>
      <c r="U130" s="47">
        <v>0</v>
      </c>
      <c r="V130" s="47">
        <v>0</v>
      </c>
      <c r="W130" s="47">
        <v>0</v>
      </c>
      <c r="X130" s="47">
        <v>0</v>
      </c>
      <c r="Y130" s="48">
        <v>3345734</v>
      </c>
      <c r="Z130" s="49">
        <v>0</v>
      </c>
      <c r="AA130" s="50">
        <v>0</v>
      </c>
      <c r="AB130" s="50">
        <v>0</v>
      </c>
      <c r="AC130" s="50">
        <v>0</v>
      </c>
      <c r="AD130" s="50">
        <v>0</v>
      </c>
      <c r="AE130" s="50">
        <v>0</v>
      </c>
      <c r="AF130" s="50">
        <v>0</v>
      </c>
      <c r="AG130" s="49">
        <v>0</v>
      </c>
      <c r="AH130" s="51" t="s">
        <v>74</v>
      </c>
      <c r="AI130" s="51" t="s">
        <v>74</v>
      </c>
      <c r="AJ130" s="51" t="s">
        <v>74</v>
      </c>
      <c r="AK130" s="51" t="s">
        <v>74</v>
      </c>
      <c r="AL130" s="51" t="s">
        <v>74</v>
      </c>
      <c r="AM130" s="51" t="s">
        <v>74</v>
      </c>
      <c r="AN130" s="52">
        <v>0</v>
      </c>
      <c r="AO130" s="52">
        <v>0</v>
      </c>
      <c r="AP130" s="52">
        <v>0</v>
      </c>
      <c r="AQ130" s="52">
        <v>0</v>
      </c>
      <c r="AR130" s="52">
        <v>0</v>
      </c>
      <c r="AS130" s="52">
        <v>0</v>
      </c>
      <c r="AT130" s="53" t="s">
        <v>74</v>
      </c>
      <c r="AU130" s="52">
        <v>0</v>
      </c>
      <c r="AV130" s="52"/>
      <c r="AW130" s="52">
        <v>0</v>
      </c>
      <c r="AX130" s="52"/>
      <c r="AY130" s="52"/>
      <c r="AZ130" s="52">
        <v>0</v>
      </c>
      <c r="BA130" s="52">
        <v>0</v>
      </c>
      <c r="BB130" s="54" t="s">
        <v>74</v>
      </c>
      <c r="BC130" s="53" t="s">
        <v>74</v>
      </c>
      <c r="BD130" s="55" t="s">
        <v>74</v>
      </c>
      <c r="BE130" s="55" t="s">
        <v>74</v>
      </c>
      <c r="BF130" s="55" t="s">
        <v>74</v>
      </c>
      <c r="BG130" s="55" t="s">
        <v>74</v>
      </c>
      <c r="BH130" s="52">
        <v>0</v>
      </c>
      <c r="BI130" s="52">
        <v>3345734</v>
      </c>
      <c r="BJ130" s="52">
        <v>3345734</v>
      </c>
      <c r="BK130" s="56">
        <v>42887</v>
      </c>
      <c r="BL130" s="57">
        <v>3345734</v>
      </c>
      <c r="BM130" s="47">
        <v>0</v>
      </c>
      <c r="BN130" s="9"/>
      <c r="BO130" s="9"/>
      <c r="BP130" s="9"/>
      <c r="BQ130" s="9"/>
      <c r="BR130" s="9"/>
      <c r="BS130" s="9"/>
      <c r="BT130" s="9"/>
      <c r="BU130" s="9"/>
      <c r="BV130" s="9"/>
      <c r="BW130" s="9"/>
    </row>
    <row r="131" spans="1:75" hidden="1" outlineLevel="2" x14ac:dyDescent="0.25">
      <c r="A131" s="43" t="s">
        <v>247</v>
      </c>
      <c r="B131" s="110" t="s">
        <v>247</v>
      </c>
      <c r="C131" s="45">
        <v>2017</v>
      </c>
      <c r="D131" s="110" t="s">
        <v>84</v>
      </c>
      <c r="E131" s="47">
        <v>0</v>
      </c>
      <c r="F131" s="47">
        <v>0</v>
      </c>
      <c r="G131" s="47">
        <v>0</v>
      </c>
      <c r="H131" s="47">
        <v>0</v>
      </c>
      <c r="I131" s="47">
        <v>0</v>
      </c>
      <c r="J131" s="47">
        <v>0</v>
      </c>
      <c r="K131" s="47">
        <v>0</v>
      </c>
      <c r="L131" s="47">
        <v>0</v>
      </c>
      <c r="M131" s="47">
        <v>0</v>
      </c>
      <c r="N131" s="47">
        <v>3345734</v>
      </c>
      <c r="O131" s="47">
        <v>0</v>
      </c>
      <c r="P131" s="47">
        <v>0</v>
      </c>
      <c r="Q131" s="47">
        <v>0</v>
      </c>
      <c r="R131" s="47">
        <v>0</v>
      </c>
      <c r="S131" s="47">
        <v>0</v>
      </c>
      <c r="T131" s="47">
        <v>0</v>
      </c>
      <c r="U131" s="47">
        <v>0</v>
      </c>
      <c r="V131" s="47">
        <v>0</v>
      </c>
      <c r="W131" s="47">
        <v>0</v>
      </c>
      <c r="X131" s="47">
        <v>0</v>
      </c>
      <c r="Y131" s="48">
        <v>3345734</v>
      </c>
      <c r="Z131" s="49">
        <v>0</v>
      </c>
      <c r="AA131" s="50">
        <v>0</v>
      </c>
      <c r="AB131" s="50">
        <v>0</v>
      </c>
      <c r="AC131" s="50">
        <v>0</v>
      </c>
      <c r="AD131" s="50">
        <v>0</v>
      </c>
      <c r="AE131" s="50">
        <v>0</v>
      </c>
      <c r="AF131" s="50">
        <v>0</v>
      </c>
      <c r="AG131" s="49">
        <v>0</v>
      </c>
      <c r="AH131" s="51" t="s">
        <v>74</v>
      </c>
      <c r="AI131" s="51" t="s">
        <v>74</v>
      </c>
      <c r="AJ131" s="51" t="s">
        <v>74</v>
      </c>
      <c r="AK131" s="51" t="s">
        <v>74</v>
      </c>
      <c r="AL131" s="51" t="s">
        <v>74</v>
      </c>
      <c r="AM131" s="51" t="s">
        <v>74</v>
      </c>
      <c r="AN131" s="52">
        <v>0</v>
      </c>
      <c r="AO131" s="52">
        <v>0</v>
      </c>
      <c r="AP131" s="52">
        <v>0</v>
      </c>
      <c r="AQ131" s="52">
        <v>0</v>
      </c>
      <c r="AR131" s="52">
        <v>0</v>
      </c>
      <c r="AS131" s="52">
        <v>0</v>
      </c>
      <c r="AT131" s="53" t="s">
        <v>74</v>
      </c>
      <c r="AU131" s="52">
        <v>0</v>
      </c>
      <c r="AV131" s="52"/>
      <c r="AW131" s="52">
        <v>0</v>
      </c>
      <c r="AX131" s="52"/>
      <c r="AY131" s="52"/>
      <c r="AZ131" s="52">
        <v>0</v>
      </c>
      <c r="BA131" s="52">
        <v>0</v>
      </c>
      <c r="BB131" s="54" t="s">
        <v>74</v>
      </c>
      <c r="BC131" s="53" t="s">
        <v>74</v>
      </c>
      <c r="BD131" s="55" t="s">
        <v>74</v>
      </c>
      <c r="BE131" s="55" t="s">
        <v>74</v>
      </c>
      <c r="BF131" s="55" t="s">
        <v>74</v>
      </c>
      <c r="BG131" s="55" t="s">
        <v>74</v>
      </c>
      <c r="BH131" s="52">
        <v>0</v>
      </c>
      <c r="BI131" s="52">
        <v>3345734</v>
      </c>
      <c r="BJ131" s="52">
        <v>3345734</v>
      </c>
      <c r="BK131" s="56">
        <v>42917</v>
      </c>
      <c r="BL131" s="57">
        <v>3345734</v>
      </c>
      <c r="BM131" s="47">
        <v>0</v>
      </c>
      <c r="BN131" s="9"/>
      <c r="BO131" s="9"/>
      <c r="BP131" s="9"/>
      <c r="BQ131" s="9"/>
      <c r="BR131" s="9"/>
      <c r="BS131" s="9"/>
      <c r="BT131" s="9"/>
      <c r="BU131" s="9"/>
      <c r="BV131" s="9"/>
      <c r="BW131" s="9"/>
    </row>
    <row r="132" spans="1:75" hidden="1" outlineLevel="2" x14ac:dyDescent="0.25">
      <c r="A132" s="43" t="s">
        <v>247</v>
      </c>
      <c r="B132" s="110" t="s">
        <v>247</v>
      </c>
      <c r="C132" s="45">
        <v>2017</v>
      </c>
      <c r="D132" s="110" t="s">
        <v>86</v>
      </c>
      <c r="E132" s="47">
        <v>0</v>
      </c>
      <c r="F132" s="47">
        <v>0</v>
      </c>
      <c r="G132" s="47">
        <v>0</v>
      </c>
      <c r="H132" s="47">
        <v>0</v>
      </c>
      <c r="I132" s="47">
        <v>0</v>
      </c>
      <c r="J132" s="47">
        <v>0</v>
      </c>
      <c r="K132" s="47">
        <v>0</v>
      </c>
      <c r="L132" s="47">
        <v>0</v>
      </c>
      <c r="M132" s="47">
        <v>0</v>
      </c>
      <c r="N132" s="47">
        <v>3345734</v>
      </c>
      <c r="O132" s="47">
        <v>0</v>
      </c>
      <c r="P132" s="47">
        <v>0</v>
      </c>
      <c r="Q132" s="47">
        <v>0</v>
      </c>
      <c r="R132" s="47">
        <v>0</v>
      </c>
      <c r="S132" s="47">
        <v>0</v>
      </c>
      <c r="T132" s="47">
        <v>0</v>
      </c>
      <c r="U132" s="47">
        <v>0</v>
      </c>
      <c r="V132" s="47">
        <v>0</v>
      </c>
      <c r="W132" s="47">
        <v>0</v>
      </c>
      <c r="X132" s="47">
        <v>0</v>
      </c>
      <c r="Y132" s="48">
        <v>3345734</v>
      </c>
      <c r="Z132" s="49">
        <v>0</v>
      </c>
      <c r="AA132" s="50">
        <v>0</v>
      </c>
      <c r="AB132" s="50">
        <v>0</v>
      </c>
      <c r="AC132" s="50">
        <v>0</v>
      </c>
      <c r="AD132" s="50">
        <v>0</v>
      </c>
      <c r="AE132" s="50">
        <v>0</v>
      </c>
      <c r="AF132" s="50">
        <v>0</v>
      </c>
      <c r="AG132" s="49">
        <v>0</v>
      </c>
      <c r="AH132" s="51" t="s">
        <v>74</v>
      </c>
      <c r="AI132" s="51" t="s">
        <v>74</v>
      </c>
      <c r="AJ132" s="51" t="s">
        <v>74</v>
      </c>
      <c r="AK132" s="51" t="s">
        <v>74</v>
      </c>
      <c r="AL132" s="51" t="s">
        <v>74</v>
      </c>
      <c r="AM132" s="51" t="s">
        <v>74</v>
      </c>
      <c r="AN132" s="52">
        <v>0</v>
      </c>
      <c r="AO132" s="52">
        <v>0</v>
      </c>
      <c r="AP132" s="52">
        <v>0</v>
      </c>
      <c r="AQ132" s="52">
        <v>0</v>
      </c>
      <c r="AR132" s="52">
        <v>0</v>
      </c>
      <c r="AS132" s="52">
        <v>0</v>
      </c>
      <c r="AT132" s="53" t="s">
        <v>74</v>
      </c>
      <c r="AU132" s="52">
        <v>0</v>
      </c>
      <c r="AV132" s="52"/>
      <c r="AW132" s="52">
        <v>0</v>
      </c>
      <c r="AX132" s="52"/>
      <c r="AY132" s="52"/>
      <c r="AZ132" s="52">
        <v>0</v>
      </c>
      <c r="BA132" s="52">
        <v>0</v>
      </c>
      <c r="BB132" s="54" t="s">
        <v>74</v>
      </c>
      <c r="BC132" s="53" t="s">
        <v>74</v>
      </c>
      <c r="BD132" s="55" t="s">
        <v>74</v>
      </c>
      <c r="BE132" s="55" t="s">
        <v>74</v>
      </c>
      <c r="BF132" s="55" t="s">
        <v>74</v>
      </c>
      <c r="BG132" s="55" t="s">
        <v>74</v>
      </c>
      <c r="BH132" s="52">
        <v>0</v>
      </c>
      <c r="BI132" s="52">
        <v>3345734</v>
      </c>
      <c r="BJ132" s="52">
        <v>3345734</v>
      </c>
      <c r="BK132" s="56">
        <v>42948</v>
      </c>
      <c r="BL132" s="57">
        <v>3345734</v>
      </c>
      <c r="BM132" s="47">
        <v>0</v>
      </c>
      <c r="BN132" s="9"/>
      <c r="BO132" s="9"/>
      <c r="BP132" s="9"/>
      <c r="BQ132" s="9"/>
      <c r="BR132" s="9"/>
      <c r="BS132" s="9"/>
      <c r="BT132" s="9"/>
      <c r="BU132" s="9"/>
      <c r="BV132" s="9"/>
      <c r="BW132" s="9"/>
    </row>
    <row r="133" spans="1:75" hidden="1" outlineLevel="2" x14ac:dyDescent="0.25">
      <c r="A133" s="43" t="s">
        <v>247</v>
      </c>
      <c r="B133" s="110" t="s">
        <v>247</v>
      </c>
      <c r="C133" s="45">
        <v>2017</v>
      </c>
      <c r="D133" s="110" t="s">
        <v>88</v>
      </c>
      <c r="E133" s="47">
        <v>0</v>
      </c>
      <c r="F133" s="47">
        <v>0</v>
      </c>
      <c r="G133" s="47">
        <v>0</v>
      </c>
      <c r="H133" s="47">
        <v>0</v>
      </c>
      <c r="I133" s="47">
        <v>0</v>
      </c>
      <c r="J133" s="47">
        <v>0</v>
      </c>
      <c r="K133" s="47">
        <v>0</v>
      </c>
      <c r="L133" s="47">
        <v>0</v>
      </c>
      <c r="M133" s="47">
        <v>0</v>
      </c>
      <c r="N133" s="47">
        <v>3345734</v>
      </c>
      <c r="O133" s="47">
        <v>0</v>
      </c>
      <c r="P133" s="47">
        <v>0</v>
      </c>
      <c r="Q133" s="47">
        <v>0</v>
      </c>
      <c r="R133" s="47">
        <v>0</v>
      </c>
      <c r="S133" s="47">
        <v>0</v>
      </c>
      <c r="T133" s="47">
        <v>0</v>
      </c>
      <c r="U133" s="47">
        <v>0</v>
      </c>
      <c r="V133" s="47">
        <v>0</v>
      </c>
      <c r="W133" s="47">
        <v>0</v>
      </c>
      <c r="X133" s="47">
        <v>0</v>
      </c>
      <c r="Y133" s="48">
        <v>3345734</v>
      </c>
      <c r="Z133" s="49">
        <v>0</v>
      </c>
      <c r="AA133" s="50">
        <v>0</v>
      </c>
      <c r="AB133" s="50">
        <v>0</v>
      </c>
      <c r="AC133" s="50">
        <v>0</v>
      </c>
      <c r="AD133" s="50">
        <v>0</v>
      </c>
      <c r="AE133" s="50">
        <v>0</v>
      </c>
      <c r="AF133" s="50">
        <v>0</v>
      </c>
      <c r="AG133" s="49">
        <v>0</v>
      </c>
      <c r="AH133" s="51" t="s">
        <v>74</v>
      </c>
      <c r="AI133" s="51" t="s">
        <v>74</v>
      </c>
      <c r="AJ133" s="51" t="s">
        <v>74</v>
      </c>
      <c r="AK133" s="51" t="s">
        <v>74</v>
      </c>
      <c r="AL133" s="51" t="s">
        <v>74</v>
      </c>
      <c r="AM133" s="51" t="s">
        <v>74</v>
      </c>
      <c r="AN133" s="52">
        <v>0</v>
      </c>
      <c r="AO133" s="52">
        <v>0</v>
      </c>
      <c r="AP133" s="52">
        <v>0</v>
      </c>
      <c r="AQ133" s="52">
        <v>0</v>
      </c>
      <c r="AR133" s="52">
        <v>0</v>
      </c>
      <c r="AS133" s="52">
        <v>0</v>
      </c>
      <c r="AT133" s="53" t="s">
        <v>74</v>
      </c>
      <c r="AU133" s="52">
        <v>0</v>
      </c>
      <c r="AV133" s="52"/>
      <c r="AW133" s="52">
        <v>0</v>
      </c>
      <c r="AX133" s="52"/>
      <c r="AY133" s="52"/>
      <c r="AZ133" s="52">
        <v>0</v>
      </c>
      <c r="BA133" s="52">
        <v>0</v>
      </c>
      <c r="BB133" s="54" t="s">
        <v>74</v>
      </c>
      <c r="BC133" s="53" t="s">
        <v>74</v>
      </c>
      <c r="BD133" s="55" t="s">
        <v>74</v>
      </c>
      <c r="BE133" s="55" t="s">
        <v>74</v>
      </c>
      <c r="BF133" s="55" t="s">
        <v>74</v>
      </c>
      <c r="BG133" s="55" t="s">
        <v>74</v>
      </c>
      <c r="BH133" s="52">
        <v>0</v>
      </c>
      <c r="BI133" s="52">
        <v>3345734</v>
      </c>
      <c r="BJ133" s="52">
        <v>3345734</v>
      </c>
      <c r="BK133" s="56">
        <v>42979</v>
      </c>
      <c r="BL133" s="57">
        <v>3345734</v>
      </c>
      <c r="BM133" s="47">
        <v>0</v>
      </c>
      <c r="BN133" s="9"/>
      <c r="BO133" s="9"/>
      <c r="BP133" s="9"/>
      <c r="BQ133" s="9"/>
      <c r="BR133" s="9"/>
      <c r="BS133" s="9"/>
      <c r="BT133" s="9"/>
      <c r="BU133" s="9"/>
      <c r="BV133" s="9"/>
      <c r="BW133" s="9"/>
    </row>
    <row r="134" spans="1:75" hidden="1" outlineLevel="2" x14ac:dyDescent="0.25">
      <c r="A134" s="43" t="s">
        <v>247</v>
      </c>
      <c r="B134" s="110" t="s">
        <v>247</v>
      </c>
      <c r="C134" s="45">
        <v>2017</v>
      </c>
      <c r="D134" s="110" t="s">
        <v>89</v>
      </c>
      <c r="E134" s="47">
        <v>0</v>
      </c>
      <c r="F134" s="47">
        <v>0</v>
      </c>
      <c r="G134" s="47">
        <v>0</v>
      </c>
      <c r="H134" s="47">
        <v>0</v>
      </c>
      <c r="I134" s="47">
        <v>0</v>
      </c>
      <c r="J134" s="47">
        <v>0</v>
      </c>
      <c r="K134" s="47">
        <v>0</v>
      </c>
      <c r="L134" s="47">
        <v>0</v>
      </c>
      <c r="M134" s="47">
        <v>0</v>
      </c>
      <c r="N134" s="47">
        <v>3345734</v>
      </c>
      <c r="O134" s="47">
        <v>0</v>
      </c>
      <c r="P134" s="47">
        <v>0</v>
      </c>
      <c r="Q134" s="47">
        <v>0</v>
      </c>
      <c r="R134" s="47">
        <v>0</v>
      </c>
      <c r="S134" s="47">
        <v>0</v>
      </c>
      <c r="T134" s="47">
        <v>0</v>
      </c>
      <c r="U134" s="47">
        <v>0</v>
      </c>
      <c r="V134" s="47">
        <v>0</v>
      </c>
      <c r="W134" s="47">
        <v>0</v>
      </c>
      <c r="X134" s="47">
        <v>0</v>
      </c>
      <c r="Y134" s="48">
        <v>3345734</v>
      </c>
      <c r="Z134" s="49">
        <v>0</v>
      </c>
      <c r="AA134" s="50">
        <v>0</v>
      </c>
      <c r="AB134" s="50">
        <v>0</v>
      </c>
      <c r="AC134" s="50">
        <v>0</v>
      </c>
      <c r="AD134" s="50">
        <v>0</v>
      </c>
      <c r="AE134" s="50">
        <v>0</v>
      </c>
      <c r="AF134" s="50">
        <v>0</v>
      </c>
      <c r="AG134" s="49">
        <v>0</v>
      </c>
      <c r="AH134" s="51" t="s">
        <v>74</v>
      </c>
      <c r="AI134" s="51" t="s">
        <v>74</v>
      </c>
      <c r="AJ134" s="51" t="s">
        <v>74</v>
      </c>
      <c r="AK134" s="51" t="s">
        <v>74</v>
      </c>
      <c r="AL134" s="51" t="s">
        <v>74</v>
      </c>
      <c r="AM134" s="51" t="s">
        <v>74</v>
      </c>
      <c r="AN134" s="52">
        <v>0</v>
      </c>
      <c r="AO134" s="52">
        <v>0</v>
      </c>
      <c r="AP134" s="52">
        <v>0</v>
      </c>
      <c r="AQ134" s="52">
        <v>0</v>
      </c>
      <c r="AR134" s="52">
        <v>0</v>
      </c>
      <c r="AS134" s="52">
        <v>0</v>
      </c>
      <c r="AT134" s="53" t="s">
        <v>74</v>
      </c>
      <c r="AU134" s="52">
        <v>0</v>
      </c>
      <c r="AV134" s="52"/>
      <c r="AW134" s="52">
        <v>0</v>
      </c>
      <c r="AX134" s="52"/>
      <c r="AY134" s="52"/>
      <c r="AZ134" s="52">
        <v>0</v>
      </c>
      <c r="BA134" s="52">
        <v>0</v>
      </c>
      <c r="BB134" s="54" t="s">
        <v>74</v>
      </c>
      <c r="BC134" s="53" t="s">
        <v>74</v>
      </c>
      <c r="BD134" s="55" t="s">
        <v>74</v>
      </c>
      <c r="BE134" s="55" t="s">
        <v>74</v>
      </c>
      <c r="BF134" s="55" t="s">
        <v>74</v>
      </c>
      <c r="BG134" s="55" t="s">
        <v>74</v>
      </c>
      <c r="BH134" s="52">
        <v>0</v>
      </c>
      <c r="BI134" s="52">
        <v>3345734</v>
      </c>
      <c r="BJ134" s="52">
        <v>3345734</v>
      </c>
      <c r="BK134" s="56">
        <v>43009</v>
      </c>
      <c r="BL134" s="57">
        <v>3345734</v>
      </c>
      <c r="BM134" s="47">
        <v>0</v>
      </c>
      <c r="BN134" s="9"/>
      <c r="BO134" s="9"/>
      <c r="BP134" s="9"/>
      <c r="BQ134" s="9"/>
      <c r="BR134" s="9"/>
      <c r="BS134" s="9"/>
      <c r="BT134" s="9"/>
      <c r="BU134" s="9"/>
      <c r="BV134" s="9"/>
      <c r="BW134" s="9"/>
    </row>
    <row r="135" spans="1:75" ht="26.25" hidden="1" outlineLevel="2" x14ac:dyDescent="0.25">
      <c r="A135" s="43" t="s">
        <v>247</v>
      </c>
      <c r="B135" s="110" t="s">
        <v>247</v>
      </c>
      <c r="C135" s="45">
        <v>2017</v>
      </c>
      <c r="D135" s="110" t="s">
        <v>90</v>
      </c>
      <c r="E135" s="47">
        <v>0</v>
      </c>
      <c r="F135" s="47">
        <v>0</v>
      </c>
      <c r="G135" s="47">
        <v>0</v>
      </c>
      <c r="H135" s="47">
        <v>0</v>
      </c>
      <c r="I135" s="47">
        <v>0</v>
      </c>
      <c r="J135" s="47">
        <v>0</v>
      </c>
      <c r="K135" s="47">
        <v>0</v>
      </c>
      <c r="L135" s="47">
        <v>0</v>
      </c>
      <c r="M135" s="47">
        <v>0</v>
      </c>
      <c r="N135" s="47">
        <v>3345734</v>
      </c>
      <c r="O135" s="47">
        <v>0</v>
      </c>
      <c r="P135" s="47">
        <v>0</v>
      </c>
      <c r="Q135" s="47">
        <v>0</v>
      </c>
      <c r="R135" s="47">
        <v>0</v>
      </c>
      <c r="S135" s="47">
        <v>0</v>
      </c>
      <c r="T135" s="47">
        <v>0</v>
      </c>
      <c r="U135" s="47">
        <v>0</v>
      </c>
      <c r="V135" s="47">
        <v>0</v>
      </c>
      <c r="W135" s="47">
        <v>0</v>
      </c>
      <c r="X135" s="47">
        <v>0</v>
      </c>
      <c r="Y135" s="48">
        <v>3345734</v>
      </c>
      <c r="Z135" s="49">
        <v>0</v>
      </c>
      <c r="AA135" s="50">
        <v>0</v>
      </c>
      <c r="AB135" s="50">
        <v>0</v>
      </c>
      <c r="AC135" s="50">
        <v>0</v>
      </c>
      <c r="AD135" s="50">
        <v>0</v>
      </c>
      <c r="AE135" s="50">
        <v>43436.26</v>
      </c>
      <c r="AF135" s="50">
        <v>0</v>
      </c>
      <c r="AG135" s="49">
        <v>43436.26</v>
      </c>
      <c r="AH135" s="51" t="s">
        <v>74</v>
      </c>
      <c r="AI135" s="51" t="s">
        <v>74</v>
      </c>
      <c r="AJ135" s="51" t="s">
        <v>74</v>
      </c>
      <c r="AK135" s="51" t="s">
        <v>74</v>
      </c>
      <c r="AL135" s="51" t="s">
        <v>248</v>
      </c>
      <c r="AM135" s="51" t="s">
        <v>74</v>
      </c>
      <c r="AN135" s="52">
        <v>0</v>
      </c>
      <c r="AO135" s="52">
        <v>0</v>
      </c>
      <c r="AP135" s="52">
        <v>0</v>
      </c>
      <c r="AQ135" s="52">
        <v>0</v>
      </c>
      <c r="AR135" s="52">
        <v>0</v>
      </c>
      <c r="AS135" s="52">
        <v>0</v>
      </c>
      <c r="AT135" s="53" t="s">
        <v>74</v>
      </c>
      <c r="AU135" s="52">
        <v>0</v>
      </c>
      <c r="AV135" s="52"/>
      <c r="AW135" s="52">
        <v>0</v>
      </c>
      <c r="AX135" s="52"/>
      <c r="AY135" s="52"/>
      <c r="AZ135" s="52">
        <v>0</v>
      </c>
      <c r="BA135" s="52">
        <v>0</v>
      </c>
      <c r="BB135" s="54" t="s">
        <v>74</v>
      </c>
      <c r="BC135" s="53" t="s">
        <v>74</v>
      </c>
      <c r="BD135" s="55" t="s">
        <v>74</v>
      </c>
      <c r="BE135" s="55" t="s">
        <v>74</v>
      </c>
      <c r="BF135" s="55" t="s">
        <v>74</v>
      </c>
      <c r="BG135" s="55" t="s">
        <v>74</v>
      </c>
      <c r="BH135" s="52">
        <v>0</v>
      </c>
      <c r="BI135" s="52">
        <v>3302297.74</v>
      </c>
      <c r="BJ135" s="52">
        <v>3302297.74</v>
      </c>
      <c r="BK135" s="56">
        <v>43040</v>
      </c>
      <c r="BL135" s="57">
        <v>3302297.74</v>
      </c>
      <c r="BM135" s="47">
        <v>0</v>
      </c>
      <c r="BN135" s="9"/>
      <c r="BO135" s="9"/>
      <c r="BP135" s="9"/>
      <c r="BQ135" s="9"/>
      <c r="BR135" s="9"/>
      <c r="BS135" s="9"/>
      <c r="BT135" s="9"/>
      <c r="BU135" s="9"/>
      <c r="BV135" s="9"/>
      <c r="BW135" s="9"/>
    </row>
    <row r="136" spans="1:75" hidden="1" outlineLevel="2" x14ac:dyDescent="0.25">
      <c r="A136" s="43" t="s">
        <v>247</v>
      </c>
      <c r="B136" s="110" t="s">
        <v>247</v>
      </c>
      <c r="C136" s="45">
        <v>2017</v>
      </c>
      <c r="D136" s="110" t="s">
        <v>93</v>
      </c>
      <c r="E136" s="47">
        <v>0</v>
      </c>
      <c r="F136" s="47">
        <v>0</v>
      </c>
      <c r="G136" s="47">
        <v>0</v>
      </c>
      <c r="H136" s="47">
        <v>0</v>
      </c>
      <c r="I136" s="47">
        <v>0</v>
      </c>
      <c r="J136" s="47">
        <v>0</v>
      </c>
      <c r="K136" s="47">
        <v>0</v>
      </c>
      <c r="L136" s="47">
        <v>0</v>
      </c>
      <c r="M136" s="47">
        <v>0</v>
      </c>
      <c r="N136" s="47">
        <v>3345734</v>
      </c>
      <c r="O136" s="47">
        <v>0</v>
      </c>
      <c r="P136" s="47">
        <v>0</v>
      </c>
      <c r="Q136" s="47">
        <v>0</v>
      </c>
      <c r="R136" s="47">
        <v>0</v>
      </c>
      <c r="S136" s="47">
        <v>0</v>
      </c>
      <c r="T136" s="47">
        <v>0</v>
      </c>
      <c r="U136" s="47">
        <v>0</v>
      </c>
      <c r="V136" s="47">
        <v>0</v>
      </c>
      <c r="W136" s="47">
        <v>0</v>
      </c>
      <c r="X136" s="47">
        <v>0</v>
      </c>
      <c r="Y136" s="48">
        <v>3345734</v>
      </c>
      <c r="Z136" s="49">
        <v>0</v>
      </c>
      <c r="AA136" s="50">
        <v>0</v>
      </c>
      <c r="AB136" s="50">
        <v>0</v>
      </c>
      <c r="AC136" s="50">
        <v>0</v>
      </c>
      <c r="AD136" s="50">
        <v>0</v>
      </c>
      <c r="AE136" s="50">
        <v>0</v>
      </c>
      <c r="AF136" s="50">
        <v>0</v>
      </c>
      <c r="AG136" s="49">
        <v>0</v>
      </c>
      <c r="AH136" s="51" t="s">
        <v>74</v>
      </c>
      <c r="AI136" s="51" t="s">
        <v>74</v>
      </c>
      <c r="AJ136" s="51" t="s">
        <v>74</v>
      </c>
      <c r="AK136" s="51" t="s">
        <v>74</v>
      </c>
      <c r="AL136" s="51" t="s">
        <v>74</v>
      </c>
      <c r="AM136" s="51" t="s">
        <v>74</v>
      </c>
      <c r="AN136" s="52">
        <v>0</v>
      </c>
      <c r="AO136" s="52">
        <v>0</v>
      </c>
      <c r="AP136" s="52">
        <v>0</v>
      </c>
      <c r="AQ136" s="52">
        <v>0</v>
      </c>
      <c r="AR136" s="52">
        <v>0</v>
      </c>
      <c r="AS136" s="52">
        <v>0</v>
      </c>
      <c r="AT136" s="53" t="s">
        <v>74</v>
      </c>
      <c r="AU136" s="52">
        <v>0</v>
      </c>
      <c r="AV136" s="52"/>
      <c r="AW136" s="52">
        <v>0</v>
      </c>
      <c r="AX136" s="52"/>
      <c r="AY136" s="52"/>
      <c r="AZ136" s="52">
        <v>0</v>
      </c>
      <c r="BA136" s="52">
        <v>0</v>
      </c>
      <c r="BB136" s="54" t="s">
        <v>74</v>
      </c>
      <c r="BC136" s="53" t="s">
        <v>74</v>
      </c>
      <c r="BD136" s="55" t="s">
        <v>74</v>
      </c>
      <c r="BE136" s="55" t="s">
        <v>74</v>
      </c>
      <c r="BF136" s="55" t="s">
        <v>74</v>
      </c>
      <c r="BG136" s="55" t="s">
        <v>74</v>
      </c>
      <c r="BH136" s="52">
        <v>0</v>
      </c>
      <c r="BI136" s="52">
        <v>3345734</v>
      </c>
      <c r="BJ136" s="52">
        <v>3345734</v>
      </c>
      <c r="BK136" s="56">
        <v>43070</v>
      </c>
      <c r="BL136" s="57">
        <v>3345734</v>
      </c>
      <c r="BM136" s="47">
        <v>0</v>
      </c>
      <c r="BN136" s="9"/>
      <c r="BO136" s="9"/>
      <c r="BP136" s="9"/>
      <c r="BQ136" s="9"/>
      <c r="BR136" s="9"/>
      <c r="BS136" s="9"/>
      <c r="BT136" s="9"/>
      <c r="BU136" s="9"/>
      <c r="BV136" s="9"/>
      <c r="BW136" s="9"/>
    </row>
    <row r="137" spans="1:75" ht="26.25" hidden="1" outlineLevel="2" x14ac:dyDescent="0.25">
      <c r="A137" s="43" t="s">
        <v>247</v>
      </c>
      <c r="B137" s="110" t="s">
        <v>247</v>
      </c>
      <c r="C137" s="45">
        <v>2018</v>
      </c>
      <c r="D137" s="110" t="s">
        <v>73</v>
      </c>
      <c r="E137" s="47">
        <v>0</v>
      </c>
      <c r="F137" s="47">
        <v>0</v>
      </c>
      <c r="G137" s="47">
        <v>0</v>
      </c>
      <c r="H137" s="47">
        <v>0</v>
      </c>
      <c r="I137" s="47">
        <v>0</v>
      </c>
      <c r="J137" s="47">
        <v>0</v>
      </c>
      <c r="K137" s="47">
        <v>0</v>
      </c>
      <c r="L137" s="47">
        <v>0</v>
      </c>
      <c r="M137" s="47">
        <v>0</v>
      </c>
      <c r="N137" s="47">
        <v>2118964.86666667</v>
      </c>
      <c r="O137" s="47">
        <v>1538177.49</v>
      </c>
      <c r="P137" s="47">
        <v>0</v>
      </c>
      <c r="Q137" s="47">
        <v>0</v>
      </c>
      <c r="R137" s="47">
        <v>0</v>
      </c>
      <c r="S137" s="47">
        <v>0</v>
      </c>
      <c r="T137" s="47">
        <v>0</v>
      </c>
      <c r="U137" s="47">
        <v>0</v>
      </c>
      <c r="V137" s="47">
        <v>0</v>
      </c>
      <c r="W137" s="47">
        <v>0</v>
      </c>
      <c r="X137" s="47">
        <v>0</v>
      </c>
      <c r="Y137" s="48">
        <v>3657142.3566666702</v>
      </c>
      <c r="Z137" s="58">
        <v>348303.19</v>
      </c>
      <c r="AA137" s="50">
        <v>348303.19</v>
      </c>
      <c r="AB137" s="50">
        <v>0</v>
      </c>
      <c r="AC137" s="50">
        <v>0</v>
      </c>
      <c r="AD137" s="50">
        <v>0</v>
      </c>
      <c r="AE137" s="50">
        <v>0</v>
      </c>
      <c r="AF137" s="50">
        <v>0</v>
      </c>
      <c r="AG137" s="49">
        <v>348303.19</v>
      </c>
      <c r="AH137" s="51" t="s">
        <v>104</v>
      </c>
      <c r="AI137" s="51" t="s">
        <v>74</v>
      </c>
      <c r="AJ137" s="51" t="s">
        <v>74</v>
      </c>
      <c r="AK137" s="51" t="s">
        <v>74</v>
      </c>
      <c r="AL137" s="51" t="s">
        <v>74</v>
      </c>
      <c r="AM137" s="51" t="s">
        <v>74</v>
      </c>
      <c r="AN137" s="52">
        <v>0</v>
      </c>
      <c r="AO137" s="52">
        <v>0</v>
      </c>
      <c r="AP137" s="52">
        <v>0</v>
      </c>
      <c r="AQ137" s="52">
        <v>0</v>
      </c>
      <c r="AR137" s="52">
        <v>0</v>
      </c>
      <c r="AS137" s="52">
        <v>0</v>
      </c>
      <c r="AT137" s="53" t="s">
        <v>74</v>
      </c>
      <c r="AU137" s="52">
        <v>0</v>
      </c>
      <c r="AV137" s="52"/>
      <c r="AW137" s="52">
        <v>0</v>
      </c>
      <c r="AX137" s="52"/>
      <c r="AY137" s="52"/>
      <c r="AZ137" s="52">
        <v>0</v>
      </c>
      <c r="BA137" s="52">
        <v>0</v>
      </c>
      <c r="BB137" s="54" t="s">
        <v>74</v>
      </c>
      <c r="BC137" s="53" t="s">
        <v>74</v>
      </c>
      <c r="BD137" s="55" t="s">
        <v>74</v>
      </c>
      <c r="BE137" s="55" t="s">
        <v>74</v>
      </c>
      <c r="BF137" s="55" t="s">
        <v>74</v>
      </c>
      <c r="BG137" s="55" t="s">
        <v>74</v>
      </c>
      <c r="BH137" s="52">
        <v>0</v>
      </c>
      <c r="BI137" s="52">
        <v>3308839.1666666698</v>
      </c>
      <c r="BJ137" s="52">
        <v>3308839.1666666698</v>
      </c>
      <c r="BK137" s="56">
        <v>43101</v>
      </c>
      <c r="BL137" s="57">
        <v>3308839.17</v>
      </c>
      <c r="BM137" s="47">
        <v>0</v>
      </c>
      <c r="BN137" s="9"/>
      <c r="BO137" s="9"/>
      <c r="BP137" s="9"/>
      <c r="BQ137" s="9"/>
      <c r="BR137" s="9"/>
      <c r="BS137" s="9"/>
      <c r="BT137" s="9"/>
      <c r="BU137" s="9"/>
      <c r="BV137" s="9"/>
      <c r="BW137" s="9"/>
    </row>
    <row r="138" spans="1:75" ht="26.25" hidden="1" outlineLevel="2" x14ac:dyDescent="0.25">
      <c r="A138" s="43" t="s">
        <v>247</v>
      </c>
      <c r="B138" s="110" t="s">
        <v>247</v>
      </c>
      <c r="C138" s="45">
        <v>2018</v>
      </c>
      <c r="D138" s="46" t="s">
        <v>75</v>
      </c>
      <c r="E138" s="47">
        <v>0</v>
      </c>
      <c r="F138" s="47">
        <v>0</v>
      </c>
      <c r="G138" s="47">
        <v>0</v>
      </c>
      <c r="H138" s="47">
        <v>0</v>
      </c>
      <c r="I138" s="47">
        <v>0</v>
      </c>
      <c r="J138" s="47">
        <v>0</v>
      </c>
      <c r="K138" s="47">
        <v>0</v>
      </c>
      <c r="L138" s="47">
        <v>0</v>
      </c>
      <c r="M138" s="47">
        <v>0</v>
      </c>
      <c r="N138" s="47">
        <v>0</v>
      </c>
      <c r="O138" s="47">
        <v>4195029.5199999996</v>
      </c>
      <c r="P138" s="47">
        <v>0</v>
      </c>
      <c r="Q138" s="47">
        <v>0</v>
      </c>
      <c r="R138" s="47">
        <v>0</v>
      </c>
      <c r="S138" s="47">
        <v>0</v>
      </c>
      <c r="T138" s="47">
        <v>0</v>
      </c>
      <c r="U138" s="47">
        <v>0</v>
      </c>
      <c r="V138" s="47">
        <v>0</v>
      </c>
      <c r="W138" s="47">
        <v>0</v>
      </c>
      <c r="X138" s="47">
        <v>0</v>
      </c>
      <c r="Y138" s="48">
        <v>4195029.5199999996</v>
      </c>
      <c r="Z138" s="58">
        <v>972047.62</v>
      </c>
      <c r="AA138" s="50">
        <v>972047.62</v>
      </c>
      <c r="AB138" s="50">
        <v>0</v>
      </c>
      <c r="AC138" s="50">
        <v>0</v>
      </c>
      <c r="AD138" s="50">
        <v>0</v>
      </c>
      <c r="AE138" s="50">
        <v>0</v>
      </c>
      <c r="AF138" s="50">
        <v>0</v>
      </c>
      <c r="AG138" s="49">
        <v>972047.62</v>
      </c>
      <c r="AH138" s="51" t="s">
        <v>104</v>
      </c>
      <c r="AI138" s="51" t="s">
        <v>74</v>
      </c>
      <c r="AJ138" s="51" t="s">
        <v>74</v>
      </c>
      <c r="AK138" s="51" t="s">
        <v>74</v>
      </c>
      <c r="AL138" s="51" t="s">
        <v>74</v>
      </c>
      <c r="AM138" s="51" t="s">
        <v>74</v>
      </c>
      <c r="AN138" s="52">
        <v>0</v>
      </c>
      <c r="AO138" s="52">
        <v>0</v>
      </c>
      <c r="AP138" s="52">
        <v>0</v>
      </c>
      <c r="AQ138" s="52">
        <v>0</v>
      </c>
      <c r="AR138" s="52">
        <v>0</v>
      </c>
      <c r="AS138" s="52">
        <v>0</v>
      </c>
      <c r="AT138" s="53" t="s">
        <v>74</v>
      </c>
      <c r="AU138" s="52">
        <v>0</v>
      </c>
      <c r="AV138" s="52"/>
      <c r="AW138" s="52">
        <v>0</v>
      </c>
      <c r="AX138" s="52"/>
      <c r="AY138" s="52"/>
      <c r="AZ138" s="52">
        <v>0</v>
      </c>
      <c r="BA138" s="52">
        <v>0</v>
      </c>
      <c r="BB138" s="54" t="s">
        <v>74</v>
      </c>
      <c r="BC138" s="53" t="s">
        <v>74</v>
      </c>
      <c r="BD138" s="55" t="s">
        <v>74</v>
      </c>
      <c r="BE138" s="55" t="s">
        <v>74</v>
      </c>
      <c r="BF138" s="55" t="s">
        <v>74</v>
      </c>
      <c r="BG138" s="55" t="s">
        <v>74</v>
      </c>
      <c r="BH138" s="52">
        <v>0</v>
      </c>
      <c r="BI138" s="52">
        <v>3222981.9</v>
      </c>
      <c r="BJ138" s="52">
        <v>3222981.9</v>
      </c>
      <c r="BK138" s="56">
        <v>43132</v>
      </c>
      <c r="BL138" s="57">
        <v>3222981.9</v>
      </c>
      <c r="BM138" s="47">
        <v>0</v>
      </c>
      <c r="BN138" s="9"/>
      <c r="BO138" s="9"/>
      <c r="BP138" s="9"/>
      <c r="BQ138" s="9"/>
      <c r="BR138" s="9"/>
      <c r="BS138" s="9"/>
      <c r="BT138" s="9"/>
      <c r="BU138" s="9"/>
      <c r="BV138" s="9"/>
      <c r="BW138" s="9"/>
    </row>
    <row r="139" spans="1:75" ht="26.25" hidden="1" outlineLevel="2" x14ac:dyDescent="0.25">
      <c r="A139" s="43" t="s">
        <v>247</v>
      </c>
      <c r="B139" s="110" t="s">
        <v>247</v>
      </c>
      <c r="C139" s="45">
        <v>2018</v>
      </c>
      <c r="D139" s="110" t="s">
        <v>77</v>
      </c>
      <c r="E139" s="47">
        <v>0</v>
      </c>
      <c r="F139" s="47">
        <v>0</v>
      </c>
      <c r="G139" s="47">
        <v>0</v>
      </c>
      <c r="H139" s="47">
        <v>0</v>
      </c>
      <c r="I139" s="47">
        <v>0</v>
      </c>
      <c r="J139" s="47">
        <v>0</v>
      </c>
      <c r="K139" s="47">
        <v>0</v>
      </c>
      <c r="L139" s="47">
        <v>0</v>
      </c>
      <c r="M139" s="47">
        <v>0</v>
      </c>
      <c r="N139" s="47">
        <v>0</v>
      </c>
      <c r="O139" s="47">
        <v>4195029.5199999996</v>
      </c>
      <c r="P139" s="47">
        <v>0</v>
      </c>
      <c r="Q139" s="47">
        <v>0</v>
      </c>
      <c r="R139" s="47">
        <v>0</v>
      </c>
      <c r="S139" s="47">
        <v>0</v>
      </c>
      <c r="T139" s="47">
        <v>0</v>
      </c>
      <c r="U139" s="47">
        <v>0</v>
      </c>
      <c r="V139" s="47">
        <v>0</v>
      </c>
      <c r="W139" s="47">
        <v>0</v>
      </c>
      <c r="X139" s="47">
        <v>0</v>
      </c>
      <c r="Y139" s="48">
        <v>4195029.5199999996</v>
      </c>
      <c r="Z139" s="58">
        <v>986370.16</v>
      </c>
      <c r="AA139" s="50">
        <v>986370.16</v>
      </c>
      <c r="AB139" s="50">
        <v>0</v>
      </c>
      <c r="AC139" s="50">
        <v>0</v>
      </c>
      <c r="AD139" s="50">
        <v>7183.43</v>
      </c>
      <c r="AE139" s="50">
        <v>0</v>
      </c>
      <c r="AF139" s="50">
        <v>0</v>
      </c>
      <c r="AG139" s="49">
        <v>993553.59</v>
      </c>
      <c r="AH139" s="51" t="s">
        <v>104</v>
      </c>
      <c r="AI139" s="51" t="s">
        <v>74</v>
      </c>
      <c r="AJ139" s="51" t="s">
        <v>74</v>
      </c>
      <c r="AK139" s="51" t="s">
        <v>102</v>
      </c>
      <c r="AL139" s="51" t="s">
        <v>74</v>
      </c>
      <c r="AM139" s="51" t="s">
        <v>74</v>
      </c>
      <c r="AN139" s="52">
        <v>0</v>
      </c>
      <c r="AO139" s="52">
        <v>0</v>
      </c>
      <c r="AP139" s="52">
        <v>0</v>
      </c>
      <c r="AQ139" s="52">
        <v>0</v>
      </c>
      <c r="AR139" s="52">
        <v>0</v>
      </c>
      <c r="AS139" s="52">
        <v>0</v>
      </c>
      <c r="AT139" s="53" t="s">
        <v>74</v>
      </c>
      <c r="AU139" s="52">
        <v>0</v>
      </c>
      <c r="AV139" s="52"/>
      <c r="AW139" s="52">
        <v>0</v>
      </c>
      <c r="AX139" s="52"/>
      <c r="AY139" s="52"/>
      <c r="AZ139" s="52">
        <v>0</v>
      </c>
      <c r="BA139" s="52">
        <v>0</v>
      </c>
      <c r="BB139" s="54" t="s">
        <v>74</v>
      </c>
      <c r="BC139" s="53" t="s">
        <v>74</v>
      </c>
      <c r="BD139" s="55" t="s">
        <v>74</v>
      </c>
      <c r="BE139" s="55" t="s">
        <v>74</v>
      </c>
      <c r="BF139" s="55" t="s">
        <v>74</v>
      </c>
      <c r="BG139" s="55" t="s">
        <v>74</v>
      </c>
      <c r="BH139" s="52">
        <v>0</v>
      </c>
      <c r="BI139" s="52">
        <v>3201475.93</v>
      </c>
      <c r="BJ139" s="52">
        <v>3201475.93</v>
      </c>
      <c r="BK139" s="56">
        <v>43160</v>
      </c>
      <c r="BL139" s="57">
        <v>3201475.93</v>
      </c>
      <c r="BM139" s="47">
        <v>0</v>
      </c>
      <c r="BN139" s="9"/>
      <c r="BO139" s="9"/>
      <c r="BP139" s="9"/>
      <c r="BQ139" s="9"/>
      <c r="BR139" s="9"/>
      <c r="BS139" s="9"/>
      <c r="BT139" s="9"/>
      <c r="BU139" s="9"/>
      <c r="BV139" s="9"/>
      <c r="BW139" s="9"/>
    </row>
    <row r="140" spans="1:75" ht="51.75" hidden="1" outlineLevel="2" x14ac:dyDescent="0.25">
      <c r="A140" s="43" t="s">
        <v>247</v>
      </c>
      <c r="B140" s="110" t="s">
        <v>247</v>
      </c>
      <c r="C140" s="45">
        <v>2018</v>
      </c>
      <c r="D140" s="46" t="s">
        <v>79</v>
      </c>
      <c r="E140" s="47">
        <v>0</v>
      </c>
      <c r="F140" s="47">
        <v>0</v>
      </c>
      <c r="G140" s="47">
        <v>0</v>
      </c>
      <c r="H140" s="47">
        <v>0</v>
      </c>
      <c r="I140" s="47">
        <v>0</v>
      </c>
      <c r="J140" s="47">
        <v>0</v>
      </c>
      <c r="K140" s="47">
        <v>0</v>
      </c>
      <c r="L140" s="47">
        <v>0</v>
      </c>
      <c r="M140" s="47">
        <v>0</v>
      </c>
      <c r="N140" s="47">
        <v>0</v>
      </c>
      <c r="O140" s="47">
        <v>4195029.5199999996</v>
      </c>
      <c r="P140" s="47">
        <v>0</v>
      </c>
      <c r="Q140" s="47">
        <v>0</v>
      </c>
      <c r="R140" s="47">
        <v>0</v>
      </c>
      <c r="S140" s="47">
        <v>0</v>
      </c>
      <c r="T140" s="47">
        <v>0</v>
      </c>
      <c r="U140" s="47">
        <v>0</v>
      </c>
      <c r="V140" s="47">
        <v>0</v>
      </c>
      <c r="W140" s="47">
        <v>0</v>
      </c>
      <c r="X140" s="47">
        <v>0</v>
      </c>
      <c r="Y140" s="48">
        <v>4195029.5199999996</v>
      </c>
      <c r="Z140" s="58">
        <v>1027384.16</v>
      </c>
      <c r="AA140" s="50">
        <v>1027384.16</v>
      </c>
      <c r="AB140" s="50">
        <v>0</v>
      </c>
      <c r="AC140" s="50">
        <v>0</v>
      </c>
      <c r="AD140" s="50">
        <v>7657.56</v>
      </c>
      <c r="AE140" s="50">
        <v>0</v>
      </c>
      <c r="AF140" s="112">
        <v>1965652.67</v>
      </c>
      <c r="AG140" s="49">
        <v>3000694.39</v>
      </c>
      <c r="AH140" s="51" t="s">
        <v>104</v>
      </c>
      <c r="AI140" s="51" t="s">
        <v>74</v>
      </c>
      <c r="AJ140" s="51" t="s">
        <v>74</v>
      </c>
      <c r="AK140" s="51" t="s">
        <v>106</v>
      </c>
      <c r="AL140" s="51" t="s">
        <v>74</v>
      </c>
      <c r="AM140" s="51" t="s">
        <v>249</v>
      </c>
      <c r="AN140" s="52">
        <v>0</v>
      </c>
      <c r="AO140" s="52">
        <v>0</v>
      </c>
      <c r="AP140" s="52">
        <v>0</v>
      </c>
      <c r="AQ140" s="52">
        <v>0</v>
      </c>
      <c r="AR140" s="52">
        <v>0</v>
      </c>
      <c r="AS140" s="52">
        <v>0</v>
      </c>
      <c r="AT140" s="53" t="s">
        <v>74</v>
      </c>
      <c r="AU140" s="52">
        <v>0</v>
      </c>
      <c r="AV140" s="52"/>
      <c r="AW140" s="52">
        <v>0</v>
      </c>
      <c r="AX140" s="52"/>
      <c r="AY140" s="52"/>
      <c r="AZ140" s="52">
        <v>0</v>
      </c>
      <c r="BA140" s="52">
        <v>0</v>
      </c>
      <c r="BB140" s="54" t="s">
        <v>74</v>
      </c>
      <c r="BC140" s="53" t="s">
        <v>74</v>
      </c>
      <c r="BD140" s="55" t="s">
        <v>74</v>
      </c>
      <c r="BE140" s="55" t="s">
        <v>74</v>
      </c>
      <c r="BF140" s="55" t="s">
        <v>74</v>
      </c>
      <c r="BG140" s="55" t="s">
        <v>74</v>
      </c>
      <c r="BH140" s="52">
        <v>0</v>
      </c>
      <c r="BI140" s="52">
        <v>1194335.1299999999</v>
      </c>
      <c r="BJ140" s="52">
        <v>1194335.1299999999</v>
      </c>
      <c r="BK140" s="56">
        <v>43191</v>
      </c>
      <c r="BL140" s="57">
        <v>1194335.1299999999</v>
      </c>
      <c r="BM140" s="47">
        <v>0</v>
      </c>
      <c r="BN140" s="9"/>
      <c r="BO140" s="9"/>
      <c r="BP140" s="9"/>
      <c r="BQ140" s="9"/>
      <c r="BR140" s="9"/>
      <c r="BS140" s="9"/>
      <c r="BT140" s="9"/>
      <c r="BU140" s="9"/>
      <c r="BV140" s="9"/>
      <c r="BW140" s="9"/>
    </row>
    <row r="141" spans="1:75" ht="26.25" hidden="1" outlineLevel="2" x14ac:dyDescent="0.25">
      <c r="A141" s="43" t="s">
        <v>247</v>
      </c>
      <c r="B141" s="110" t="s">
        <v>247</v>
      </c>
      <c r="C141" s="45">
        <v>2018</v>
      </c>
      <c r="D141" s="46" t="s">
        <v>81</v>
      </c>
      <c r="E141" s="47">
        <v>0</v>
      </c>
      <c r="F141" s="47">
        <v>0</v>
      </c>
      <c r="G141" s="47">
        <v>0</v>
      </c>
      <c r="H141" s="47">
        <v>0</v>
      </c>
      <c r="I141" s="47">
        <v>0</v>
      </c>
      <c r="J141" s="47">
        <v>0</v>
      </c>
      <c r="K141" s="47">
        <v>0</v>
      </c>
      <c r="L141" s="47">
        <v>0</v>
      </c>
      <c r="M141" s="47">
        <v>0</v>
      </c>
      <c r="N141" s="47">
        <v>0</v>
      </c>
      <c r="O141" s="47">
        <v>4195029.5199999996</v>
      </c>
      <c r="P141" s="47">
        <v>0</v>
      </c>
      <c r="Q141" s="47">
        <v>0</v>
      </c>
      <c r="R141" s="47">
        <v>0</v>
      </c>
      <c r="S141" s="47">
        <v>0</v>
      </c>
      <c r="T141" s="47">
        <v>0</v>
      </c>
      <c r="U141" s="47">
        <v>0</v>
      </c>
      <c r="V141" s="47">
        <v>0</v>
      </c>
      <c r="W141" s="47">
        <v>0</v>
      </c>
      <c r="X141" s="47">
        <v>0</v>
      </c>
      <c r="Y141" s="48">
        <v>4195029.5199999996</v>
      </c>
      <c r="Z141" s="58">
        <v>977866.45</v>
      </c>
      <c r="AA141" s="50">
        <v>977866.45</v>
      </c>
      <c r="AB141" s="50">
        <v>0</v>
      </c>
      <c r="AC141" s="50">
        <v>0</v>
      </c>
      <c r="AD141" s="50">
        <v>8112.54</v>
      </c>
      <c r="AE141" s="50">
        <v>0</v>
      </c>
      <c r="AF141" s="50">
        <v>0</v>
      </c>
      <c r="AG141" s="49">
        <v>985978.99</v>
      </c>
      <c r="AH141" s="51" t="s">
        <v>104</v>
      </c>
      <c r="AI141" s="51" t="s">
        <v>74</v>
      </c>
      <c r="AJ141" s="51" t="s">
        <v>74</v>
      </c>
      <c r="AK141" s="51" t="s">
        <v>197</v>
      </c>
      <c r="AL141" s="51" t="s">
        <v>74</v>
      </c>
      <c r="AM141" s="51" t="s">
        <v>74</v>
      </c>
      <c r="AN141" s="52">
        <v>0</v>
      </c>
      <c r="AO141" s="52">
        <v>0</v>
      </c>
      <c r="AP141" s="52">
        <v>0</v>
      </c>
      <c r="AQ141" s="52">
        <v>0</v>
      </c>
      <c r="AR141" s="52">
        <v>0</v>
      </c>
      <c r="AS141" s="52">
        <v>0</v>
      </c>
      <c r="AT141" s="53" t="s">
        <v>74</v>
      </c>
      <c r="AU141" s="52">
        <v>0</v>
      </c>
      <c r="AV141" s="52"/>
      <c r="AW141" s="52">
        <v>0</v>
      </c>
      <c r="AX141" s="52"/>
      <c r="AY141" s="52"/>
      <c r="AZ141" s="52">
        <v>0</v>
      </c>
      <c r="BA141" s="52">
        <v>0</v>
      </c>
      <c r="BB141" s="54" t="s">
        <v>74</v>
      </c>
      <c r="BC141" s="53" t="s">
        <v>74</v>
      </c>
      <c r="BD141" s="55" t="s">
        <v>74</v>
      </c>
      <c r="BE141" s="55" t="s">
        <v>74</v>
      </c>
      <c r="BF141" s="55" t="s">
        <v>74</v>
      </c>
      <c r="BG141" s="55" t="s">
        <v>74</v>
      </c>
      <c r="BH141" s="52">
        <v>0</v>
      </c>
      <c r="BI141" s="52">
        <v>3209050.53</v>
      </c>
      <c r="BJ141" s="52">
        <v>3209050.53</v>
      </c>
      <c r="BK141" s="56">
        <v>43221</v>
      </c>
      <c r="BL141" s="57">
        <v>3209050.53</v>
      </c>
      <c r="BM141" s="47">
        <v>0</v>
      </c>
      <c r="BN141" s="9"/>
      <c r="BO141" s="9"/>
      <c r="BP141" s="9"/>
      <c r="BQ141" s="9"/>
      <c r="BR141" s="9"/>
      <c r="BS141" s="9"/>
      <c r="BT141" s="9"/>
      <c r="BU141" s="9"/>
      <c r="BV141" s="9"/>
      <c r="BW141" s="9"/>
    </row>
    <row r="142" spans="1:75" ht="26.25" hidden="1" outlineLevel="2" x14ac:dyDescent="0.25">
      <c r="A142" s="43" t="s">
        <v>247</v>
      </c>
      <c r="B142" s="110" t="s">
        <v>247</v>
      </c>
      <c r="C142" s="45">
        <v>2018</v>
      </c>
      <c r="D142" s="46" t="s">
        <v>83</v>
      </c>
      <c r="E142" s="47">
        <v>0</v>
      </c>
      <c r="F142" s="47">
        <v>0</v>
      </c>
      <c r="G142" s="47">
        <v>0</v>
      </c>
      <c r="H142" s="47">
        <v>0</v>
      </c>
      <c r="I142" s="47">
        <v>0</v>
      </c>
      <c r="J142" s="47">
        <v>0</v>
      </c>
      <c r="K142" s="47">
        <v>0</v>
      </c>
      <c r="L142" s="47">
        <v>0</v>
      </c>
      <c r="M142" s="47">
        <v>0</v>
      </c>
      <c r="N142" s="47">
        <v>0</v>
      </c>
      <c r="O142" s="47">
        <v>4195029.5199999996</v>
      </c>
      <c r="P142" s="47">
        <v>0</v>
      </c>
      <c r="Q142" s="47">
        <v>0</v>
      </c>
      <c r="R142" s="47">
        <v>0</v>
      </c>
      <c r="S142" s="47">
        <v>0</v>
      </c>
      <c r="T142" s="47">
        <v>0</v>
      </c>
      <c r="U142" s="47">
        <v>0</v>
      </c>
      <c r="V142" s="47">
        <v>0</v>
      </c>
      <c r="W142" s="47">
        <v>0</v>
      </c>
      <c r="X142" s="47">
        <v>0</v>
      </c>
      <c r="Y142" s="48">
        <v>4195029.5199999996</v>
      </c>
      <c r="Z142" s="58">
        <v>1006431.86</v>
      </c>
      <c r="AA142" s="50">
        <v>1006431.86</v>
      </c>
      <c r="AB142" s="50">
        <v>0</v>
      </c>
      <c r="AC142" s="50">
        <v>0</v>
      </c>
      <c r="AD142" s="50">
        <v>7062.45</v>
      </c>
      <c r="AE142" s="50">
        <v>0</v>
      </c>
      <c r="AF142" s="50">
        <v>0</v>
      </c>
      <c r="AG142" s="49">
        <v>1013494.31</v>
      </c>
      <c r="AH142" s="51" t="s">
        <v>104</v>
      </c>
      <c r="AI142" s="51" t="s">
        <v>74</v>
      </c>
      <c r="AJ142" s="51" t="s">
        <v>74</v>
      </c>
      <c r="AK142" s="51" t="s">
        <v>112</v>
      </c>
      <c r="AL142" s="51" t="s">
        <v>74</v>
      </c>
      <c r="AM142" s="51" t="s">
        <v>74</v>
      </c>
      <c r="AN142" s="52">
        <v>0</v>
      </c>
      <c r="AO142" s="52">
        <v>0</v>
      </c>
      <c r="AP142" s="52">
        <v>0</v>
      </c>
      <c r="AQ142" s="52">
        <v>0</v>
      </c>
      <c r="AR142" s="52">
        <v>0</v>
      </c>
      <c r="AS142" s="52">
        <v>0</v>
      </c>
      <c r="AT142" s="53" t="s">
        <v>74</v>
      </c>
      <c r="AU142" s="52">
        <v>0</v>
      </c>
      <c r="AV142" s="52"/>
      <c r="AW142" s="52">
        <v>0</v>
      </c>
      <c r="AX142" s="52"/>
      <c r="AY142" s="52"/>
      <c r="AZ142" s="52">
        <v>0</v>
      </c>
      <c r="BA142" s="52">
        <v>0</v>
      </c>
      <c r="BB142" s="54" t="s">
        <v>74</v>
      </c>
      <c r="BC142" s="53" t="s">
        <v>74</v>
      </c>
      <c r="BD142" s="55" t="s">
        <v>74</v>
      </c>
      <c r="BE142" s="55" t="s">
        <v>74</v>
      </c>
      <c r="BF142" s="55" t="s">
        <v>74</v>
      </c>
      <c r="BG142" s="55" t="s">
        <v>74</v>
      </c>
      <c r="BH142" s="52">
        <v>0</v>
      </c>
      <c r="BI142" s="52">
        <v>3181535.21</v>
      </c>
      <c r="BJ142" s="52">
        <v>3181535.21</v>
      </c>
      <c r="BK142" s="56">
        <v>43252</v>
      </c>
      <c r="BL142" s="57">
        <v>3181535.21</v>
      </c>
      <c r="BM142" s="47">
        <v>0</v>
      </c>
      <c r="BN142" s="9"/>
      <c r="BO142" s="9"/>
      <c r="BP142" s="9"/>
      <c r="BQ142" s="9"/>
      <c r="BR142" s="9"/>
      <c r="BS142" s="9"/>
      <c r="BT142" s="9"/>
      <c r="BU142" s="9"/>
      <c r="BV142" s="9"/>
      <c r="BW142" s="9"/>
    </row>
    <row r="143" spans="1:75" ht="90" hidden="1" outlineLevel="2" x14ac:dyDescent="0.25">
      <c r="A143" s="43" t="s">
        <v>247</v>
      </c>
      <c r="B143" s="110" t="s">
        <v>247</v>
      </c>
      <c r="C143" s="45">
        <v>2018</v>
      </c>
      <c r="D143" s="46" t="s">
        <v>84</v>
      </c>
      <c r="E143" s="47">
        <v>0</v>
      </c>
      <c r="F143" s="47">
        <v>0</v>
      </c>
      <c r="G143" s="47">
        <v>0</v>
      </c>
      <c r="H143" s="47">
        <v>0</v>
      </c>
      <c r="I143" s="47">
        <v>0</v>
      </c>
      <c r="J143" s="47">
        <v>0</v>
      </c>
      <c r="K143" s="47">
        <v>0</v>
      </c>
      <c r="L143" s="47">
        <v>0</v>
      </c>
      <c r="M143" s="47">
        <v>0</v>
      </c>
      <c r="N143" s="47">
        <v>0</v>
      </c>
      <c r="O143" s="47">
        <v>4195029.5199999996</v>
      </c>
      <c r="P143" s="47">
        <v>0</v>
      </c>
      <c r="Q143" s="47">
        <v>0</v>
      </c>
      <c r="R143" s="47">
        <v>0</v>
      </c>
      <c r="S143" s="47">
        <v>0</v>
      </c>
      <c r="T143" s="47">
        <v>0</v>
      </c>
      <c r="U143" s="47">
        <v>0</v>
      </c>
      <c r="V143" s="47">
        <v>0</v>
      </c>
      <c r="W143" s="47">
        <v>0</v>
      </c>
      <c r="X143" s="47">
        <v>0</v>
      </c>
      <c r="Y143" s="48">
        <v>4195029.5199999996</v>
      </c>
      <c r="Z143" s="58">
        <v>985309.28</v>
      </c>
      <c r="AA143" s="50">
        <v>985309.28</v>
      </c>
      <c r="AB143" s="50">
        <v>0</v>
      </c>
      <c r="AC143" s="50">
        <v>0</v>
      </c>
      <c r="AD143" s="50">
        <v>5067.55</v>
      </c>
      <c r="AE143" s="50">
        <v>1677208.61</v>
      </c>
      <c r="AF143" s="50">
        <v>0</v>
      </c>
      <c r="AG143" s="49">
        <v>2667585.44</v>
      </c>
      <c r="AH143" s="51" t="s">
        <v>104</v>
      </c>
      <c r="AI143" s="51" t="s">
        <v>74</v>
      </c>
      <c r="AJ143" s="51" t="s">
        <v>74</v>
      </c>
      <c r="AK143" s="51" t="s">
        <v>115</v>
      </c>
      <c r="AL143" s="51" t="s">
        <v>250</v>
      </c>
      <c r="AM143" s="51" t="s">
        <v>74</v>
      </c>
      <c r="AN143" s="52">
        <v>0</v>
      </c>
      <c r="AO143" s="52">
        <v>0</v>
      </c>
      <c r="AP143" s="52">
        <v>0</v>
      </c>
      <c r="AQ143" s="52">
        <v>0</v>
      </c>
      <c r="AR143" s="52">
        <v>0</v>
      </c>
      <c r="AS143" s="52">
        <v>0</v>
      </c>
      <c r="AT143" s="53" t="s">
        <v>74</v>
      </c>
      <c r="AU143" s="52">
        <v>0</v>
      </c>
      <c r="AV143" s="52"/>
      <c r="AW143" s="52">
        <v>0</v>
      </c>
      <c r="AX143" s="52"/>
      <c r="AY143" s="52"/>
      <c r="AZ143" s="52">
        <v>0</v>
      </c>
      <c r="BA143" s="52">
        <v>0</v>
      </c>
      <c r="BB143" s="54" t="s">
        <v>74</v>
      </c>
      <c r="BC143" s="53" t="s">
        <v>74</v>
      </c>
      <c r="BD143" s="55" t="s">
        <v>74</v>
      </c>
      <c r="BE143" s="55" t="s">
        <v>74</v>
      </c>
      <c r="BF143" s="55" t="s">
        <v>74</v>
      </c>
      <c r="BG143" s="55" t="s">
        <v>74</v>
      </c>
      <c r="BH143" s="52">
        <v>0</v>
      </c>
      <c r="BI143" s="52">
        <v>1527444.08</v>
      </c>
      <c r="BJ143" s="52">
        <v>1527444.08</v>
      </c>
      <c r="BK143" s="56">
        <v>43282</v>
      </c>
      <c r="BL143" s="57">
        <v>1527444.08</v>
      </c>
      <c r="BM143" s="47">
        <v>0</v>
      </c>
      <c r="BN143" s="9"/>
      <c r="BO143" s="9"/>
      <c r="BP143" s="9"/>
      <c r="BQ143" s="9"/>
      <c r="BR143" s="9"/>
      <c r="BS143" s="9"/>
      <c r="BT143" s="9"/>
      <c r="BU143" s="9"/>
      <c r="BV143" s="9"/>
      <c r="BW143" s="9"/>
    </row>
    <row r="144" spans="1:75" ht="90" hidden="1" outlineLevel="2" x14ac:dyDescent="0.25">
      <c r="A144" s="43" t="s">
        <v>247</v>
      </c>
      <c r="B144" s="110" t="s">
        <v>247</v>
      </c>
      <c r="C144" s="45">
        <v>2018</v>
      </c>
      <c r="D144" s="46" t="s">
        <v>86</v>
      </c>
      <c r="E144" s="47">
        <v>0</v>
      </c>
      <c r="F144" s="47">
        <v>0</v>
      </c>
      <c r="G144" s="47">
        <v>0</v>
      </c>
      <c r="H144" s="47">
        <v>0</v>
      </c>
      <c r="I144" s="47">
        <v>0</v>
      </c>
      <c r="J144" s="47">
        <v>0</v>
      </c>
      <c r="K144" s="47">
        <v>0</v>
      </c>
      <c r="L144" s="47">
        <v>0</v>
      </c>
      <c r="M144" s="47">
        <v>0</v>
      </c>
      <c r="N144" s="47">
        <v>0</v>
      </c>
      <c r="O144" s="47">
        <v>4195029.5199999996</v>
      </c>
      <c r="P144" s="47">
        <v>0</v>
      </c>
      <c r="Q144" s="47">
        <v>0</v>
      </c>
      <c r="R144" s="47">
        <v>0</v>
      </c>
      <c r="S144" s="47">
        <v>0</v>
      </c>
      <c r="T144" s="47">
        <v>0</v>
      </c>
      <c r="U144" s="47">
        <v>0</v>
      </c>
      <c r="V144" s="47">
        <v>0</v>
      </c>
      <c r="W144" s="47">
        <v>0</v>
      </c>
      <c r="X144" s="47">
        <v>0</v>
      </c>
      <c r="Y144" s="48">
        <v>4195029.5199999996</v>
      </c>
      <c r="Z144" s="58">
        <v>1026878.54</v>
      </c>
      <c r="AA144" s="50">
        <v>1026878.54</v>
      </c>
      <c r="AB144" s="50">
        <v>0</v>
      </c>
      <c r="AC144" s="50">
        <v>0</v>
      </c>
      <c r="AD144" s="50">
        <v>5479.67</v>
      </c>
      <c r="AE144" s="50">
        <v>1677208.61</v>
      </c>
      <c r="AF144" s="50">
        <v>0</v>
      </c>
      <c r="AG144" s="49">
        <v>2709566.82</v>
      </c>
      <c r="AH144" s="51" t="s">
        <v>104</v>
      </c>
      <c r="AI144" s="51" t="s">
        <v>74</v>
      </c>
      <c r="AJ144" s="51" t="s">
        <v>74</v>
      </c>
      <c r="AK144" s="51" t="s">
        <v>118</v>
      </c>
      <c r="AL144" s="51" t="s">
        <v>250</v>
      </c>
      <c r="AM144" s="51" t="s">
        <v>74</v>
      </c>
      <c r="AN144" s="52">
        <v>0</v>
      </c>
      <c r="AO144" s="52">
        <v>0</v>
      </c>
      <c r="AP144" s="52">
        <v>0</v>
      </c>
      <c r="AQ144" s="52">
        <v>0</v>
      </c>
      <c r="AR144" s="52">
        <v>0</v>
      </c>
      <c r="AS144" s="52">
        <v>0</v>
      </c>
      <c r="AT144" s="53" t="s">
        <v>74</v>
      </c>
      <c r="AU144" s="52">
        <v>0</v>
      </c>
      <c r="AV144" s="52"/>
      <c r="AW144" s="52">
        <v>0</v>
      </c>
      <c r="AX144" s="52"/>
      <c r="AY144" s="52"/>
      <c r="AZ144" s="52">
        <v>0</v>
      </c>
      <c r="BA144" s="52">
        <v>0</v>
      </c>
      <c r="BB144" s="54" t="s">
        <v>74</v>
      </c>
      <c r="BC144" s="53" t="s">
        <v>74</v>
      </c>
      <c r="BD144" s="55" t="s">
        <v>74</v>
      </c>
      <c r="BE144" s="55" t="s">
        <v>74</v>
      </c>
      <c r="BF144" s="55" t="s">
        <v>74</v>
      </c>
      <c r="BG144" s="55" t="s">
        <v>74</v>
      </c>
      <c r="BH144" s="52">
        <v>0</v>
      </c>
      <c r="BI144" s="52">
        <v>1485462.7</v>
      </c>
      <c r="BJ144" s="52">
        <v>1485462.7</v>
      </c>
      <c r="BK144" s="56">
        <v>43313</v>
      </c>
      <c r="BL144" s="57">
        <v>1485462.7</v>
      </c>
      <c r="BM144" s="47">
        <v>0</v>
      </c>
      <c r="BN144" s="9"/>
      <c r="BO144" s="9"/>
      <c r="BP144" s="9"/>
      <c r="BQ144" s="9"/>
      <c r="BR144" s="9"/>
      <c r="BS144" s="9"/>
      <c r="BT144" s="9"/>
      <c r="BU144" s="9"/>
      <c r="BV144" s="9"/>
      <c r="BW144" s="9"/>
    </row>
    <row r="145" spans="1:75" ht="90" hidden="1" outlineLevel="2" x14ac:dyDescent="0.25">
      <c r="A145" s="43" t="s">
        <v>247</v>
      </c>
      <c r="B145" s="110" t="s">
        <v>247</v>
      </c>
      <c r="C145" s="45">
        <v>2018</v>
      </c>
      <c r="D145" s="46" t="s">
        <v>88</v>
      </c>
      <c r="E145" s="47">
        <v>0</v>
      </c>
      <c r="F145" s="47">
        <v>0</v>
      </c>
      <c r="G145" s="47">
        <v>0</v>
      </c>
      <c r="H145" s="47">
        <v>0</v>
      </c>
      <c r="I145" s="47">
        <v>0</v>
      </c>
      <c r="J145" s="47">
        <v>0</v>
      </c>
      <c r="K145" s="47">
        <v>0</v>
      </c>
      <c r="L145" s="47">
        <v>0</v>
      </c>
      <c r="M145" s="47">
        <v>0</v>
      </c>
      <c r="N145" s="47">
        <v>0</v>
      </c>
      <c r="O145" s="47">
        <v>4195029.5199999996</v>
      </c>
      <c r="P145" s="47">
        <v>0</v>
      </c>
      <c r="Q145" s="47">
        <v>0</v>
      </c>
      <c r="R145" s="47">
        <v>0</v>
      </c>
      <c r="S145" s="47">
        <v>0</v>
      </c>
      <c r="T145" s="47">
        <v>0</v>
      </c>
      <c r="U145" s="47">
        <v>0</v>
      </c>
      <c r="V145" s="47">
        <v>0</v>
      </c>
      <c r="W145" s="47">
        <v>0</v>
      </c>
      <c r="X145" s="47">
        <v>0</v>
      </c>
      <c r="Y145" s="48">
        <v>4195029.5199999996</v>
      </c>
      <c r="Z145" s="58">
        <v>970557.51</v>
      </c>
      <c r="AA145" s="50">
        <v>970557.51</v>
      </c>
      <c r="AB145" s="50">
        <v>0</v>
      </c>
      <c r="AC145" s="50">
        <v>0</v>
      </c>
      <c r="AD145" s="50">
        <v>5476.32</v>
      </c>
      <c r="AE145" s="50">
        <v>1677208.61</v>
      </c>
      <c r="AF145" s="50">
        <v>0</v>
      </c>
      <c r="AG145" s="49">
        <v>2653242.44</v>
      </c>
      <c r="AH145" s="51" t="s">
        <v>104</v>
      </c>
      <c r="AI145" s="51" t="s">
        <v>74</v>
      </c>
      <c r="AJ145" s="51" t="s">
        <v>74</v>
      </c>
      <c r="AK145" s="51" t="s">
        <v>121</v>
      </c>
      <c r="AL145" s="51" t="s">
        <v>250</v>
      </c>
      <c r="AM145" s="51" t="s">
        <v>74</v>
      </c>
      <c r="AN145" s="52">
        <v>0</v>
      </c>
      <c r="AO145" s="52">
        <v>0</v>
      </c>
      <c r="AP145" s="52">
        <v>0</v>
      </c>
      <c r="AQ145" s="52">
        <v>0</v>
      </c>
      <c r="AR145" s="52">
        <v>0</v>
      </c>
      <c r="AS145" s="52">
        <v>0</v>
      </c>
      <c r="AT145" s="53" t="s">
        <v>74</v>
      </c>
      <c r="AU145" s="52">
        <v>0</v>
      </c>
      <c r="AV145" s="52"/>
      <c r="AW145" s="52">
        <v>0</v>
      </c>
      <c r="AX145" s="52"/>
      <c r="AY145" s="52"/>
      <c r="AZ145" s="52">
        <v>0</v>
      </c>
      <c r="BA145" s="52">
        <v>0</v>
      </c>
      <c r="BB145" s="54" t="s">
        <v>74</v>
      </c>
      <c r="BC145" s="53" t="s">
        <v>74</v>
      </c>
      <c r="BD145" s="55" t="s">
        <v>74</v>
      </c>
      <c r="BE145" s="55" t="s">
        <v>74</v>
      </c>
      <c r="BF145" s="55" t="s">
        <v>74</v>
      </c>
      <c r="BG145" s="55" t="s">
        <v>74</v>
      </c>
      <c r="BH145" s="52">
        <v>0</v>
      </c>
      <c r="BI145" s="52">
        <v>1541787.08</v>
      </c>
      <c r="BJ145" s="52">
        <v>1541787.08</v>
      </c>
      <c r="BK145" s="56">
        <v>43344</v>
      </c>
      <c r="BL145" s="57">
        <v>1541787.08</v>
      </c>
      <c r="BM145" s="47">
        <v>0</v>
      </c>
      <c r="BN145" s="9"/>
      <c r="BO145" s="9"/>
      <c r="BP145" s="9"/>
      <c r="BQ145" s="9"/>
      <c r="BR145" s="9"/>
      <c r="BS145" s="9"/>
      <c r="BT145" s="9"/>
      <c r="BU145" s="9"/>
      <c r="BV145" s="9"/>
      <c r="BW145" s="9"/>
    </row>
    <row r="146" spans="1:75" ht="166.5" hidden="1" outlineLevel="2" x14ac:dyDescent="0.25">
      <c r="A146" s="43" t="s">
        <v>247</v>
      </c>
      <c r="B146" s="110" t="s">
        <v>247</v>
      </c>
      <c r="C146" s="45">
        <v>2018</v>
      </c>
      <c r="D146" s="46" t="s">
        <v>89</v>
      </c>
      <c r="E146" s="47">
        <v>0</v>
      </c>
      <c r="F146" s="47">
        <v>0</v>
      </c>
      <c r="G146" s="47">
        <v>0</v>
      </c>
      <c r="H146" s="47">
        <v>0</v>
      </c>
      <c r="I146" s="47">
        <v>0</v>
      </c>
      <c r="J146" s="47">
        <v>0</v>
      </c>
      <c r="K146" s="47">
        <v>0</v>
      </c>
      <c r="L146" s="47">
        <v>0</v>
      </c>
      <c r="M146" s="47">
        <v>0</v>
      </c>
      <c r="N146" s="47">
        <v>0</v>
      </c>
      <c r="O146" s="47">
        <v>4195029.5199999996</v>
      </c>
      <c r="P146" s="47">
        <v>0</v>
      </c>
      <c r="Q146" s="47">
        <v>0</v>
      </c>
      <c r="R146" s="47">
        <v>0</v>
      </c>
      <c r="S146" s="47">
        <v>0</v>
      </c>
      <c r="T146" s="47">
        <v>0</v>
      </c>
      <c r="U146" s="47">
        <v>0</v>
      </c>
      <c r="V146" s="47">
        <v>0</v>
      </c>
      <c r="W146" s="47">
        <v>0</v>
      </c>
      <c r="X146" s="47">
        <v>0</v>
      </c>
      <c r="Y146" s="48">
        <v>4195029.5199999996</v>
      </c>
      <c r="Z146" s="58">
        <v>945946.24</v>
      </c>
      <c r="AA146" s="50">
        <v>945946.24</v>
      </c>
      <c r="AB146" s="50">
        <v>0</v>
      </c>
      <c r="AC146" s="50">
        <v>0</v>
      </c>
      <c r="AD146" s="50">
        <v>6149</v>
      </c>
      <c r="AE146" s="50">
        <v>1677208.61</v>
      </c>
      <c r="AF146" s="50">
        <v>266817.53000000003</v>
      </c>
      <c r="AG146" s="49">
        <v>2896121.38</v>
      </c>
      <c r="AH146" s="51" t="s">
        <v>104</v>
      </c>
      <c r="AI146" s="51" t="s">
        <v>74</v>
      </c>
      <c r="AJ146" s="51" t="s">
        <v>74</v>
      </c>
      <c r="AK146" s="51" t="s">
        <v>124</v>
      </c>
      <c r="AL146" s="51" t="s">
        <v>250</v>
      </c>
      <c r="AM146" s="51" t="s">
        <v>251</v>
      </c>
      <c r="AN146" s="52">
        <v>0</v>
      </c>
      <c r="AO146" s="52">
        <v>0</v>
      </c>
      <c r="AP146" s="52">
        <v>0</v>
      </c>
      <c r="AQ146" s="52">
        <v>0</v>
      </c>
      <c r="AR146" s="52">
        <v>0</v>
      </c>
      <c r="AS146" s="52">
        <v>0</v>
      </c>
      <c r="AT146" s="53" t="s">
        <v>74</v>
      </c>
      <c r="AU146" s="52">
        <v>0</v>
      </c>
      <c r="AV146" s="52"/>
      <c r="AW146" s="52">
        <v>0</v>
      </c>
      <c r="AX146" s="52"/>
      <c r="AY146" s="52"/>
      <c r="AZ146" s="52">
        <v>0</v>
      </c>
      <c r="BA146" s="52">
        <v>0</v>
      </c>
      <c r="BB146" s="54" t="s">
        <v>74</v>
      </c>
      <c r="BC146" s="53" t="s">
        <v>74</v>
      </c>
      <c r="BD146" s="55" t="s">
        <v>74</v>
      </c>
      <c r="BE146" s="55" t="s">
        <v>74</v>
      </c>
      <c r="BF146" s="55" t="s">
        <v>74</v>
      </c>
      <c r="BG146" s="55" t="s">
        <v>74</v>
      </c>
      <c r="BH146" s="52">
        <v>0</v>
      </c>
      <c r="BI146" s="52">
        <v>1298908.1399999999</v>
      </c>
      <c r="BJ146" s="52">
        <v>1298908.1399999999</v>
      </c>
      <c r="BK146" s="56">
        <v>43374</v>
      </c>
      <c r="BL146" s="57">
        <v>1298908.1399999999</v>
      </c>
      <c r="BM146" s="47">
        <v>0</v>
      </c>
      <c r="BN146" s="9"/>
      <c r="BO146" s="9"/>
      <c r="BP146" s="9"/>
      <c r="BQ146" s="9"/>
      <c r="BR146" s="9"/>
      <c r="BS146" s="9"/>
      <c r="BT146" s="9"/>
      <c r="BU146" s="9"/>
      <c r="BV146" s="9"/>
      <c r="BW146" s="9"/>
    </row>
    <row r="147" spans="1:75" ht="166.5" hidden="1" outlineLevel="2" x14ac:dyDescent="0.25">
      <c r="A147" s="43" t="s">
        <v>247</v>
      </c>
      <c r="B147" s="110" t="s">
        <v>247</v>
      </c>
      <c r="C147" s="45">
        <v>2018</v>
      </c>
      <c r="D147" s="46" t="s">
        <v>90</v>
      </c>
      <c r="E147" s="47">
        <v>0</v>
      </c>
      <c r="F147" s="47">
        <v>0</v>
      </c>
      <c r="G147" s="47">
        <v>0</v>
      </c>
      <c r="H147" s="47">
        <v>0</v>
      </c>
      <c r="I147" s="47">
        <v>0</v>
      </c>
      <c r="J147" s="47">
        <v>0</v>
      </c>
      <c r="K147" s="47">
        <v>0</v>
      </c>
      <c r="L147" s="47">
        <v>0</v>
      </c>
      <c r="M147" s="47">
        <v>0</v>
      </c>
      <c r="N147" s="47">
        <v>0</v>
      </c>
      <c r="O147" s="47">
        <v>4195029.5199999996</v>
      </c>
      <c r="P147" s="47">
        <v>0</v>
      </c>
      <c r="Q147" s="47">
        <v>0</v>
      </c>
      <c r="R147" s="47">
        <v>0</v>
      </c>
      <c r="S147" s="47">
        <v>0</v>
      </c>
      <c r="T147" s="47">
        <v>0</v>
      </c>
      <c r="U147" s="47">
        <v>0</v>
      </c>
      <c r="V147" s="47">
        <v>0</v>
      </c>
      <c r="W147" s="47">
        <v>0</v>
      </c>
      <c r="X147" s="47">
        <v>0</v>
      </c>
      <c r="Y147" s="48">
        <v>4195029.5199999996</v>
      </c>
      <c r="Z147" s="58">
        <v>995661.28</v>
      </c>
      <c r="AA147" s="50">
        <v>995661.28</v>
      </c>
      <c r="AB147" s="50">
        <v>0</v>
      </c>
      <c r="AC147" s="50">
        <v>0</v>
      </c>
      <c r="AD147" s="50">
        <v>5944.99</v>
      </c>
      <c r="AE147" s="50">
        <v>1677208.62</v>
      </c>
      <c r="AF147" s="50">
        <v>1516214.63</v>
      </c>
      <c r="AG147" s="49">
        <v>4195029.5199999996</v>
      </c>
      <c r="AH147" s="51" t="s">
        <v>104</v>
      </c>
      <c r="AI147" s="51" t="s">
        <v>74</v>
      </c>
      <c r="AJ147" s="51" t="s">
        <v>74</v>
      </c>
      <c r="AK147" s="51" t="s">
        <v>126</v>
      </c>
      <c r="AL147" s="51" t="s">
        <v>250</v>
      </c>
      <c r="AM147" s="51" t="s">
        <v>252</v>
      </c>
      <c r="AN147" s="52">
        <v>0</v>
      </c>
      <c r="AO147" s="52">
        <v>0</v>
      </c>
      <c r="AP147" s="52">
        <v>0</v>
      </c>
      <c r="AQ147" s="52">
        <v>0</v>
      </c>
      <c r="AR147" s="52">
        <v>0</v>
      </c>
      <c r="AS147" s="52">
        <v>0</v>
      </c>
      <c r="AT147" s="53" t="s">
        <v>74</v>
      </c>
      <c r="AU147" s="52">
        <v>0</v>
      </c>
      <c r="AV147" s="52"/>
      <c r="AW147" s="52">
        <v>0</v>
      </c>
      <c r="AX147" s="52"/>
      <c r="AY147" s="52"/>
      <c r="AZ147" s="52">
        <v>0</v>
      </c>
      <c r="BA147" s="52">
        <v>0</v>
      </c>
      <c r="BB147" s="54" t="s">
        <v>74</v>
      </c>
      <c r="BC147" s="53" t="s">
        <v>74</v>
      </c>
      <c r="BD147" s="55" t="s">
        <v>74</v>
      </c>
      <c r="BE147" s="55" t="s">
        <v>74</v>
      </c>
      <c r="BF147" s="55" t="s">
        <v>74</v>
      </c>
      <c r="BG147" s="55" t="s">
        <v>74</v>
      </c>
      <c r="BH147" s="52">
        <v>0</v>
      </c>
      <c r="BI147" s="52">
        <v>9.3132257461547893E-10</v>
      </c>
      <c r="BJ147" s="52">
        <v>9.3132257461547893E-10</v>
      </c>
      <c r="BK147" s="56">
        <v>43405</v>
      </c>
      <c r="BL147" s="57"/>
      <c r="BM147" s="47">
        <v>0</v>
      </c>
      <c r="BN147" s="9"/>
      <c r="BO147" s="9"/>
      <c r="BP147" s="9"/>
      <c r="BQ147" s="9"/>
      <c r="BR147" s="9"/>
      <c r="BS147" s="9"/>
      <c r="BT147" s="9"/>
      <c r="BU147" s="9"/>
      <c r="BV147" s="9"/>
      <c r="BW147" s="9"/>
    </row>
    <row r="148" spans="1:75" ht="166.5" hidden="1" outlineLevel="2" x14ac:dyDescent="0.25">
      <c r="A148" s="43" t="s">
        <v>247</v>
      </c>
      <c r="B148" s="110" t="s">
        <v>247</v>
      </c>
      <c r="C148" s="45">
        <v>2018</v>
      </c>
      <c r="D148" s="46" t="s">
        <v>93</v>
      </c>
      <c r="E148" s="47">
        <v>0</v>
      </c>
      <c r="F148" s="47">
        <v>0</v>
      </c>
      <c r="G148" s="47">
        <v>0</v>
      </c>
      <c r="H148" s="47">
        <v>0</v>
      </c>
      <c r="I148" s="47">
        <v>0</v>
      </c>
      <c r="J148" s="47">
        <v>0</v>
      </c>
      <c r="K148" s="47">
        <v>0</v>
      </c>
      <c r="L148" s="47">
        <v>0</v>
      </c>
      <c r="M148" s="47">
        <v>0</v>
      </c>
      <c r="N148" s="47">
        <v>0</v>
      </c>
      <c r="O148" s="47">
        <v>4195029.5199999996</v>
      </c>
      <c r="P148" s="47">
        <v>0</v>
      </c>
      <c r="Q148" s="47">
        <v>0</v>
      </c>
      <c r="R148" s="47">
        <v>0</v>
      </c>
      <c r="S148" s="47">
        <v>0</v>
      </c>
      <c r="T148" s="47">
        <v>0</v>
      </c>
      <c r="U148" s="47">
        <v>0</v>
      </c>
      <c r="V148" s="47">
        <v>0</v>
      </c>
      <c r="W148" s="47">
        <v>0</v>
      </c>
      <c r="X148" s="47">
        <v>0</v>
      </c>
      <c r="Y148" s="48">
        <v>4195029.5199999996</v>
      </c>
      <c r="Z148" s="58">
        <v>935525.9</v>
      </c>
      <c r="AA148" s="50">
        <v>935525.9</v>
      </c>
      <c r="AB148" s="50">
        <v>0</v>
      </c>
      <c r="AC148" s="50">
        <v>0</v>
      </c>
      <c r="AD148" s="50">
        <v>5856.77</v>
      </c>
      <c r="AE148" s="50">
        <v>1677208.62</v>
      </c>
      <c r="AF148" s="50">
        <v>1576438.23</v>
      </c>
      <c r="AG148" s="49">
        <v>4195029.5199999996</v>
      </c>
      <c r="AH148" s="51" t="s">
        <v>104</v>
      </c>
      <c r="AI148" s="51" t="s">
        <v>74</v>
      </c>
      <c r="AJ148" s="51" t="s">
        <v>74</v>
      </c>
      <c r="AK148" s="51" t="s">
        <v>128</v>
      </c>
      <c r="AL148" s="51" t="s">
        <v>250</v>
      </c>
      <c r="AM148" s="51" t="s">
        <v>253</v>
      </c>
      <c r="AN148" s="52">
        <v>0</v>
      </c>
      <c r="AO148" s="52">
        <v>0</v>
      </c>
      <c r="AP148" s="52">
        <v>0</v>
      </c>
      <c r="AQ148" s="52">
        <v>0</v>
      </c>
      <c r="AR148" s="52">
        <v>0</v>
      </c>
      <c r="AS148" s="52">
        <v>0</v>
      </c>
      <c r="AT148" s="53" t="s">
        <v>74</v>
      </c>
      <c r="AU148" s="52">
        <v>0</v>
      </c>
      <c r="AV148" s="52"/>
      <c r="AW148" s="52">
        <v>0</v>
      </c>
      <c r="AX148" s="52"/>
      <c r="AY148" s="52"/>
      <c r="AZ148" s="52">
        <v>0</v>
      </c>
      <c r="BA148" s="52">
        <v>0</v>
      </c>
      <c r="BB148" s="54" t="s">
        <v>74</v>
      </c>
      <c r="BC148" s="53" t="s">
        <v>74</v>
      </c>
      <c r="BD148" s="55" t="s">
        <v>74</v>
      </c>
      <c r="BE148" s="55" t="s">
        <v>74</v>
      </c>
      <c r="BF148" s="55" t="s">
        <v>74</v>
      </c>
      <c r="BG148" s="55" t="s">
        <v>74</v>
      </c>
      <c r="BH148" s="52">
        <v>0</v>
      </c>
      <c r="BI148" s="52">
        <v>9.3132257461547893E-10</v>
      </c>
      <c r="BJ148" s="52">
        <v>9.3132257461547893E-10</v>
      </c>
      <c r="BK148" s="56">
        <v>43435</v>
      </c>
      <c r="BL148" s="57"/>
      <c r="BM148" s="47">
        <v>0</v>
      </c>
      <c r="BN148" s="9"/>
      <c r="BO148" s="9"/>
      <c r="BP148" s="9"/>
      <c r="BQ148" s="9"/>
      <c r="BR148" s="9"/>
      <c r="BS148" s="9"/>
      <c r="BT148" s="9"/>
      <c r="BU148" s="9"/>
      <c r="BV148" s="9"/>
      <c r="BW148" s="9"/>
    </row>
    <row r="149" spans="1:75" ht="51.75" hidden="1" outlineLevel="2" x14ac:dyDescent="0.25">
      <c r="A149" s="43" t="s">
        <v>247</v>
      </c>
      <c r="B149" s="110" t="s">
        <v>247</v>
      </c>
      <c r="C149" s="45">
        <v>2019</v>
      </c>
      <c r="D149" s="46" t="s">
        <v>73</v>
      </c>
      <c r="E149" s="47">
        <v>0</v>
      </c>
      <c r="F149" s="47">
        <v>0</v>
      </c>
      <c r="G149" s="47">
        <v>0</v>
      </c>
      <c r="H149" s="47">
        <v>0</v>
      </c>
      <c r="I149" s="47">
        <v>0</v>
      </c>
      <c r="J149" s="47">
        <v>0</v>
      </c>
      <c r="K149" s="47">
        <v>0</v>
      </c>
      <c r="L149" s="47">
        <v>0</v>
      </c>
      <c r="M149" s="47">
        <v>0</v>
      </c>
      <c r="N149" s="47">
        <v>0</v>
      </c>
      <c r="O149" s="47">
        <v>2656852.0299999998</v>
      </c>
      <c r="P149" s="47">
        <v>1538177.49</v>
      </c>
      <c r="Q149" s="47">
        <v>0</v>
      </c>
      <c r="R149" s="47">
        <v>0</v>
      </c>
      <c r="S149" s="47">
        <v>0</v>
      </c>
      <c r="T149" s="47">
        <v>0</v>
      </c>
      <c r="U149" s="47">
        <v>0</v>
      </c>
      <c r="V149" s="47">
        <v>0</v>
      </c>
      <c r="W149" s="47">
        <v>0</v>
      </c>
      <c r="X149" s="47">
        <v>0</v>
      </c>
      <c r="Y149" s="48">
        <v>4195029.5199999996</v>
      </c>
      <c r="Z149" s="58">
        <v>949171.59</v>
      </c>
      <c r="AA149" s="50">
        <v>949171.59</v>
      </c>
      <c r="AB149" s="50">
        <v>0</v>
      </c>
      <c r="AC149" s="50">
        <v>0</v>
      </c>
      <c r="AD149" s="50">
        <v>6492.56</v>
      </c>
      <c r="AE149" s="50">
        <v>0</v>
      </c>
      <c r="AF149" s="50">
        <v>0</v>
      </c>
      <c r="AG149" s="49">
        <v>955664.15</v>
      </c>
      <c r="AH149" s="51" t="s">
        <v>104</v>
      </c>
      <c r="AI149" s="51" t="s">
        <v>74</v>
      </c>
      <c r="AJ149" s="51" t="s">
        <v>74</v>
      </c>
      <c r="AK149" s="51" t="s">
        <v>254</v>
      </c>
      <c r="AL149" s="51" t="s">
        <v>74</v>
      </c>
      <c r="AM149" s="51" t="s">
        <v>74</v>
      </c>
      <c r="AN149" s="52">
        <v>256.33999999999997</v>
      </c>
      <c r="AO149" s="52">
        <v>0</v>
      </c>
      <c r="AP149" s="52">
        <v>0</v>
      </c>
      <c r="AQ149" s="52">
        <v>0</v>
      </c>
      <c r="AR149" s="52">
        <v>0</v>
      </c>
      <c r="AS149" s="52">
        <v>256.33999999999997</v>
      </c>
      <c r="AT149" s="51" t="s">
        <v>255</v>
      </c>
      <c r="AU149" s="52">
        <v>0</v>
      </c>
      <c r="AV149" s="52"/>
      <c r="AW149" s="52">
        <v>0</v>
      </c>
      <c r="AX149" s="52"/>
      <c r="AY149" s="52"/>
      <c r="AZ149" s="52">
        <v>0</v>
      </c>
      <c r="BA149" s="52">
        <v>0</v>
      </c>
      <c r="BB149" s="54" t="s">
        <v>74</v>
      </c>
      <c r="BC149" s="53" t="s">
        <v>74</v>
      </c>
      <c r="BD149" s="55" t="s">
        <v>74</v>
      </c>
      <c r="BE149" s="55" t="s">
        <v>74</v>
      </c>
      <c r="BF149" s="55" t="s">
        <v>74</v>
      </c>
      <c r="BG149" s="55" t="s">
        <v>74</v>
      </c>
      <c r="BH149" s="52">
        <v>256.33999999999997</v>
      </c>
      <c r="BI149" s="52">
        <v>3239621.71</v>
      </c>
      <c r="BJ149" s="52">
        <v>3239621.71</v>
      </c>
      <c r="BK149" s="56">
        <v>43466</v>
      </c>
      <c r="BL149" s="57">
        <v>3239621.71</v>
      </c>
      <c r="BM149" s="47">
        <v>0</v>
      </c>
      <c r="BN149" s="9"/>
      <c r="BO149" s="9"/>
      <c r="BP149" s="9"/>
      <c r="BQ149" s="9"/>
      <c r="BR149" s="9"/>
      <c r="BS149" s="9"/>
      <c r="BT149" s="9"/>
      <c r="BU149" s="9"/>
      <c r="BV149" s="9"/>
      <c r="BW149" s="9"/>
    </row>
    <row r="150" spans="1:75" ht="26.25" hidden="1" outlineLevel="2" x14ac:dyDescent="0.25">
      <c r="A150" s="43" t="s">
        <v>247</v>
      </c>
      <c r="B150" s="110" t="s">
        <v>247</v>
      </c>
      <c r="C150" s="45">
        <v>2019</v>
      </c>
      <c r="D150" s="46" t="s">
        <v>75</v>
      </c>
      <c r="E150" s="47">
        <v>0</v>
      </c>
      <c r="F150" s="47">
        <v>0</v>
      </c>
      <c r="G150" s="47">
        <v>0</v>
      </c>
      <c r="H150" s="47">
        <v>0</v>
      </c>
      <c r="I150" s="47">
        <v>0</v>
      </c>
      <c r="J150" s="47">
        <v>0</v>
      </c>
      <c r="K150" s="47">
        <v>0</v>
      </c>
      <c r="L150" s="47">
        <v>0</v>
      </c>
      <c r="M150" s="47">
        <v>0</v>
      </c>
      <c r="N150" s="47">
        <v>0</v>
      </c>
      <c r="O150" s="47">
        <v>0</v>
      </c>
      <c r="P150" s="47">
        <v>4195029.5199999996</v>
      </c>
      <c r="Q150" s="47">
        <v>0</v>
      </c>
      <c r="R150" s="47">
        <v>0</v>
      </c>
      <c r="S150" s="47">
        <v>0</v>
      </c>
      <c r="T150" s="47">
        <v>0</v>
      </c>
      <c r="U150" s="47">
        <v>0</v>
      </c>
      <c r="V150" s="47">
        <v>0</v>
      </c>
      <c r="W150" s="47">
        <v>0</v>
      </c>
      <c r="X150" s="47">
        <v>0</v>
      </c>
      <c r="Y150" s="48">
        <v>4195029.5199999996</v>
      </c>
      <c r="Z150" s="58">
        <v>901510.68</v>
      </c>
      <c r="AA150" s="50">
        <v>901510.68</v>
      </c>
      <c r="AB150" s="50">
        <v>0</v>
      </c>
      <c r="AC150" s="50">
        <v>0</v>
      </c>
      <c r="AD150" s="50">
        <v>0</v>
      </c>
      <c r="AE150" s="50">
        <v>0</v>
      </c>
      <c r="AF150" s="50">
        <v>0</v>
      </c>
      <c r="AG150" s="49">
        <v>901510.68</v>
      </c>
      <c r="AH150" s="51" t="s">
        <v>104</v>
      </c>
      <c r="AI150" s="51" t="s">
        <v>74</v>
      </c>
      <c r="AJ150" s="51" t="s">
        <v>74</v>
      </c>
      <c r="AK150" s="51" t="s">
        <v>74</v>
      </c>
      <c r="AL150" s="51" t="s">
        <v>74</v>
      </c>
      <c r="AM150" s="51" t="s">
        <v>74</v>
      </c>
      <c r="AN150" s="52">
        <v>0</v>
      </c>
      <c r="AO150" s="52">
        <v>0</v>
      </c>
      <c r="AP150" s="52">
        <v>0</v>
      </c>
      <c r="AQ150" s="52">
        <v>0</v>
      </c>
      <c r="AR150" s="52">
        <v>0</v>
      </c>
      <c r="AS150" s="52">
        <v>0</v>
      </c>
      <c r="AT150" s="53" t="s">
        <v>74</v>
      </c>
      <c r="AU150" s="52">
        <v>0</v>
      </c>
      <c r="AV150" s="52"/>
      <c r="AW150" s="52">
        <v>0</v>
      </c>
      <c r="AX150" s="52"/>
      <c r="AY150" s="52"/>
      <c r="AZ150" s="52">
        <v>0</v>
      </c>
      <c r="BA150" s="52">
        <v>0</v>
      </c>
      <c r="BB150" s="54" t="s">
        <v>74</v>
      </c>
      <c r="BC150" s="53" t="s">
        <v>74</v>
      </c>
      <c r="BD150" s="55" t="s">
        <v>74</v>
      </c>
      <c r="BE150" s="55" t="s">
        <v>74</v>
      </c>
      <c r="BF150" s="55" t="s">
        <v>74</v>
      </c>
      <c r="BG150" s="55" t="s">
        <v>74</v>
      </c>
      <c r="BH150" s="52">
        <v>0</v>
      </c>
      <c r="BI150" s="52">
        <v>3293518.84</v>
      </c>
      <c r="BJ150" s="52">
        <v>3293518.84</v>
      </c>
      <c r="BK150" s="56">
        <v>43497</v>
      </c>
      <c r="BL150" s="57">
        <v>3293518.84</v>
      </c>
      <c r="BM150" s="47">
        <v>0</v>
      </c>
      <c r="BN150" s="9"/>
      <c r="BO150" s="9"/>
      <c r="BP150" s="9"/>
      <c r="BQ150" s="9"/>
      <c r="BR150" s="9"/>
      <c r="BS150" s="9"/>
      <c r="BT150" s="9"/>
      <c r="BU150" s="9"/>
      <c r="BV150" s="9"/>
      <c r="BW150" s="9"/>
    </row>
    <row r="151" spans="1:75" ht="64.5" hidden="1" outlineLevel="2" x14ac:dyDescent="0.25">
      <c r="A151" s="43" t="s">
        <v>247</v>
      </c>
      <c r="B151" s="110" t="s">
        <v>247</v>
      </c>
      <c r="C151" s="45">
        <v>2019</v>
      </c>
      <c r="D151" s="110" t="s">
        <v>77</v>
      </c>
      <c r="E151" s="47">
        <v>0</v>
      </c>
      <c r="F151" s="47">
        <v>0</v>
      </c>
      <c r="G151" s="47">
        <v>0</v>
      </c>
      <c r="H151" s="47">
        <v>0</v>
      </c>
      <c r="I151" s="47">
        <v>0</v>
      </c>
      <c r="J151" s="47">
        <v>0</v>
      </c>
      <c r="K151" s="47">
        <v>0</v>
      </c>
      <c r="L151" s="47">
        <v>0</v>
      </c>
      <c r="M151" s="47">
        <v>0</v>
      </c>
      <c r="N151" s="47">
        <v>0</v>
      </c>
      <c r="O151" s="47">
        <v>0</v>
      </c>
      <c r="P151" s="47">
        <v>4195029.5199999996</v>
      </c>
      <c r="Q151" s="47">
        <v>0</v>
      </c>
      <c r="R151" s="47">
        <v>0</v>
      </c>
      <c r="S151" s="47">
        <v>0</v>
      </c>
      <c r="T151" s="47">
        <v>0</v>
      </c>
      <c r="U151" s="47">
        <v>0</v>
      </c>
      <c r="V151" s="47">
        <v>0</v>
      </c>
      <c r="W151" s="47">
        <v>0</v>
      </c>
      <c r="X151" s="47">
        <v>0</v>
      </c>
      <c r="Y151" s="48">
        <v>4195029.5199999996</v>
      </c>
      <c r="Z151" s="58">
        <v>961643.84</v>
      </c>
      <c r="AA151" s="50">
        <v>949917.78</v>
      </c>
      <c r="AB151" s="50">
        <v>0</v>
      </c>
      <c r="AC151" s="50">
        <v>0</v>
      </c>
      <c r="AD151" s="50">
        <v>6329.28</v>
      </c>
      <c r="AE151" s="50">
        <v>0</v>
      </c>
      <c r="AF151" s="50">
        <v>0</v>
      </c>
      <c r="AG151" s="49">
        <v>956247.06</v>
      </c>
      <c r="AH151" s="51" t="s">
        <v>256</v>
      </c>
      <c r="AI151" s="51" t="s">
        <v>74</v>
      </c>
      <c r="AJ151" s="51" t="s">
        <v>74</v>
      </c>
      <c r="AK151" s="51" t="s">
        <v>134</v>
      </c>
      <c r="AL151" s="51" t="s">
        <v>74</v>
      </c>
      <c r="AM151" s="51" t="s">
        <v>74</v>
      </c>
      <c r="AN151" s="52">
        <v>0</v>
      </c>
      <c r="AO151" s="52">
        <v>0</v>
      </c>
      <c r="AP151" s="52">
        <v>0</v>
      </c>
      <c r="AQ151" s="52">
        <v>0</v>
      </c>
      <c r="AR151" s="52">
        <v>0</v>
      </c>
      <c r="AS151" s="52">
        <v>0</v>
      </c>
      <c r="AT151" s="53" t="s">
        <v>74</v>
      </c>
      <c r="AU151" s="52">
        <v>0</v>
      </c>
      <c r="AV151" s="52"/>
      <c r="AW151" s="52">
        <v>0</v>
      </c>
      <c r="AX151" s="52"/>
      <c r="AY151" s="52"/>
      <c r="AZ151" s="52">
        <v>0</v>
      </c>
      <c r="BA151" s="52">
        <v>0</v>
      </c>
      <c r="BB151" s="54" t="s">
        <v>74</v>
      </c>
      <c r="BC151" s="53" t="s">
        <v>74</v>
      </c>
      <c r="BD151" s="55" t="s">
        <v>74</v>
      </c>
      <c r="BE151" s="55" t="s">
        <v>74</v>
      </c>
      <c r="BF151" s="55" t="s">
        <v>74</v>
      </c>
      <c r="BG151" s="55" t="s">
        <v>74</v>
      </c>
      <c r="BH151" s="52">
        <v>0</v>
      </c>
      <c r="BI151" s="52">
        <v>3238782.46</v>
      </c>
      <c r="BJ151" s="52">
        <v>3238782.46</v>
      </c>
      <c r="BK151" s="56">
        <v>43525</v>
      </c>
      <c r="BL151" s="57">
        <v>3238782.46</v>
      </c>
      <c r="BM151" s="47">
        <v>0</v>
      </c>
      <c r="BN151" s="9"/>
      <c r="BO151" s="9"/>
      <c r="BP151" s="9"/>
      <c r="BQ151" s="9"/>
      <c r="BR151" s="9"/>
      <c r="BS151" s="9"/>
      <c r="BT151" s="9"/>
      <c r="BU151" s="9"/>
      <c r="BV151" s="9"/>
      <c r="BW151" s="9"/>
    </row>
    <row r="152" spans="1:75" ht="64.5" hidden="1" outlineLevel="2" x14ac:dyDescent="0.25">
      <c r="A152" s="43" t="s">
        <v>247</v>
      </c>
      <c r="B152" s="110" t="s">
        <v>247</v>
      </c>
      <c r="C152" s="45">
        <v>2019</v>
      </c>
      <c r="D152" s="46" t="s">
        <v>79</v>
      </c>
      <c r="E152" s="47">
        <v>0</v>
      </c>
      <c r="F152" s="47">
        <v>0</v>
      </c>
      <c r="G152" s="47">
        <v>0</v>
      </c>
      <c r="H152" s="47">
        <v>0</v>
      </c>
      <c r="I152" s="47">
        <v>0</v>
      </c>
      <c r="J152" s="47">
        <v>0</v>
      </c>
      <c r="K152" s="47">
        <v>0</v>
      </c>
      <c r="L152" s="47">
        <v>0</v>
      </c>
      <c r="M152" s="47">
        <v>0</v>
      </c>
      <c r="N152" s="47">
        <v>0</v>
      </c>
      <c r="O152" s="47">
        <v>0</v>
      </c>
      <c r="P152" s="47">
        <v>4195029.5199999996</v>
      </c>
      <c r="Q152" s="47">
        <v>0</v>
      </c>
      <c r="R152" s="47">
        <v>0</v>
      </c>
      <c r="S152" s="47">
        <v>0</v>
      </c>
      <c r="T152" s="47">
        <v>0</v>
      </c>
      <c r="U152" s="47">
        <v>0</v>
      </c>
      <c r="V152" s="47">
        <v>0</v>
      </c>
      <c r="W152" s="47">
        <v>0</v>
      </c>
      <c r="X152" s="47">
        <v>0</v>
      </c>
      <c r="Y152" s="48">
        <v>4195029.5199999996</v>
      </c>
      <c r="Z152" s="58">
        <v>979130.72</v>
      </c>
      <c r="AA152" s="50">
        <v>949917.78</v>
      </c>
      <c r="AB152" s="50">
        <v>11726.06</v>
      </c>
      <c r="AC152" s="50">
        <v>0</v>
      </c>
      <c r="AD152" s="50">
        <v>6312.15</v>
      </c>
      <c r="AE152" s="50">
        <v>0</v>
      </c>
      <c r="AF152" s="50">
        <v>0</v>
      </c>
      <c r="AG152" s="49">
        <v>967955.99</v>
      </c>
      <c r="AH152" s="51" t="s">
        <v>257</v>
      </c>
      <c r="AI152" s="51" t="s">
        <v>258</v>
      </c>
      <c r="AJ152" s="51" t="s">
        <v>74</v>
      </c>
      <c r="AK152" s="51" t="s">
        <v>259</v>
      </c>
      <c r="AL152" s="51" t="s">
        <v>74</v>
      </c>
      <c r="AM152" s="51" t="s">
        <v>74</v>
      </c>
      <c r="AN152" s="52">
        <v>0</v>
      </c>
      <c r="AO152" s="52">
        <v>0</v>
      </c>
      <c r="AP152" s="52">
        <v>0</v>
      </c>
      <c r="AQ152" s="52">
        <v>0</v>
      </c>
      <c r="AR152" s="52">
        <v>0</v>
      </c>
      <c r="AS152" s="52">
        <v>0</v>
      </c>
      <c r="AT152" s="53" t="s">
        <v>74</v>
      </c>
      <c r="AU152" s="52">
        <v>0</v>
      </c>
      <c r="AV152" s="52"/>
      <c r="AW152" s="52">
        <v>0</v>
      </c>
      <c r="AX152" s="52"/>
      <c r="AY152" s="52"/>
      <c r="AZ152" s="52">
        <v>0</v>
      </c>
      <c r="BA152" s="52">
        <v>0</v>
      </c>
      <c r="BB152" s="54" t="s">
        <v>74</v>
      </c>
      <c r="BC152" s="53" t="s">
        <v>74</v>
      </c>
      <c r="BD152" s="55" t="s">
        <v>74</v>
      </c>
      <c r="BE152" s="55" t="s">
        <v>74</v>
      </c>
      <c r="BF152" s="55" t="s">
        <v>74</v>
      </c>
      <c r="BG152" s="55" t="s">
        <v>74</v>
      </c>
      <c r="BH152" s="52">
        <v>0</v>
      </c>
      <c r="BI152" s="52">
        <v>3227073.53</v>
      </c>
      <c r="BJ152" s="52">
        <v>3227073.53</v>
      </c>
      <c r="BK152" s="56">
        <v>43556</v>
      </c>
      <c r="BL152" s="57">
        <v>3227073.53</v>
      </c>
      <c r="BM152" s="47">
        <v>0</v>
      </c>
      <c r="BN152" s="9"/>
      <c r="BO152" s="9"/>
      <c r="BP152" s="9"/>
      <c r="BQ152" s="9"/>
      <c r="BR152" s="9"/>
      <c r="BS152" s="9"/>
      <c r="BT152" s="9"/>
      <c r="BU152" s="9"/>
      <c r="BV152" s="9"/>
      <c r="BW152" s="9"/>
    </row>
    <row r="153" spans="1:75" ht="64.5" hidden="1" outlineLevel="2" x14ac:dyDescent="0.25">
      <c r="A153" s="43" t="s">
        <v>247</v>
      </c>
      <c r="B153" s="110" t="s">
        <v>247</v>
      </c>
      <c r="C153" s="45">
        <v>2019</v>
      </c>
      <c r="D153" s="46" t="s">
        <v>81</v>
      </c>
      <c r="E153" s="47">
        <v>0</v>
      </c>
      <c r="F153" s="47">
        <v>0</v>
      </c>
      <c r="G153" s="47">
        <v>0</v>
      </c>
      <c r="H153" s="47">
        <v>0</v>
      </c>
      <c r="I153" s="47">
        <v>0</v>
      </c>
      <c r="J153" s="47">
        <v>0</v>
      </c>
      <c r="K153" s="47">
        <v>0</v>
      </c>
      <c r="L153" s="47">
        <v>0</v>
      </c>
      <c r="M153" s="47">
        <v>0</v>
      </c>
      <c r="N153" s="47">
        <v>0</v>
      </c>
      <c r="O153" s="47">
        <v>0</v>
      </c>
      <c r="P153" s="47">
        <v>4195029.5199999996</v>
      </c>
      <c r="Q153" s="47">
        <v>0</v>
      </c>
      <c r="R153" s="47">
        <v>0</v>
      </c>
      <c r="S153" s="47">
        <v>0</v>
      </c>
      <c r="T153" s="47">
        <v>0</v>
      </c>
      <c r="U153" s="47">
        <v>0</v>
      </c>
      <c r="V153" s="47">
        <v>0</v>
      </c>
      <c r="W153" s="47">
        <v>0</v>
      </c>
      <c r="X153" s="47">
        <v>0</v>
      </c>
      <c r="Y153" s="48">
        <v>4195029.5199999996</v>
      </c>
      <c r="Z153" s="58">
        <v>946174.16</v>
      </c>
      <c r="AA153" s="50">
        <v>946174.16</v>
      </c>
      <c r="AB153" s="50">
        <v>29212.94</v>
      </c>
      <c r="AC153" s="50">
        <v>0</v>
      </c>
      <c r="AD153" s="50">
        <v>6639.82</v>
      </c>
      <c r="AE153" s="50">
        <v>0</v>
      </c>
      <c r="AF153" s="50">
        <v>0</v>
      </c>
      <c r="AG153" s="49">
        <v>982026.92</v>
      </c>
      <c r="AH153" s="51" t="s">
        <v>104</v>
      </c>
      <c r="AI153" s="51" t="s">
        <v>260</v>
      </c>
      <c r="AJ153" s="51" t="s">
        <v>74</v>
      </c>
      <c r="AK153" s="51" t="s">
        <v>136</v>
      </c>
      <c r="AL153" s="51" t="s">
        <v>74</v>
      </c>
      <c r="AM153" s="51" t="s">
        <v>74</v>
      </c>
      <c r="AN153" s="52">
        <v>0</v>
      </c>
      <c r="AO153" s="52">
        <v>0</v>
      </c>
      <c r="AP153" s="52">
        <v>0</v>
      </c>
      <c r="AQ153" s="52">
        <v>0</v>
      </c>
      <c r="AR153" s="52">
        <v>0</v>
      </c>
      <c r="AS153" s="52">
        <v>0</v>
      </c>
      <c r="AT153" s="53" t="s">
        <v>74</v>
      </c>
      <c r="AU153" s="52">
        <v>0</v>
      </c>
      <c r="AV153" s="52"/>
      <c r="AW153" s="52">
        <v>0</v>
      </c>
      <c r="AX153" s="52"/>
      <c r="AY153" s="52"/>
      <c r="AZ153" s="52">
        <v>0</v>
      </c>
      <c r="BA153" s="52">
        <v>0</v>
      </c>
      <c r="BB153" s="54" t="s">
        <v>74</v>
      </c>
      <c r="BC153" s="53" t="s">
        <v>74</v>
      </c>
      <c r="BD153" s="55" t="s">
        <v>74</v>
      </c>
      <c r="BE153" s="55" t="s">
        <v>74</v>
      </c>
      <c r="BF153" s="55" t="s">
        <v>74</v>
      </c>
      <c r="BG153" s="55" t="s">
        <v>74</v>
      </c>
      <c r="BH153" s="52">
        <v>0</v>
      </c>
      <c r="BI153" s="52">
        <v>3213002.6</v>
      </c>
      <c r="BJ153" s="52">
        <v>3213002.6</v>
      </c>
      <c r="BK153" s="56">
        <v>43586</v>
      </c>
      <c r="BL153" s="57">
        <v>3213002.6</v>
      </c>
      <c r="BM153" s="47">
        <v>0</v>
      </c>
      <c r="BN153" s="9"/>
      <c r="BO153" s="9"/>
      <c r="BP153" s="9"/>
      <c r="BQ153" s="9"/>
      <c r="BR153" s="9"/>
      <c r="BS153" s="9"/>
      <c r="BT153" s="9"/>
      <c r="BU153" s="9"/>
      <c r="BV153" s="9"/>
      <c r="BW153" s="9"/>
    </row>
    <row r="154" spans="1:75" ht="64.5" hidden="1" outlineLevel="2" x14ac:dyDescent="0.25">
      <c r="A154" s="43" t="s">
        <v>247</v>
      </c>
      <c r="B154" s="110" t="s">
        <v>247</v>
      </c>
      <c r="C154" s="45">
        <v>2019</v>
      </c>
      <c r="D154" s="46" t="s">
        <v>83</v>
      </c>
      <c r="E154" s="47">
        <v>0</v>
      </c>
      <c r="F154" s="47">
        <v>0</v>
      </c>
      <c r="G154" s="47">
        <v>0</v>
      </c>
      <c r="H154" s="47">
        <v>0</v>
      </c>
      <c r="I154" s="47">
        <v>0</v>
      </c>
      <c r="J154" s="47">
        <v>0</v>
      </c>
      <c r="K154" s="47">
        <v>0</v>
      </c>
      <c r="L154" s="47">
        <v>0</v>
      </c>
      <c r="M154" s="47">
        <v>0</v>
      </c>
      <c r="N154" s="47">
        <v>0</v>
      </c>
      <c r="O154" s="47">
        <v>0</v>
      </c>
      <c r="P154" s="47">
        <v>4195029.5199999996</v>
      </c>
      <c r="Q154" s="47">
        <v>0</v>
      </c>
      <c r="R154" s="47">
        <v>0</v>
      </c>
      <c r="S154" s="47">
        <v>0</v>
      </c>
      <c r="T154" s="47">
        <v>0</v>
      </c>
      <c r="U154" s="47">
        <v>0</v>
      </c>
      <c r="V154" s="47">
        <v>0</v>
      </c>
      <c r="W154" s="47">
        <v>0</v>
      </c>
      <c r="X154" s="47">
        <v>0</v>
      </c>
      <c r="Y154" s="48">
        <v>4195029.5199999996</v>
      </c>
      <c r="Z154" s="58">
        <v>994957.78</v>
      </c>
      <c r="AA154" s="50">
        <v>949917.78</v>
      </c>
      <c r="AB154" s="50">
        <v>0</v>
      </c>
      <c r="AC154" s="50">
        <v>0</v>
      </c>
      <c r="AD154" s="50">
        <v>5649.76</v>
      </c>
      <c r="AE154" s="50">
        <v>0</v>
      </c>
      <c r="AF154" s="50">
        <v>0</v>
      </c>
      <c r="AG154" s="49">
        <v>955567.54</v>
      </c>
      <c r="AH154" s="51" t="s">
        <v>261</v>
      </c>
      <c r="AI154" s="51" t="s">
        <v>74</v>
      </c>
      <c r="AJ154" s="51" t="s">
        <v>74</v>
      </c>
      <c r="AK154" s="51" t="s">
        <v>138</v>
      </c>
      <c r="AL154" s="51" t="s">
        <v>74</v>
      </c>
      <c r="AM154" s="51" t="s">
        <v>74</v>
      </c>
      <c r="AN154" s="52">
        <v>0</v>
      </c>
      <c r="AO154" s="52">
        <v>0</v>
      </c>
      <c r="AP154" s="52">
        <v>0</v>
      </c>
      <c r="AQ154" s="52">
        <v>0</v>
      </c>
      <c r="AR154" s="52">
        <v>0</v>
      </c>
      <c r="AS154" s="52">
        <v>0</v>
      </c>
      <c r="AT154" s="53" t="s">
        <v>74</v>
      </c>
      <c r="AU154" s="52">
        <v>0</v>
      </c>
      <c r="AV154" s="52"/>
      <c r="AW154" s="52">
        <v>0</v>
      </c>
      <c r="AX154" s="52"/>
      <c r="AY154" s="52"/>
      <c r="AZ154" s="52">
        <v>0</v>
      </c>
      <c r="BA154" s="52">
        <v>0</v>
      </c>
      <c r="BB154" s="54" t="s">
        <v>74</v>
      </c>
      <c r="BC154" s="53" t="s">
        <v>74</v>
      </c>
      <c r="BD154" s="55" t="s">
        <v>74</v>
      </c>
      <c r="BE154" s="55" t="s">
        <v>74</v>
      </c>
      <c r="BF154" s="55" t="s">
        <v>74</v>
      </c>
      <c r="BG154" s="55" t="s">
        <v>74</v>
      </c>
      <c r="BH154" s="52">
        <v>0</v>
      </c>
      <c r="BI154" s="52">
        <v>3239461.98</v>
      </c>
      <c r="BJ154" s="52">
        <v>3239461.98</v>
      </c>
      <c r="BK154" s="56">
        <v>43617</v>
      </c>
      <c r="BL154" s="57">
        <v>3239461.98</v>
      </c>
      <c r="BM154" s="47">
        <v>0</v>
      </c>
      <c r="BN154" s="9"/>
      <c r="BO154" s="9"/>
      <c r="BP154" s="9"/>
      <c r="BQ154" s="9"/>
      <c r="BR154" s="9"/>
      <c r="BS154" s="9"/>
      <c r="BT154" s="9"/>
      <c r="BU154" s="9"/>
      <c r="BV154" s="9"/>
      <c r="BW154" s="9"/>
    </row>
    <row r="155" spans="1:75" ht="64.5" hidden="1" outlineLevel="2" x14ac:dyDescent="0.25">
      <c r="A155" s="43" t="s">
        <v>247</v>
      </c>
      <c r="B155" s="110" t="s">
        <v>247</v>
      </c>
      <c r="C155" s="45">
        <v>2019</v>
      </c>
      <c r="D155" s="46" t="s">
        <v>84</v>
      </c>
      <c r="E155" s="47">
        <v>0</v>
      </c>
      <c r="F155" s="47">
        <v>0</v>
      </c>
      <c r="G155" s="47">
        <v>0</v>
      </c>
      <c r="H155" s="47">
        <v>0</v>
      </c>
      <c r="I155" s="47">
        <v>0</v>
      </c>
      <c r="J155" s="47">
        <v>0</v>
      </c>
      <c r="K155" s="47">
        <v>0</v>
      </c>
      <c r="L155" s="47">
        <v>0</v>
      </c>
      <c r="M155" s="47">
        <v>0</v>
      </c>
      <c r="N155" s="47">
        <v>0</v>
      </c>
      <c r="O155" s="47">
        <v>0</v>
      </c>
      <c r="P155" s="47">
        <v>4195029.5199999996</v>
      </c>
      <c r="Q155" s="47">
        <v>0</v>
      </c>
      <c r="R155" s="47">
        <v>0</v>
      </c>
      <c r="S155" s="47">
        <v>0</v>
      </c>
      <c r="T155" s="47">
        <v>0</v>
      </c>
      <c r="U155" s="47">
        <v>0</v>
      </c>
      <c r="V155" s="47">
        <v>0</v>
      </c>
      <c r="W155" s="47">
        <v>0</v>
      </c>
      <c r="X155" s="47">
        <v>0</v>
      </c>
      <c r="Y155" s="48">
        <v>4195029.5199999996</v>
      </c>
      <c r="Z155" s="58">
        <v>997289.04</v>
      </c>
      <c r="AA155" s="50">
        <v>949917.78</v>
      </c>
      <c r="AB155" s="50">
        <v>45040</v>
      </c>
      <c r="AC155" s="50">
        <v>0</v>
      </c>
      <c r="AD155" s="50">
        <v>5978.66</v>
      </c>
      <c r="AE155" s="50">
        <v>0</v>
      </c>
      <c r="AF155" s="50">
        <v>0</v>
      </c>
      <c r="AG155" s="49">
        <v>1000936.44</v>
      </c>
      <c r="AH155" s="51" t="s">
        <v>262</v>
      </c>
      <c r="AI155" s="51" t="s">
        <v>263</v>
      </c>
      <c r="AJ155" s="51" t="s">
        <v>74</v>
      </c>
      <c r="AK155" s="51" t="s">
        <v>264</v>
      </c>
      <c r="AL155" s="51" t="s">
        <v>74</v>
      </c>
      <c r="AM155" s="51" t="s">
        <v>74</v>
      </c>
      <c r="AN155" s="52">
        <v>0</v>
      </c>
      <c r="AO155" s="52">
        <v>0</v>
      </c>
      <c r="AP155" s="52">
        <v>0</v>
      </c>
      <c r="AQ155" s="52">
        <v>0</v>
      </c>
      <c r="AR155" s="52">
        <v>0</v>
      </c>
      <c r="AS155" s="52">
        <v>0</v>
      </c>
      <c r="AT155" s="53" t="s">
        <v>74</v>
      </c>
      <c r="AU155" s="52">
        <v>0</v>
      </c>
      <c r="AV155" s="52"/>
      <c r="AW155" s="52">
        <v>0</v>
      </c>
      <c r="AX155" s="52"/>
      <c r="AY155" s="52"/>
      <c r="AZ155" s="52">
        <v>0</v>
      </c>
      <c r="BA155" s="52">
        <v>0</v>
      </c>
      <c r="BB155" s="54" t="s">
        <v>74</v>
      </c>
      <c r="BC155" s="53" t="s">
        <v>74</v>
      </c>
      <c r="BD155" s="55" t="s">
        <v>74</v>
      </c>
      <c r="BE155" s="55" t="s">
        <v>74</v>
      </c>
      <c r="BF155" s="55" t="s">
        <v>74</v>
      </c>
      <c r="BG155" s="55" t="s">
        <v>74</v>
      </c>
      <c r="BH155" s="52">
        <v>0</v>
      </c>
      <c r="BI155" s="52">
        <v>3194093.08</v>
      </c>
      <c r="BJ155" s="52">
        <v>3194093.08</v>
      </c>
      <c r="BK155" s="56">
        <v>43647</v>
      </c>
      <c r="BL155" s="57">
        <v>3194093.08</v>
      </c>
      <c r="BM155" s="47">
        <v>0</v>
      </c>
      <c r="BN155" s="9"/>
      <c r="BO155" s="9"/>
      <c r="BP155" s="9"/>
      <c r="BQ155" s="9"/>
      <c r="BR155" s="9"/>
      <c r="BS155" s="9"/>
      <c r="BT155" s="9"/>
      <c r="BU155" s="9"/>
      <c r="BV155" s="9"/>
      <c r="BW155" s="9"/>
    </row>
    <row r="156" spans="1:75" ht="64.5" hidden="1" outlineLevel="2" x14ac:dyDescent="0.25">
      <c r="A156" s="43" t="s">
        <v>247</v>
      </c>
      <c r="B156" s="110" t="s">
        <v>247</v>
      </c>
      <c r="C156" s="45">
        <v>2019</v>
      </c>
      <c r="D156" s="46" t="s">
        <v>86</v>
      </c>
      <c r="E156" s="47">
        <v>0</v>
      </c>
      <c r="F156" s="47">
        <v>0</v>
      </c>
      <c r="G156" s="47">
        <v>0</v>
      </c>
      <c r="H156" s="47">
        <v>0</v>
      </c>
      <c r="I156" s="47">
        <v>0</v>
      </c>
      <c r="J156" s="47">
        <v>0</v>
      </c>
      <c r="K156" s="47">
        <v>0</v>
      </c>
      <c r="L156" s="47">
        <v>0</v>
      </c>
      <c r="M156" s="47">
        <v>0</v>
      </c>
      <c r="N156" s="47">
        <v>0</v>
      </c>
      <c r="O156" s="47">
        <v>0</v>
      </c>
      <c r="P156" s="47">
        <v>4195029.5199999996</v>
      </c>
      <c r="Q156" s="47">
        <v>0</v>
      </c>
      <c r="R156" s="47">
        <v>0</v>
      </c>
      <c r="S156" s="47">
        <v>0</v>
      </c>
      <c r="T156" s="47">
        <v>0</v>
      </c>
      <c r="U156" s="47">
        <v>0</v>
      </c>
      <c r="V156" s="47">
        <v>0</v>
      </c>
      <c r="W156" s="47">
        <v>0</v>
      </c>
      <c r="X156" s="47">
        <v>0</v>
      </c>
      <c r="Y156" s="48">
        <v>4195029.5199999996</v>
      </c>
      <c r="Z156" s="58">
        <v>987272.98</v>
      </c>
      <c r="AA156" s="50">
        <v>949917.78</v>
      </c>
      <c r="AB156" s="50">
        <v>47371.26</v>
      </c>
      <c r="AC156" s="50">
        <v>0</v>
      </c>
      <c r="AD156" s="50">
        <v>5538.56</v>
      </c>
      <c r="AE156" s="50">
        <v>0</v>
      </c>
      <c r="AF156" s="50">
        <v>0</v>
      </c>
      <c r="AG156" s="49">
        <v>1002827.6</v>
      </c>
      <c r="AH156" s="51" t="s">
        <v>265</v>
      </c>
      <c r="AI156" s="51" t="s">
        <v>266</v>
      </c>
      <c r="AJ156" s="51" t="s">
        <v>74</v>
      </c>
      <c r="AK156" s="51" t="s">
        <v>143</v>
      </c>
      <c r="AL156" s="51" t="s">
        <v>74</v>
      </c>
      <c r="AM156" s="51" t="s">
        <v>74</v>
      </c>
      <c r="AN156" s="52">
        <v>0</v>
      </c>
      <c r="AO156" s="52">
        <v>0</v>
      </c>
      <c r="AP156" s="52">
        <v>0</v>
      </c>
      <c r="AQ156" s="52">
        <v>0</v>
      </c>
      <c r="AR156" s="52">
        <v>0</v>
      </c>
      <c r="AS156" s="52">
        <v>0</v>
      </c>
      <c r="AT156" s="53" t="s">
        <v>74</v>
      </c>
      <c r="AU156" s="52">
        <v>0</v>
      </c>
      <c r="AV156" s="52"/>
      <c r="AW156" s="52">
        <v>0</v>
      </c>
      <c r="AX156" s="52"/>
      <c r="AY156" s="52"/>
      <c r="AZ156" s="52">
        <v>0</v>
      </c>
      <c r="BA156" s="52">
        <v>0</v>
      </c>
      <c r="BB156" s="54" t="s">
        <v>74</v>
      </c>
      <c r="BC156" s="53" t="s">
        <v>74</v>
      </c>
      <c r="BD156" s="55" t="s">
        <v>74</v>
      </c>
      <c r="BE156" s="55" t="s">
        <v>74</v>
      </c>
      <c r="BF156" s="55" t="s">
        <v>74</v>
      </c>
      <c r="BG156" s="55" t="s">
        <v>74</v>
      </c>
      <c r="BH156" s="52">
        <v>0</v>
      </c>
      <c r="BI156" s="52">
        <v>3192201.92</v>
      </c>
      <c r="BJ156" s="52">
        <v>3192201.92</v>
      </c>
      <c r="BK156" s="56">
        <v>43678</v>
      </c>
      <c r="BL156" s="57">
        <v>3192201.92</v>
      </c>
      <c r="BM156" s="47">
        <v>0</v>
      </c>
      <c r="BN156" s="9"/>
      <c r="BO156" s="9"/>
      <c r="BP156" s="9"/>
      <c r="BQ156" s="9"/>
      <c r="BR156" s="9"/>
      <c r="BS156" s="9"/>
      <c r="BT156" s="9"/>
      <c r="BU156" s="9"/>
      <c r="BV156" s="9"/>
      <c r="BW156" s="9"/>
    </row>
    <row r="157" spans="1:75" ht="64.5" hidden="1" outlineLevel="2" x14ac:dyDescent="0.25">
      <c r="A157" s="43" t="s">
        <v>247</v>
      </c>
      <c r="B157" s="110" t="s">
        <v>247</v>
      </c>
      <c r="C157" s="45">
        <v>2019</v>
      </c>
      <c r="D157" s="46" t="s">
        <v>88</v>
      </c>
      <c r="E157" s="47">
        <v>0</v>
      </c>
      <c r="F157" s="47">
        <v>0</v>
      </c>
      <c r="G157" s="47">
        <v>0</v>
      </c>
      <c r="H157" s="47">
        <v>0</v>
      </c>
      <c r="I157" s="47">
        <v>0</v>
      </c>
      <c r="J157" s="47">
        <v>0</v>
      </c>
      <c r="K157" s="47">
        <v>0</v>
      </c>
      <c r="L157" s="47">
        <v>0</v>
      </c>
      <c r="M157" s="47">
        <v>0</v>
      </c>
      <c r="N157" s="47">
        <v>0</v>
      </c>
      <c r="O157" s="47">
        <v>0</v>
      </c>
      <c r="P157" s="47">
        <v>4195029.5199999996</v>
      </c>
      <c r="Q157" s="47">
        <v>0</v>
      </c>
      <c r="R157" s="47">
        <v>0</v>
      </c>
      <c r="S157" s="47">
        <v>0</v>
      </c>
      <c r="T157" s="47">
        <v>0</v>
      </c>
      <c r="U157" s="47">
        <v>0</v>
      </c>
      <c r="V157" s="47">
        <v>0</v>
      </c>
      <c r="W157" s="47">
        <v>0</v>
      </c>
      <c r="X157" s="47">
        <v>0</v>
      </c>
      <c r="Y157" s="48">
        <v>4195029.5199999996</v>
      </c>
      <c r="Z157" s="58">
        <v>963298.63</v>
      </c>
      <c r="AA157" s="50">
        <v>963298.63</v>
      </c>
      <c r="AB157" s="50">
        <v>37355.199999999997</v>
      </c>
      <c r="AC157" s="50">
        <v>0</v>
      </c>
      <c r="AD157" s="50">
        <v>11458.94</v>
      </c>
      <c r="AE157" s="50">
        <v>0</v>
      </c>
      <c r="AF157" s="50">
        <v>0</v>
      </c>
      <c r="AG157" s="49">
        <v>1012112.77</v>
      </c>
      <c r="AH157" s="51" t="s">
        <v>104</v>
      </c>
      <c r="AI157" s="51" t="s">
        <v>267</v>
      </c>
      <c r="AJ157" s="51" t="s">
        <v>74</v>
      </c>
      <c r="AK157" s="51" t="s">
        <v>268</v>
      </c>
      <c r="AL157" s="51" t="s">
        <v>74</v>
      </c>
      <c r="AM157" s="51" t="s">
        <v>74</v>
      </c>
      <c r="AN157" s="52">
        <v>0</v>
      </c>
      <c r="AO157" s="52">
        <v>0</v>
      </c>
      <c r="AP157" s="52">
        <v>0</v>
      </c>
      <c r="AQ157" s="52">
        <v>0</v>
      </c>
      <c r="AR157" s="52">
        <v>0</v>
      </c>
      <c r="AS157" s="52">
        <v>0</v>
      </c>
      <c r="AT157" s="53" t="s">
        <v>74</v>
      </c>
      <c r="AU157" s="52">
        <v>0</v>
      </c>
      <c r="AV157" s="52"/>
      <c r="AW157" s="52">
        <v>0</v>
      </c>
      <c r="AX157" s="52"/>
      <c r="AY157" s="52"/>
      <c r="AZ157" s="52">
        <v>0</v>
      </c>
      <c r="BA157" s="52">
        <v>0</v>
      </c>
      <c r="BB157" s="54" t="s">
        <v>74</v>
      </c>
      <c r="BC157" s="53" t="s">
        <v>74</v>
      </c>
      <c r="BD157" s="55" t="s">
        <v>74</v>
      </c>
      <c r="BE157" s="55" t="s">
        <v>74</v>
      </c>
      <c r="BF157" s="55" t="s">
        <v>74</v>
      </c>
      <c r="BG157" s="55" t="s">
        <v>74</v>
      </c>
      <c r="BH157" s="52">
        <v>0</v>
      </c>
      <c r="BI157" s="52">
        <v>3182916.75</v>
      </c>
      <c r="BJ157" s="52">
        <v>3182916.75</v>
      </c>
      <c r="BK157" s="56">
        <v>43709</v>
      </c>
      <c r="BL157" s="57">
        <v>3182916.75</v>
      </c>
      <c r="BM157" s="47">
        <v>0</v>
      </c>
      <c r="BN157" s="9"/>
      <c r="BO157" s="9"/>
      <c r="BP157" s="9"/>
      <c r="BQ157" s="9"/>
      <c r="BR157" s="9"/>
      <c r="BS157" s="9"/>
      <c r="BT157" s="9"/>
      <c r="BU157" s="9"/>
      <c r="BV157" s="9"/>
      <c r="BW157" s="9"/>
    </row>
    <row r="158" spans="1:75" ht="26.25" hidden="1" outlineLevel="2" x14ac:dyDescent="0.25">
      <c r="A158" s="43" t="s">
        <v>247</v>
      </c>
      <c r="B158" s="110" t="s">
        <v>247</v>
      </c>
      <c r="C158" s="45">
        <v>2019</v>
      </c>
      <c r="D158" s="46" t="s">
        <v>89</v>
      </c>
      <c r="E158" s="47">
        <v>0</v>
      </c>
      <c r="F158" s="47">
        <v>0</v>
      </c>
      <c r="G158" s="47">
        <v>0</v>
      </c>
      <c r="H158" s="47">
        <v>0</v>
      </c>
      <c r="I158" s="47">
        <v>0</v>
      </c>
      <c r="J158" s="47">
        <v>0</v>
      </c>
      <c r="K158" s="47">
        <v>0</v>
      </c>
      <c r="L158" s="47">
        <v>0</v>
      </c>
      <c r="M158" s="47">
        <v>0</v>
      </c>
      <c r="N158" s="47">
        <v>0</v>
      </c>
      <c r="O158" s="47">
        <v>0</v>
      </c>
      <c r="P158" s="47">
        <v>4195029.5199999996</v>
      </c>
      <c r="Q158" s="47">
        <v>0</v>
      </c>
      <c r="R158" s="47">
        <v>0</v>
      </c>
      <c r="S158" s="47">
        <v>0</v>
      </c>
      <c r="T158" s="47">
        <v>0</v>
      </c>
      <c r="U158" s="47">
        <v>0</v>
      </c>
      <c r="V158" s="47">
        <v>0</v>
      </c>
      <c r="W158" s="47">
        <v>0</v>
      </c>
      <c r="X158" s="47">
        <v>0</v>
      </c>
      <c r="Y158" s="48">
        <v>4195029.5199999996</v>
      </c>
      <c r="Z158" s="58">
        <v>948959.86</v>
      </c>
      <c r="AA158" s="50">
        <v>948959.86</v>
      </c>
      <c r="AB158" s="50">
        <v>0</v>
      </c>
      <c r="AC158" s="50">
        <v>0</v>
      </c>
      <c r="AD158" s="50">
        <v>0</v>
      </c>
      <c r="AE158" s="50">
        <v>0</v>
      </c>
      <c r="AF158" s="50">
        <v>0</v>
      </c>
      <c r="AG158" s="49">
        <v>948959.86</v>
      </c>
      <c r="AH158" s="51" t="s">
        <v>104</v>
      </c>
      <c r="AI158" s="51" t="s">
        <v>74</v>
      </c>
      <c r="AJ158" s="51" t="s">
        <v>74</v>
      </c>
      <c r="AK158" s="51" t="s">
        <v>74</v>
      </c>
      <c r="AL158" s="51" t="s">
        <v>74</v>
      </c>
      <c r="AM158" s="51" t="s">
        <v>74</v>
      </c>
      <c r="AN158" s="52">
        <v>0</v>
      </c>
      <c r="AO158" s="52">
        <v>0</v>
      </c>
      <c r="AP158" s="52">
        <v>0</v>
      </c>
      <c r="AQ158" s="52">
        <v>0</v>
      </c>
      <c r="AR158" s="52">
        <v>0</v>
      </c>
      <c r="AS158" s="52">
        <v>0</v>
      </c>
      <c r="AT158" s="53" t="s">
        <v>74</v>
      </c>
      <c r="AU158" s="52">
        <v>0</v>
      </c>
      <c r="AV158" s="52"/>
      <c r="AW158" s="52">
        <v>0</v>
      </c>
      <c r="AX158" s="52"/>
      <c r="AY158" s="52"/>
      <c r="AZ158" s="52">
        <v>0</v>
      </c>
      <c r="BA158" s="52">
        <v>0</v>
      </c>
      <c r="BB158" s="54" t="s">
        <v>74</v>
      </c>
      <c r="BC158" s="53" t="s">
        <v>74</v>
      </c>
      <c r="BD158" s="55" t="s">
        <v>74</v>
      </c>
      <c r="BE158" s="55" t="s">
        <v>74</v>
      </c>
      <c r="BF158" s="55" t="s">
        <v>74</v>
      </c>
      <c r="BG158" s="55" t="s">
        <v>74</v>
      </c>
      <c r="BH158" s="52">
        <v>0</v>
      </c>
      <c r="BI158" s="52">
        <v>3246069.66</v>
      </c>
      <c r="BJ158" s="52">
        <v>3246069.66</v>
      </c>
      <c r="BK158" s="56">
        <v>43739</v>
      </c>
      <c r="BL158" s="57">
        <v>3246069.66</v>
      </c>
      <c r="BM158" s="47">
        <v>0</v>
      </c>
      <c r="BN158" s="9"/>
      <c r="BO158" s="9"/>
      <c r="BP158" s="9"/>
      <c r="BQ158" s="9"/>
      <c r="BR158" s="9"/>
      <c r="BS158" s="9"/>
      <c r="BT158" s="9"/>
      <c r="BU158" s="9"/>
      <c r="BV158" s="9"/>
      <c r="BW158" s="9"/>
    </row>
    <row r="159" spans="1:75" ht="64.5" hidden="1" outlineLevel="2" x14ac:dyDescent="0.25">
      <c r="A159" s="43" t="s">
        <v>247</v>
      </c>
      <c r="B159" s="110" t="s">
        <v>247</v>
      </c>
      <c r="C159" s="45">
        <v>2019</v>
      </c>
      <c r="D159" s="46" t="s">
        <v>90</v>
      </c>
      <c r="E159" s="47">
        <v>0</v>
      </c>
      <c r="F159" s="47">
        <v>0</v>
      </c>
      <c r="G159" s="47">
        <v>0</v>
      </c>
      <c r="H159" s="47">
        <v>0</v>
      </c>
      <c r="I159" s="47">
        <v>0</v>
      </c>
      <c r="J159" s="47">
        <v>0</v>
      </c>
      <c r="K159" s="47">
        <v>0</v>
      </c>
      <c r="L159" s="47">
        <v>0</v>
      </c>
      <c r="M159" s="47">
        <v>0</v>
      </c>
      <c r="N159" s="47">
        <v>0</v>
      </c>
      <c r="O159" s="47">
        <v>0</v>
      </c>
      <c r="P159" s="47">
        <v>4195029.5199999996</v>
      </c>
      <c r="Q159" s="47">
        <v>0</v>
      </c>
      <c r="R159" s="47">
        <v>0</v>
      </c>
      <c r="S159" s="47">
        <v>0</v>
      </c>
      <c r="T159" s="47">
        <v>0</v>
      </c>
      <c r="U159" s="47">
        <v>0</v>
      </c>
      <c r="V159" s="47">
        <v>0</v>
      </c>
      <c r="W159" s="47">
        <v>0</v>
      </c>
      <c r="X159" s="47">
        <v>0</v>
      </c>
      <c r="Y159" s="48">
        <v>4195029.5199999996</v>
      </c>
      <c r="Z159" s="58">
        <v>990024.13</v>
      </c>
      <c r="AA159" s="50">
        <v>949917.78</v>
      </c>
      <c r="AB159" s="50">
        <v>0</v>
      </c>
      <c r="AC159" s="50">
        <v>0</v>
      </c>
      <c r="AD159" s="50">
        <v>7601.71</v>
      </c>
      <c r="AE159" s="50">
        <v>0</v>
      </c>
      <c r="AF159" s="50">
        <v>0</v>
      </c>
      <c r="AG159" s="49">
        <v>957519.49</v>
      </c>
      <c r="AH159" s="51" t="s">
        <v>269</v>
      </c>
      <c r="AI159" s="51" t="s">
        <v>74</v>
      </c>
      <c r="AJ159" s="51" t="s">
        <v>74</v>
      </c>
      <c r="AK159" s="51" t="s">
        <v>212</v>
      </c>
      <c r="AL159" s="51" t="s">
        <v>74</v>
      </c>
      <c r="AM159" s="51" t="s">
        <v>74</v>
      </c>
      <c r="AN159" s="52">
        <v>0</v>
      </c>
      <c r="AO159" s="52">
        <v>0</v>
      </c>
      <c r="AP159" s="52">
        <v>0</v>
      </c>
      <c r="AQ159" s="52">
        <v>0</v>
      </c>
      <c r="AR159" s="52">
        <v>0</v>
      </c>
      <c r="AS159" s="52">
        <v>0</v>
      </c>
      <c r="AT159" s="53" t="s">
        <v>74</v>
      </c>
      <c r="AU159" s="52">
        <v>0</v>
      </c>
      <c r="AV159" s="52"/>
      <c r="AW159" s="52">
        <v>0</v>
      </c>
      <c r="AX159" s="52"/>
      <c r="AY159" s="52"/>
      <c r="AZ159" s="52">
        <v>0</v>
      </c>
      <c r="BA159" s="52">
        <v>0</v>
      </c>
      <c r="BB159" s="54" t="s">
        <v>74</v>
      </c>
      <c r="BC159" s="53" t="s">
        <v>74</v>
      </c>
      <c r="BD159" s="55" t="s">
        <v>74</v>
      </c>
      <c r="BE159" s="55" t="s">
        <v>74</v>
      </c>
      <c r="BF159" s="55" t="s">
        <v>74</v>
      </c>
      <c r="BG159" s="55" t="s">
        <v>74</v>
      </c>
      <c r="BH159" s="52">
        <v>0</v>
      </c>
      <c r="BI159" s="52">
        <v>3237510.03</v>
      </c>
      <c r="BJ159" s="52">
        <v>3237510.03</v>
      </c>
      <c r="BK159" s="56">
        <v>43770</v>
      </c>
      <c r="BL159" s="57">
        <v>3237510.03</v>
      </c>
      <c r="BM159" s="47">
        <v>0</v>
      </c>
      <c r="BN159" s="9"/>
      <c r="BO159" s="9"/>
      <c r="BP159" s="9"/>
      <c r="BQ159" s="9"/>
      <c r="BR159" s="9"/>
      <c r="BS159" s="9"/>
      <c r="BT159" s="9"/>
      <c r="BU159" s="9"/>
      <c r="BV159" s="9"/>
      <c r="BW159" s="9"/>
    </row>
    <row r="160" spans="1:75" ht="64.5" hidden="1" outlineLevel="2" x14ac:dyDescent="0.25">
      <c r="A160" s="43" t="s">
        <v>247</v>
      </c>
      <c r="B160" s="110" t="s">
        <v>247</v>
      </c>
      <c r="C160" s="45">
        <v>2019</v>
      </c>
      <c r="D160" s="46" t="s">
        <v>93</v>
      </c>
      <c r="E160" s="47">
        <v>0</v>
      </c>
      <c r="F160" s="47">
        <v>0</v>
      </c>
      <c r="G160" s="47">
        <v>0</v>
      </c>
      <c r="H160" s="47">
        <v>0</v>
      </c>
      <c r="I160" s="47">
        <v>0</v>
      </c>
      <c r="J160" s="47">
        <v>0</v>
      </c>
      <c r="K160" s="47">
        <v>0</v>
      </c>
      <c r="L160" s="47">
        <v>0</v>
      </c>
      <c r="M160" s="47">
        <v>0</v>
      </c>
      <c r="N160" s="47">
        <v>0</v>
      </c>
      <c r="O160" s="47">
        <v>0</v>
      </c>
      <c r="P160" s="47">
        <v>4195029.5199999996</v>
      </c>
      <c r="Q160" s="47">
        <v>0</v>
      </c>
      <c r="R160" s="47">
        <v>0</v>
      </c>
      <c r="S160" s="47">
        <v>0</v>
      </c>
      <c r="T160" s="47">
        <v>0</v>
      </c>
      <c r="U160" s="47">
        <v>0</v>
      </c>
      <c r="V160" s="47">
        <v>0</v>
      </c>
      <c r="W160" s="47">
        <v>0</v>
      </c>
      <c r="X160" s="47">
        <v>0</v>
      </c>
      <c r="Y160" s="48">
        <v>4195029.5199999996</v>
      </c>
      <c r="Z160" s="58">
        <v>929370.1</v>
      </c>
      <c r="AA160" s="50">
        <v>929370.1</v>
      </c>
      <c r="AB160" s="50">
        <v>40106.35</v>
      </c>
      <c r="AC160" s="50">
        <v>0</v>
      </c>
      <c r="AD160" s="50">
        <v>13221.78</v>
      </c>
      <c r="AE160" s="50">
        <v>0</v>
      </c>
      <c r="AF160" s="50">
        <v>0</v>
      </c>
      <c r="AG160" s="49">
        <v>982698.23</v>
      </c>
      <c r="AH160" s="51" t="s">
        <v>104</v>
      </c>
      <c r="AI160" s="51" t="s">
        <v>270</v>
      </c>
      <c r="AJ160" s="51" t="s">
        <v>74</v>
      </c>
      <c r="AK160" s="51" t="s">
        <v>271</v>
      </c>
      <c r="AL160" s="51" t="s">
        <v>74</v>
      </c>
      <c r="AM160" s="51" t="s">
        <v>74</v>
      </c>
      <c r="AN160" s="52">
        <v>0</v>
      </c>
      <c r="AO160" s="52">
        <v>0</v>
      </c>
      <c r="AP160" s="52">
        <v>0</v>
      </c>
      <c r="AQ160" s="52">
        <v>0</v>
      </c>
      <c r="AR160" s="52">
        <v>0</v>
      </c>
      <c r="AS160" s="52">
        <v>0</v>
      </c>
      <c r="AT160" s="53" t="s">
        <v>74</v>
      </c>
      <c r="AU160" s="52">
        <v>0</v>
      </c>
      <c r="AV160" s="52"/>
      <c r="AW160" s="52">
        <v>0</v>
      </c>
      <c r="AX160" s="52"/>
      <c r="AY160" s="52"/>
      <c r="AZ160" s="52">
        <v>0</v>
      </c>
      <c r="BA160" s="52">
        <v>0</v>
      </c>
      <c r="BB160" s="54" t="s">
        <v>74</v>
      </c>
      <c r="BC160" s="53" t="s">
        <v>74</v>
      </c>
      <c r="BD160" s="55" t="s">
        <v>74</v>
      </c>
      <c r="BE160" s="55" t="s">
        <v>74</v>
      </c>
      <c r="BF160" s="55" t="s">
        <v>74</v>
      </c>
      <c r="BG160" s="55" t="s">
        <v>74</v>
      </c>
      <c r="BH160" s="52">
        <v>0</v>
      </c>
      <c r="BI160" s="52">
        <v>3212331.29</v>
      </c>
      <c r="BJ160" s="52">
        <v>3212331.29</v>
      </c>
      <c r="BK160" s="56">
        <v>43800</v>
      </c>
      <c r="BL160" s="57">
        <v>3212331.29</v>
      </c>
      <c r="BM160" s="47">
        <v>0</v>
      </c>
      <c r="BN160" s="9"/>
      <c r="BO160" s="9"/>
      <c r="BP160" s="9"/>
      <c r="BQ160" s="9"/>
      <c r="BR160" s="9"/>
      <c r="BS160" s="9"/>
      <c r="BT160" s="9"/>
      <c r="BU160" s="9"/>
      <c r="BV160" s="9"/>
      <c r="BW160" s="9"/>
    </row>
    <row r="161" spans="1:75" ht="128.25" hidden="1" outlineLevel="2" x14ac:dyDescent="0.25">
      <c r="A161" s="71" t="s">
        <v>247</v>
      </c>
      <c r="B161" s="116" t="s">
        <v>247</v>
      </c>
      <c r="C161" s="73">
        <v>2020</v>
      </c>
      <c r="D161" s="74" t="s">
        <v>73</v>
      </c>
      <c r="E161" s="75">
        <v>0</v>
      </c>
      <c r="F161" s="75">
        <v>0</v>
      </c>
      <c r="G161" s="75">
        <v>0</v>
      </c>
      <c r="H161" s="75">
        <v>0</v>
      </c>
      <c r="I161" s="75">
        <v>0</v>
      </c>
      <c r="J161" s="75">
        <v>0</v>
      </c>
      <c r="K161" s="75">
        <v>0</v>
      </c>
      <c r="L161" s="75">
        <v>0</v>
      </c>
      <c r="M161" s="75">
        <v>0</v>
      </c>
      <c r="N161" s="75">
        <v>0</v>
      </c>
      <c r="O161" s="75">
        <v>0</v>
      </c>
      <c r="P161" s="75">
        <v>2656852.0299999998</v>
      </c>
      <c r="Q161" s="75">
        <v>999106.69</v>
      </c>
      <c r="R161" s="75">
        <v>0</v>
      </c>
      <c r="S161" s="75">
        <v>0</v>
      </c>
      <c r="T161" s="75">
        <v>0</v>
      </c>
      <c r="U161" s="75">
        <v>0</v>
      </c>
      <c r="V161" s="75">
        <v>0</v>
      </c>
      <c r="W161" s="75">
        <v>0</v>
      </c>
      <c r="X161" s="75">
        <v>0</v>
      </c>
      <c r="Y161" s="76">
        <v>3655958.72</v>
      </c>
      <c r="Z161" s="115">
        <v>1753823.91</v>
      </c>
      <c r="AA161" s="79">
        <v>1753823.91</v>
      </c>
      <c r="AB161" s="79">
        <v>0</v>
      </c>
      <c r="AC161" s="79">
        <v>0</v>
      </c>
      <c r="AD161" s="79">
        <v>12247.94</v>
      </c>
      <c r="AE161" s="79">
        <v>0</v>
      </c>
      <c r="AF161" s="79">
        <v>0</v>
      </c>
      <c r="AG161" s="80">
        <v>1766071.85</v>
      </c>
      <c r="AH161" s="123" t="s">
        <v>272</v>
      </c>
      <c r="AI161" s="123" t="s">
        <v>74</v>
      </c>
      <c r="AJ161" s="123" t="s">
        <v>74</v>
      </c>
      <c r="AK161" s="123" t="s">
        <v>273</v>
      </c>
      <c r="AL161" s="123" t="s">
        <v>74</v>
      </c>
      <c r="AM161" s="123" t="s">
        <v>74</v>
      </c>
      <c r="AN161" s="82">
        <v>0</v>
      </c>
      <c r="AO161" s="82">
        <v>0</v>
      </c>
      <c r="AP161" s="82">
        <v>0</v>
      </c>
      <c r="AQ161" s="82">
        <v>0</v>
      </c>
      <c r="AR161" s="82">
        <v>0</v>
      </c>
      <c r="AS161" s="82">
        <v>0</v>
      </c>
      <c r="AT161" s="124" t="s">
        <v>74</v>
      </c>
      <c r="AU161" s="82">
        <v>0</v>
      </c>
      <c r="AV161" s="82"/>
      <c r="AW161" s="82">
        <v>0</v>
      </c>
      <c r="AX161" s="82"/>
      <c r="AY161" s="82"/>
      <c r="AZ161" s="82">
        <v>0</v>
      </c>
      <c r="BA161" s="82">
        <v>0</v>
      </c>
      <c r="BB161" s="125" t="s">
        <v>74</v>
      </c>
      <c r="BC161" s="124" t="s">
        <v>74</v>
      </c>
      <c r="BD161" s="126" t="s">
        <v>74</v>
      </c>
      <c r="BE161" s="126" t="s">
        <v>74</v>
      </c>
      <c r="BF161" s="126" t="s">
        <v>74</v>
      </c>
      <c r="BG161" s="126" t="s">
        <v>74</v>
      </c>
      <c r="BH161" s="82">
        <v>0</v>
      </c>
      <c r="BI161" s="82">
        <v>1889886.87</v>
      </c>
      <c r="BJ161" s="52">
        <v>1889886.87</v>
      </c>
      <c r="BK161" s="56">
        <v>43831</v>
      </c>
      <c r="BL161" s="127">
        <v>1889886.87</v>
      </c>
      <c r="BM161" s="75">
        <v>0</v>
      </c>
      <c r="BN161" s="9"/>
      <c r="BO161" s="9"/>
      <c r="BP161" s="9"/>
      <c r="BQ161" s="9"/>
      <c r="BR161" s="9"/>
      <c r="BS161" s="9"/>
      <c r="BT161" s="9"/>
      <c r="BU161" s="9"/>
      <c r="BV161" s="9"/>
      <c r="BW161" s="9"/>
    </row>
    <row r="162" spans="1:75" hidden="1" outlineLevel="1" collapsed="1" x14ac:dyDescent="0.25">
      <c r="A162" s="84"/>
      <c r="B162" s="120" t="s">
        <v>274</v>
      </c>
      <c r="C162" s="86"/>
      <c r="D162" s="87"/>
      <c r="E162" s="88"/>
      <c r="F162" s="88"/>
      <c r="G162" s="88"/>
      <c r="H162" s="88"/>
      <c r="I162" s="88"/>
      <c r="J162" s="88"/>
      <c r="K162" s="88"/>
      <c r="L162" s="88"/>
      <c r="M162" s="88"/>
      <c r="N162" s="88"/>
      <c r="O162" s="88"/>
      <c r="P162" s="88"/>
      <c r="Q162" s="88"/>
      <c r="R162" s="88"/>
      <c r="S162" s="88"/>
      <c r="T162" s="88"/>
      <c r="U162" s="88"/>
      <c r="V162" s="88"/>
      <c r="W162" s="88"/>
      <c r="X162" s="88"/>
      <c r="Y162" s="89">
        <f t="shared" ref="Y162:AG162" si="14">SUBTOTAL(9,Y125:Y161)</f>
        <v>0</v>
      </c>
      <c r="Z162" s="128">
        <f t="shared" si="14"/>
        <v>0</v>
      </c>
      <c r="AA162" s="89">
        <f t="shared" si="14"/>
        <v>0</v>
      </c>
      <c r="AB162" s="89">
        <f t="shared" si="14"/>
        <v>0</v>
      </c>
      <c r="AC162" s="89">
        <f t="shared" si="14"/>
        <v>0</v>
      </c>
      <c r="AD162" s="89">
        <f t="shared" si="14"/>
        <v>0</v>
      </c>
      <c r="AE162" s="89">
        <f t="shared" si="14"/>
        <v>0</v>
      </c>
      <c r="AF162" s="89">
        <f t="shared" si="14"/>
        <v>0</v>
      </c>
      <c r="AG162" s="89">
        <f t="shared" si="14"/>
        <v>0</v>
      </c>
      <c r="AH162" s="129"/>
      <c r="AI162" s="129"/>
      <c r="AJ162" s="129"/>
      <c r="AK162" s="129"/>
      <c r="AL162" s="129"/>
      <c r="AM162" s="129"/>
      <c r="AN162" s="92">
        <f t="shared" ref="AN162:AS162" si="15">SUBTOTAL(9,AN125:AN161)</f>
        <v>0</v>
      </c>
      <c r="AO162" s="92">
        <f t="shared" si="15"/>
        <v>0</v>
      </c>
      <c r="AP162" s="92">
        <f t="shared" si="15"/>
        <v>0</v>
      </c>
      <c r="AQ162" s="92">
        <f t="shared" si="15"/>
        <v>0</v>
      </c>
      <c r="AR162" s="92">
        <f t="shared" si="15"/>
        <v>0</v>
      </c>
      <c r="AS162" s="92">
        <f t="shared" si="15"/>
        <v>0</v>
      </c>
      <c r="AT162" s="130"/>
      <c r="AU162" s="92">
        <f t="shared" ref="AU162:BA162" si="16">SUBTOTAL(9,AU125:AU161)</f>
        <v>0</v>
      </c>
      <c r="AV162" s="92">
        <f t="shared" si="16"/>
        <v>0</v>
      </c>
      <c r="AW162" s="92">
        <f t="shared" si="16"/>
        <v>0</v>
      </c>
      <c r="AX162" s="92">
        <f t="shared" si="16"/>
        <v>0</v>
      </c>
      <c r="AY162" s="92">
        <f t="shared" si="16"/>
        <v>0</v>
      </c>
      <c r="AZ162" s="92">
        <f t="shared" si="16"/>
        <v>0</v>
      </c>
      <c r="BA162" s="92">
        <f t="shared" si="16"/>
        <v>0</v>
      </c>
      <c r="BB162" s="131"/>
      <c r="BC162" s="130"/>
      <c r="BD162" s="132"/>
      <c r="BE162" s="132"/>
      <c r="BF162" s="132"/>
      <c r="BG162" s="132"/>
      <c r="BH162" s="92">
        <f>SUBTOTAL(9,BH125:BH161)</f>
        <v>0</v>
      </c>
      <c r="BI162" s="92">
        <f>SUBTOTAL(9,BI125:BI161)</f>
        <v>0</v>
      </c>
      <c r="BJ162" s="93"/>
      <c r="BK162" s="94"/>
      <c r="BL162" s="88">
        <f>SUBTOTAL(9,BL125:BL161)</f>
        <v>0</v>
      </c>
      <c r="BM162" s="88">
        <f>SUBTOTAL(9,BM125:BM161)</f>
        <v>0</v>
      </c>
      <c r="BN162" s="9"/>
      <c r="BO162" s="9"/>
      <c r="BP162" s="9"/>
      <c r="BQ162" s="9"/>
      <c r="BR162" s="9"/>
      <c r="BS162" s="9"/>
      <c r="BT162" s="9"/>
      <c r="BU162" s="9"/>
      <c r="BV162" s="9"/>
      <c r="BW162" s="9"/>
    </row>
    <row r="163" spans="1:75" ht="179.25" hidden="1" outlineLevel="2" x14ac:dyDescent="0.25">
      <c r="A163" s="96" t="s">
        <v>275</v>
      </c>
      <c r="B163" s="97" t="s">
        <v>276</v>
      </c>
      <c r="C163" s="98">
        <v>2017</v>
      </c>
      <c r="D163" s="99" t="s">
        <v>73</v>
      </c>
      <c r="E163" s="100">
        <v>0</v>
      </c>
      <c r="F163" s="100">
        <v>0</v>
      </c>
      <c r="G163" s="100">
        <v>0</v>
      </c>
      <c r="H163" s="100">
        <v>0</v>
      </c>
      <c r="I163" s="100">
        <v>0</v>
      </c>
      <c r="J163" s="100">
        <v>0</v>
      </c>
      <c r="K163" s="100">
        <v>0</v>
      </c>
      <c r="L163" s="100">
        <v>0</v>
      </c>
      <c r="M163" s="100">
        <v>0</v>
      </c>
      <c r="N163" s="100">
        <v>0</v>
      </c>
      <c r="O163" s="100">
        <v>8676094.3100000005</v>
      </c>
      <c r="P163" s="100">
        <v>3053492.91</v>
      </c>
      <c r="Q163" s="100">
        <v>0</v>
      </c>
      <c r="R163" s="100">
        <v>0</v>
      </c>
      <c r="S163" s="100">
        <v>0</v>
      </c>
      <c r="T163" s="100">
        <v>0</v>
      </c>
      <c r="U163" s="100">
        <v>0</v>
      </c>
      <c r="V163" s="100">
        <v>0</v>
      </c>
      <c r="W163" s="100">
        <v>0</v>
      </c>
      <c r="X163" s="100">
        <v>0</v>
      </c>
      <c r="Y163" s="101">
        <v>11729587.220000001</v>
      </c>
      <c r="Z163" s="133">
        <v>1565831.77</v>
      </c>
      <c r="AA163" s="103">
        <v>1565831.77</v>
      </c>
      <c r="AB163" s="103">
        <v>0</v>
      </c>
      <c r="AC163" s="103">
        <v>0</v>
      </c>
      <c r="AD163" s="103">
        <v>0</v>
      </c>
      <c r="AE163" s="103">
        <v>0</v>
      </c>
      <c r="AF163" s="103">
        <v>2872987.58</v>
      </c>
      <c r="AG163" s="102">
        <v>4438819.3499999996</v>
      </c>
      <c r="AH163" s="104" t="s">
        <v>104</v>
      </c>
      <c r="AI163" s="104" t="s">
        <v>74</v>
      </c>
      <c r="AJ163" s="104" t="s">
        <v>74</v>
      </c>
      <c r="AK163" s="104" t="s">
        <v>74</v>
      </c>
      <c r="AL163" s="104" t="s">
        <v>74</v>
      </c>
      <c r="AM163" s="104" t="s">
        <v>277</v>
      </c>
      <c r="AN163" s="105">
        <v>0</v>
      </c>
      <c r="AO163" s="105">
        <v>0</v>
      </c>
      <c r="AP163" s="105">
        <v>0</v>
      </c>
      <c r="AQ163" s="105">
        <v>0</v>
      </c>
      <c r="AR163" s="105">
        <v>0</v>
      </c>
      <c r="AS163" s="105">
        <v>0</v>
      </c>
      <c r="AT163" s="106" t="s">
        <v>74</v>
      </c>
      <c r="AU163" s="105">
        <v>0</v>
      </c>
      <c r="AV163" s="105"/>
      <c r="AW163" s="105">
        <v>0</v>
      </c>
      <c r="AX163" s="105"/>
      <c r="AY163" s="105"/>
      <c r="AZ163" s="105">
        <v>0</v>
      </c>
      <c r="BA163" s="105">
        <v>0</v>
      </c>
      <c r="BB163" s="107" t="s">
        <v>74</v>
      </c>
      <c r="BC163" s="106" t="s">
        <v>74</v>
      </c>
      <c r="BD163" s="108" t="s">
        <v>74</v>
      </c>
      <c r="BE163" s="108" t="s">
        <v>74</v>
      </c>
      <c r="BF163" s="108" t="s">
        <v>74</v>
      </c>
      <c r="BG163" s="108" t="s">
        <v>74</v>
      </c>
      <c r="BH163" s="105">
        <v>0</v>
      </c>
      <c r="BI163" s="105">
        <v>7290767.8700000001</v>
      </c>
      <c r="BJ163" s="52">
        <v>7110262.54</v>
      </c>
      <c r="BK163" s="56">
        <v>42736</v>
      </c>
      <c r="BL163" s="109">
        <v>7290767.8700000001</v>
      </c>
      <c r="BM163" s="100">
        <v>0</v>
      </c>
      <c r="BN163" s="9"/>
      <c r="BO163" s="9"/>
      <c r="BP163" s="9"/>
      <c r="BQ163" s="9"/>
      <c r="BR163" s="9"/>
      <c r="BS163" s="9"/>
      <c r="BT163" s="9"/>
      <c r="BU163" s="9"/>
      <c r="BV163" s="9"/>
      <c r="BW163" s="9"/>
    </row>
    <row r="164" spans="1:75" ht="179.25" hidden="1" outlineLevel="2" x14ac:dyDescent="0.25">
      <c r="A164" s="43" t="s">
        <v>275</v>
      </c>
      <c r="B164" s="110" t="s">
        <v>276</v>
      </c>
      <c r="C164" s="45">
        <v>2017</v>
      </c>
      <c r="D164" s="46" t="s">
        <v>75</v>
      </c>
      <c r="E164" s="47">
        <v>0</v>
      </c>
      <c r="F164" s="47">
        <v>0</v>
      </c>
      <c r="G164" s="47">
        <v>0</v>
      </c>
      <c r="H164" s="47">
        <v>0</v>
      </c>
      <c r="I164" s="47">
        <v>0</v>
      </c>
      <c r="J164" s="47">
        <v>0</v>
      </c>
      <c r="K164" s="47">
        <v>0</v>
      </c>
      <c r="L164" s="47">
        <v>0</v>
      </c>
      <c r="M164" s="47">
        <v>0</v>
      </c>
      <c r="N164" s="47">
        <v>0</v>
      </c>
      <c r="O164" s="47">
        <v>8676094.3100000005</v>
      </c>
      <c r="P164" s="47">
        <v>3053492.91</v>
      </c>
      <c r="Q164" s="47">
        <v>0</v>
      </c>
      <c r="R164" s="47">
        <v>0</v>
      </c>
      <c r="S164" s="47">
        <v>0</v>
      </c>
      <c r="T164" s="47">
        <v>0</v>
      </c>
      <c r="U164" s="47">
        <v>0</v>
      </c>
      <c r="V164" s="47">
        <v>0</v>
      </c>
      <c r="W164" s="47">
        <v>0</v>
      </c>
      <c r="X164" s="47">
        <v>0</v>
      </c>
      <c r="Y164" s="48">
        <v>11729587.220000001</v>
      </c>
      <c r="Z164" s="58">
        <v>1445207.82</v>
      </c>
      <c r="AA164" s="50">
        <v>1445207.82</v>
      </c>
      <c r="AB164" s="50">
        <v>0</v>
      </c>
      <c r="AC164" s="50">
        <v>0</v>
      </c>
      <c r="AD164" s="50">
        <v>0</v>
      </c>
      <c r="AE164" s="50">
        <v>0</v>
      </c>
      <c r="AF164" s="50">
        <v>2872987.58</v>
      </c>
      <c r="AG164" s="49">
        <v>4318195.4000000004</v>
      </c>
      <c r="AH164" s="51" t="s">
        <v>104</v>
      </c>
      <c r="AI164" s="51" t="s">
        <v>74</v>
      </c>
      <c r="AJ164" s="51" t="s">
        <v>74</v>
      </c>
      <c r="AK164" s="51" t="s">
        <v>74</v>
      </c>
      <c r="AL164" s="51" t="s">
        <v>74</v>
      </c>
      <c r="AM164" s="51" t="s">
        <v>277</v>
      </c>
      <c r="AN164" s="52">
        <v>0</v>
      </c>
      <c r="AO164" s="52">
        <v>0</v>
      </c>
      <c r="AP164" s="52">
        <v>0</v>
      </c>
      <c r="AQ164" s="52">
        <v>0</v>
      </c>
      <c r="AR164" s="52">
        <v>0</v>
      </c>
      <c r="AS164" s="52">
        <v>0</v>
      </c>
      <c r="AT164" s="53" t="s">
        <v>74</v>
      </c>
      <c r="AU164" s="52">
        <v>0</v>
      </c>
      <c r="AV164" s="52"/>
      <c r="AW164" s="52">
        <v>0</v>
      </c>
      <c r="AX164" s="52"/>
      <c r="AY164" s="52"/>
      <c r="AZ164" s="52">
        <v>0</v>
      </c>
      <c r="BA164" s="52">
        <v>0</v>
      </c>
      <c r="BB164" s="54" t="s">
        <v>74</v>
      </c>
      <c r="BC164" s="53" t="s">
        <v>74</v>
      </c>
      <c r="BD164" s="55" t="s">
        <v>74</v>
      </c>
      <c r="BE164" s="55" t="s">
        <v>74</v>
      </c>
      <c r="BF164" s="55" t="s">
        <v>74</v>
      </c>
      <c r="BG164" s="55" t="s">
        <v>74</v>
      </c>
      <c r="BH164" s="52">
        <v>0</v>
      </c>
      <c r="BI164" s="52">
        <v>7411391.8200000003</v>
      </c>
      <c r="BJ164" s="52">
        <v>7230886.4900000002</v>
      </c>
      <c r="BK164" s="56">
        <v>42767</v>
      </c>
      <c r="BL164" s="57">
        <v>7411391.8200000003</v>
      </c>
      <c r="BM164" s="47">
        <v>0</v>
      </c>
      <c r="BN164" s="9"/>
      <c r="BO164" s="9"/>
      <c r="BP164" s="9"/>
      <c r="BQ164" s="9"/>
      <c r="BR164" s="9"/>
      <c r="BS164" s="9"/>
      <c r="BT164" s="9"/>
      <c r="BU164" s="9"/>
      <c r="BV164" s="9"/>
      <c r="BW164" s="9"/>
    </row>
    <row r="165" spans="1:75" ht="26.25" hidden="1" outlineLevel="2" x14ac:dyDescent="0.25">
      <c r="A165" s="43" t="s">
        <v>275</v>
      </c>
      <c r="B165" s="110" t="s">
        <v>276</v>
      </c>
      <c r="C165" s="45">
        <v>2017</v>
      </c>
      <c r="D165" s="46" t="s">
        <v>77</v>
      </c>
      <c r="E165" s="47">
        <v>0</v>
      </c>
      <c r="F165" s="47">
        <v>0</v>
      </c>
      <c r="G165" s="47">
        <v>0</v>
      </c>
      <c r="H165" s="47">
        <v>0</v>
      </c>
      <c r="I165" s="47">
        <v>0</v>
      </c>
      <c r="J165" s="47">
        <v>0</v>
      </c>
      <c r="K165" s="47">
        <v>0</v>
      </c>
      <c r="L165" s="47">
        <v>0</v>
      </c>
      <c r="M165" s="47">
        <v>0</v>
      </c>
      <c r="N165" s="47">
        <v>0</v>
      </c>
      <c r="O165" s="47">
        <v>3470437.73</v>
      </c>
      <c r="P165" s="47">
        <v>8259149.4900000002</v>
      </c>
      <c r="Q165" s="47">
        <v>0</v>
      </c>
      <c r="R165" s="47">
        <v>0</v>
      </c>
      <c r="S165" s="47">
        <v>0</v>
      </c>
      <c r="T165" s="47">
        <v>0</v>
      </c>
      <c r="U165" s="47">
        <v>0</v>
      </c>
      <c r="V165" s="47">
        <v>0</v>
      </c>
      <c r="W165" s="47">
        <v>0</v>
      </c>
      <c r="X165" s="47">
        <v>0</v>
      </c>
      <c r="Y165" s="48">
        <v>11729587.220000001</v>
      </c>
      <c r="Z165" s="58">
        <v>3636145.74</v>
      </c>
      <c r="AA165" s="50">
        <v>3636145.74</v>
      </c>
      <c r="AB165" s="50">
        <v>0</v>
      </c>
      <c r="AC165" s="50">
        <v>0</v>
      </c>
      <c r="AD165" s="50">
        <v>0</v>
      </c>
      <c r="AE165" s="50">
        <v>0</v>
      </c>
      <c r="AF165" s="50">
        <v>0</v>
      </c>
      <c r="AG165" s="49">
        <v>3636145.74</v>
      </c>
      <c r="AH165" s="51" t="s">
        <v>104</v>
      </c>
      <c r="AI165" s="51" t="s">
        <v>74</v>
      </c>
      <c r="AJ165" s="51" t="s">
        <v>74</v>
      </c>
      <c r="AK165" s="51" t="s">
        <v>74</v>
      </c>
      <c r="AL165" s="51" t="s">
        <v>74</v>
      </c>
      <c r="AM165" s="51" t="s">
        <v>74</v>
      </c>
      <c r="AN165" s="52">
        <v>0</v>
      </c>
      <c r="AO165" s="52">
        <v>0</v>
      </c>
      <c r="AP165" s="52">
        <v>0</v>
      </c>
      <c r="AQ165" s="52">
        <v>0</v>
      </c>
      <c r="AR165" s="52">
        <v>0</v>
      </c>
      <c r="AS165" s="52">
        <v>0</v>
      </c>
      <c r="AT165" s="53" t="s">
        <v>74</v>
      </c>
      <c r="AU165" s="52">
        <v>0</v>
      </c>
      <c r="AV165" s="52"/>
      <c r="AW165" s="52">
        <v>0</v>
      </c>
      <c r="AX165" s="52"/>
      <c r="AY165" s="52"/>
      <c r="AZ165" s="52">
        <v>0</v>
      </c>
      <c r="BA165" s="52">
        <v>0</v>
      </c>
      <c r="BB165" s="54" t="s">
        <v>74</v>
      </c>
      <c r="BC165" s="53" t="s">
        <v>74</v>
      </c>
      <c r="BD165" s="55" t="s">
        <v>74</v>
      </c>
      <c r="BE165" s="55" t="s">
        <v>74</v>
      </c>
      <c r="BF165" s="55" t="s">
        <v>74</v>
      </c>
      <c r="BG165" s="55" t="s">
        <v>74</v>
      </c>
      <c r="BH165" s="52">
        <v>0</v>
      </c>
      <c r="BI165" s="52">
        <v>8093441.4800000004</v>
      </c>
      <c r="BJ165" s="52">
        <v>8093441.4800000004</v>
      </c>
      <c r="BK165" s="56">
        <v>42795</v>
      </c>
      <c r="BL165" s="57">
        <v>8093441.4800000004</v>
      </c>
      <c r="BM165" s="47">
        <v>0</v>
      </c>
      <c r="BN165" s="9"/>
      <c r="BO165" s="9"/>
      <c r="BP165" s="9"/>
      <c r="BQ165" s="9"/>
      <c r="BR165" s="9"/>
      <c r="BS165" s="9"/>
      <c r="BT165" s="9"/>
      <c r="BU165" s="9"/>
      <c r="BV165" s="9"/>
      <c r="BW165" s="9"/>
    </row>
    <row r="166" spans="1:75" ht="128.25" hidden="1" outlineLevel="2" x14ac:dyDescent="0.25">
      <c r="A166" s="43" t="s">
        <v>275</v>
      </c>
      <c r="B166" s="110" t="s">
        <v>276</v>
      </c>
      <c r="C166" s="45">
        <v>2017</v>
      </c>
      <c r="D166" s="46" t="s">
        <v>79</v>
      </c>
      <c r="E166" s="47">
        <v>0</v>
      </c>
      <c r="F166" s="47">
        <v>0</v>
      </c>
      <c r="G166" s="47">
        <v>0</v>
      </c>
      <c r="H166" s="47">
        <v>0</v>
      </c>
      <c r="I166" s="47">
        <v>0</v>
      </c>
      <c r="J166" s="47">
        <v>0</v>
      </c>
      <c r="K166" s="47">
        <v>0</v>
      </c>
      <c r="L166" s="47">
        <v>0</v>
      </c>
      <c r="M166" s="47">
        <v>0</v>
      </c>
      <c r="N166" s="47">
        <v>0</v>
      </c>
      <c r="O166" s="47">
        <v>0</v>
      </c>
      <c r="P166" s="47">
        <v>11729587.220000001</v>
      </c>
      <c r="Q166" s="47">
        <v>0</v>
      </c>
      <c r="R166" s="47">
        <v>0</v>
      </c>
      <c r="S166" s="47">
        <v>0</v>
      </c>
      <c r="T166" s="47">
        <v>0</v>
      </c>
      <c r="U166" s="47">
        <v>0</v>
      </c>
      <c r="V166" s="47">
        <v>0</v>
      </c>
      <c r="W166" s="47">
        <v>0</v>
      </c>
      <c r="X166" s="47">
        <v>0</v>
      </c>
      <c r="Y166" s="48">
        <v>11729587.220000001</v>
      </c>
      <c r="Z166" s="58">
        <v>3636145.74</v>
      </c>
      <c r="AA166" s="50">
        <v>3636145.74</v>
      </c>
      <c r="AB166" s="50">
        <v>0</v>
      </c>
      <c r="AC166" s="50">
        <v>0</v>
      </c>
      <c r="AD166" s="50">
        <v>0</v>
      </c>
      <c r="AE166" s="50">
        <v>0</v>
      </c>
      <c r="AF166" s="50">
        <v>0</v>
      </c>
      <c r="AG166" s="49">
        <v>3636145.74</v>
      </c>
      <c r="AH166" s="51" t="s">
        <v>278</v>
      </c>
      <c r="AI166" s="51" t="s">
        <v>74</v>
      </c>
      <c r="AJ166" s="51" t="s">
        <v>74</v>
      </c>
      <c r="AK166" s="51" t="s">
        <v>74</v>
      </c>
      <c r="AL166" s="51" t="s">
        <v>74</v>
      </c>
      <c r="AM166" s="51" t="s">
        <v>74</v>
      </c>
      <c r="AN166" s="52">
        <v>0</v>
      </c>
      <c r="AO166" s="52">
        <v>0</v>
      </c>
      <c r="AP166" s="52">
        <v>0</v>
      </c>
      <c r="AQ166" s="52">
        <v>0</v>
      </c>
      <c r="AR166" s="52">
        <v>0</v>
      </c>
      <c r="AS166" s="52">
        <v>0</v>
      </c>
      <c r="AT166" s="53" t="s">
        <v>74</v>
      </c>
      <c r="AU166" s="52">
        <v>0</v>
      </c>
      <c r="AV166" s="52"/>
      <c r="AW166" s="52">
        <v>0</v>
      </c>
      <c r="AX166" s="52"/>
      <c r="AY166" s="52"/>
      <c r="AZ166" s="52">
        <v>0</v>
      </c>
      <c r="BA166" s="52">
        <v>0</v>
      </c>
      <c r="BB166" s="54" t="s">
        <v>74</v>
      </c>
      <c r="BC166" s="53" t="s">
        <v>74</v>
      </c>
      <c r="BD166" s="55" t="s">
        <v>74</v>
      </c>
      <c r="BE166" s="55" t="s">
        <v>74</v>
      </c>
      <c r="BF166" s="55" t="s">
        <v>74</v>
      </c>
      <c r="BG166" s="55" t="s">
        <v>74</v>
      </c>
      <c r="BH166" s="52">
        <v>0</v>
      </c>
      <c r="BI166" s="52">
        <v>8093441.4800000004</v>
      </c>
      <c r="BJ166" s="52">
        <v>8093441.4800000004</v>
      </c>
      <c r="BK166" s="56">
        <v>42826</v>
      </c>
      <c r="BL166" s="57">
        <v>8093441.4800000004</v>
      </c>
      <c r="BM166" s="47">
        <v>0</v>
      </c>
      <c r="BN166" s="9"/>
      <c r="BO166" s="9"/>
      <c r="BP166" s="9"/>
      <c r="BQ166" s="9"/>
      <c r="BR166" s="9"/>
      <c r="BS166" s="9"/>
      <c r="BT166" s="9"/>
      <c r="BU166" s="9"/>
      <c r="BV166" s="9"/>
      <c r="BW166" s="9"/>
    </row>
    <row r="167" spans="1:75" ht="128.25" hidden="1" outlineLevel="2" x14ac:dyDescent="0.25">
      <c r="A167" s="43" t="s">
        <v>275</v>
      </c>
      <c r="B167" s="110" t="s">
        <v>276</v>
      </c>
      <c r="C167" s="45">
        <v>2017</v>
      </c>
      <c r="D167" s="46" t="s">
        <v>81</v>
      </c>
      <c r="E167" s="47">
        <v>0</v>
      </c>
      <c r="F167" s="47">
        <v>0</v>
      </c>
      <c r="G167" s="47">
        <v>0</v>
      </c>
      <c r="H167" s="47">
        <v>0</v>
      </c>
      <c r="I167" s="47">
        <v>0</v>
      </c>
      <c r="J167" s="47">
        <v>0</v>
      </c>
      <c r="K167" s="47">
        <v>0</v>
      </c>
      <c r="L167" s="47">
        <v>0</v>
      </c>
      <c r="M167" s="47">
        <v>0</v>
      </c>
      <c r="N167" s="47">
        <v>0</v>
      </c>
      <c r="O167" s="47">
        <v>0</v>
      </c>
      <c r="P167" s="47">
        <v>11729587.220000001</v>
      </c>
      <c r="Q167" s="47">
        <v>0</v>
      </c>
      <c r="R167" s="47">
        <v>0</v>
      </c>
      <c r="S167" s="47">
        <v>0</v>
      </c>
      <c r="T167" s="47">
        <v>0</v>
      </c>
      <c r="U167" s="47">
        <v>0</v>
      </c>
      <c r="V167" s="47">
        <v>0</v>
      </c>
      <c r="W167" s="47">
        <v>0</v>
      </c>
      <c r="X167" s="47">
        <v>0</v>
      </c>
      <c r="Y167" s="48">
        <v>11729587.220000001</v>
      </c>
      <c r="Z167" s="58">
        <v>3636145.74</v>
      </c>
      <c r="AA167" s="50">
        <v>3636145.74</v>
      </c>
      <c r="AB167" s="50">
        <v>0</v>
      </c>
      <c r="AC167" s="50">
        <v>0</v>
      </c>
      <c r="AD167" s="50">
        <v>0</v>
      </c>
      <c r="AE167" s="50">
        <v>0</v>
      </c>
      <c r="AF167" s="50">
        <v>0</v>
      </c>
      <c r="AG167" s="49">
        <v>3636145.74</v>
      </c>
      <c r="AH167" s="51" t="s">
        <v>279</v>
      </c>
      <c r="AI167" s="51" t="s">
        <v>74</v>
      </c>
      <c r="AJ167" s="51" t="s">
        <v>74</v>
      </c>
      <c r="AK167" s="51" t="s">
        <v>74</v>
      </c>
      <c r="AL167" s="51" t="s">
        <v>74</v>
      </c>
      <c r="AM167" s="51" t="s">
        <v>74</v>
      </c>
      <c r="AN167" s="52">
        <v>0</v>
      </c>
      <c r="AO167" s="52">
        <v>0</v>
      </c>
      <c r="AP167" s="52">
        <v>0</v>
      </c>
      <c r="AQ167" s="52">
        <v>0</v>
      </c>
      <c r="AR167" s="52">
        <v>0</v>
      </c>
      <c r="AS167" s="52">
        <v>0</v>
      </c>
      <c r="AT167" s="53" t="s">
        <v>74</v>
      </c>
      <c r="AU167" s="52">
        <v>0</v>
      </c>
      <c r="AV167" s="52"/>
      <c r="AW167" s="52">
        <v>0</v>
      </c>
      <c r="AX167" s="52"/>
      <c r="AY167" s="52"/>
      <c r="AZ167" s="52">
        <v>0</v>
      </c>
      <c r="BA167" s="52">
        <v>0</v>
      </c>
      <c r="BB167" s="54" t="s">
        <v>74</v>
      </c>
      <c r="BC167" s="53" t="s">
        <v>74</v>
      </c>
      <c r="BD167" s="55" t="s">
        <v>74</v>
      </c>
      <c r="BE167" s="55" t="s">
        <v>74</v>
      </c>
      <c r="BF167" s="55" t="s">
        <v>74</v>
      </c>
      <c r="BG167" s="55" t="s">
        <v>74</v>
      </c>
      <c r="BH167" s="52">
        <v>0</v>
      </c>
      <c r="BI167" s="52">
        <v>8093441.4800000004</v>
      </c>
      <c r="BJ167" s="52">
        <v>8093441.4800000004</v>
      </c>
      <c r="BK167" s="56">
        <v>42856</v>
      </c>
      <c r="BL167" s="57">
        <v>8093441.4800000004</v>
      </c>
      <c r="BM167" s="47">
        <v>0</v>
      </c>
      <c r="BN167" s="9"/>
      <c r="BO167" s="9"/>
      <c r="BP167" s="9"/>
      <c r="BQ167" s="9"/>
      <c r="BR167" s="9"/>
      <c r="BS167" s="9"/>
      <c r="BT167" s="9"/>
      <c r="BU167" s="9"/>
      <c r="BV167" s="9"/>
      <c r="BW167" s="9"/>
    </row>
    <row r="168" spans="1:75" ht="128.25" hidden="1" outlineLevel="2" x14ac:dyDescent="0.25">
      <c r="A168" s="43" t="s">
        <v>275</v>
      </c>
      <c r="B168" s="110" t="s">
        <v>276</v>
      </c>
      <c r="C168" s="45">
        <v>2017</v>
      </c>
      <c r="D168" s="46" t="s">
        <v>83</v>
      </c>
      <c r="E168" s="47">
        <v>0</v>
      </c>
      <c r="F168" s="47">
        <v>0</v>
      </c>
      <c r="G168" s="47">
        <v>0</v>
      </c>
      <c r="H168" s="47">
        <v>0</v>
      </c>
      <c r="I168" s="47">
        <v>0</v>
      </c>
      <c r="J168" s="47">
        <v>0</v>
      </c>
      <c r="K168" s="47">
        <v>0</v>
      </c>
      <c r="L168" s="47">
        <v>0</v>
      </c>
      <c r="M168" s="47">
        <v>0</v>
      </c>
      <c r="N168" s="47">
        <v>0</v>
      </c>
      <c r="O168" s="47">
        <v>0</v>
      </c>
      <c r="P168" s="47">
        <v>11729587.220000001</v>
      </c>
      <c r="Q168" s="47">
        <v>0</v>
      </c>
      <c r="R168" s="47">
        <v>0</v>
      </c>
      <c r="S168" s="47">
        <v>0</v>
      </c>
      <c r="T168" s="47">
        <v>0</v>
      </c>
      <c r="U168" s="47">
        <v>0</v>
      </c>
      <c r="V168" s="47">
        <v>0</v>
      </c>
      <c r="W168" s="47">
        <v>0</v>
      </c>
      <c r="X168" s="47">
        <v>0</v>
      </c>
      <c r="Y168" s="48">
        <v>11729587.220000001</v>
      </c>
      <c r="Z168" s="58">
        <v>3636145.74</v>
      </c>
      <c r="AA168" s="50">
        <v>3636145.74</v>
      </c>
      <c r="AB168" s="50">
        <v>0</v>
      </c>
      <c r="AC168" s="50">
        <v>0</v>
      </c>
      <c r="AD168" s="50">
        <v>0</v>
      </c>
      <c r="AE168" s="50">
        <v>0</v>
      </c>
      <c r="AF168" s="50">
        <v>0</v>
      </c>
      <c r="AG168" s="49">
        <v>3636145.74</v>
      </c>
      <c r="AH168" s="51" t="s">
        <v>279</v>
      </c>
      <c r="AI168" s="51" t="s">
        <v>74</v>
      </c>
      <c r="AJ168" s="51" t="s">
        <v>74</v>
      </c>
      <c r="AK168" s="51" t="s">
        <v>74</v>
      </c>
      <c r="AL168" s="51" t="s">
        <v>74</v>
      </c>
      <c r="AM168" s="51" t="s">
        <v>74</v>
      </c>
      <c r="AN168" s="52">
        <v>0</v>
      </c>
      <c r="AO168" s="52">
        <v>0</v>
      </c>
      <c r="AP168" s="52">
        <v>0</v>
      </c>
      <c r="AQ168" s="52">
        <v>0</v>
      </c>
      <c r="AR168" s="52">
        <v>0</v>
      </c>
      <c r="AS168" s="52">
        <v>0</v>
      </c>
      <c r="AT168" s="53" t="s">
        <v>74</v>
      </c>
      <c r="AU168" s="52">
        <v>0</v>
      </c>
      <c r="AV168" s="52"/>
      <c r="AW168" s="52">
        <v>0</v>
      </c>
      <c r="AX168" s="52"/>
      <c r="AY168" s="52"/>
      <c r="AZ168" s="52">
        <v>0</v>
      </c>
      <c r="BA168" s="52">
        <v>0</v>
      </c>
      <c r="BB168" s="54" t="s">
        <v>74</v>
      </c>
      <c r="BC168" s="53" t="s">
        <v>74</v>
      </c>
      <c r="BD168" s="55" t="s">
        <v>74</v>
      </c>
      <c r="BE168" s="55" t="s">
        <v>74</v>
      </c>
      <c r="BF168" s="55" t="s">
        <v>74</v>
      </c>
      <c r="BG168" s="55" t="s">
        <v>74</v>
      </c>
      <c r="BH168" s="52">
        <v>0</v>
      </c>
      <c r="BI168" s="52">
        <v>8093441.4800000004</v>
      </c>
      <c r="BJ168" s="52">
        <v>8093441.4800000004</v>
      </c>
      <c r="BK168" s="56">
        <v>42887</v>
      </c>
      <c r="BL168" s="57">
        <v>8093441.4800000004</v>
      </c>
      <c r="BM168" s="47">
        <v>0</v>
      </c>
      <c r="BN168" s="9"/>
      <c r="BO168" s="9"/>
      <c r="BP168" s="9"/>
      <c r="BQ168" s="9"/>
      <c r="BR168" s="9"/>
      <c r="BS168" s="9"/>
      <c r="BT168" s="9"/>
      <c r="BU168" s="9"/>
      <c r="BV168" s="9"/>
      <c r="BW168" s="9"/>
    </row>
    <row r="169" spans="1:75" ht="26.25" hidden="1" outlineLevel="2" x14ac:dyDescent="0.25">
      <c r="A169" s="43" t="s">
        <v>275</v>
      </c>
      <c r="B169" s="110" t="s">
        <v>276</v>
      </c>
      <c r="C169" s="45">
        <v>2017</v>
      </c>
      <c r="D169" s="46" t="s">
        <v>84</v>
      </c>
      <c r="E169" s="47">
        <v>0</v>
      </c>
      <c r="F169" s="47">
        <v>0</v>
      </c>
      <c r="G169" s="47">
        <v>0</v>
      </c>
      <c r="H169" s="47">
        <v>0</v>
      </c>
      <c r="I169" s="47">
        <v>0</v>
      </c>
      <c r="J169" s="47">
        <v>0</v>
      </c>
      <c r="K169" s="47">
        <v>0</v>
      </c>
      <c r="L169" s="47">
        <v>0</v>
      </c>
      <c r="M169" s="47">
        <v>0</v>
      </c>
      <c r="N169" s="47">
        <v>0</v>
      </c>
      <c r="O169" s="47">
        <v>0</v>
      </c>
      <c r="P169" s="47">
        <v>11729587.220000001</v>
      </c>
      <c r="Q169" s="47">
        <v>0</v>
      </c>
      <c r="R169" s="47">
        <v>0</v>
      </c>
      <c r="S169" s="47">
        <v>0</v>
      </c>
      <c r="T169" s="47">
        <v>0</v>
      </c>
      <c r="U169" s="47">
        <v>0</v>
      </c>
      <c r="V169" s="47">
        <v>0</v>
      </c>
      <c r="W169" s="47">
        <v>0</v>
      </c>
      <c r="X169" s="47">
        <v>0</v>
      </c>
      <c r="Y169" s="48">
        <v>11729587.220000001</v>
      </c>
      <c r="Z169" s="58">
        <v>3549528.61</v>
      </c>
      <c r="AA169" s="50">
        <v>3549528.61</v>
      </c>
      <c r="AB169" s="50">
        <v>0</v>
      </c>
      <c r="AC169" s="50">
        <v>0</v>
      </c>
      <c r="AD169" s="50">
        <v>0</v>
      </c>
      <c r="AE169" s="50">
        <v>0</v>
      </c>
      <c r="AF169" s="50">
        <v>0</v>
      </c>
      <c r="AG169" s="49">
        <v>3549528.61</v>
      </c>
      <c r="AH169" s="51" t="s">
        <v>104</v>
      </c>
      <c r="AI169" s="51" t="s">
        <v>74</v>
      </c>
      <c r="AJ169" s="51" t="s">
        <v>74</v>
      </c>
      <c r="AK169" s="51" t="s">
        <v>74</v>
      </c>
      <c r="AL169" s="51" t="s">
        <v>74</v>
      </c>
      <c r="AM169" s="51" t="s">
        <v>74</v>
      </c>
      <c r="AN169" s="52">
        <v>0</v>
      </c>
      <c r="AO169" s="52">
        <v>0</v>
      </c>
      <c r="AP169" s="52">
        <v>0</v>
      </c>
      <c r="AQ169" s="52">
        <v>0</v>
      </c>
      <c r="AR169" s="52">
        <v>0</v>
      </c>
      <c r="AS169" s="52">
        <v>0</v>
      </c>
      <c r="AT169" s="53" t="s">
        <v>74</v>
      </c>
      <c r="AU169" s="52">
        <v>0</v>
      </c>
      <c r="AV169" s="52"/>
      <c r="AW169" s="52">
        <v>0</v>
      </c>
      <c r="AX169" s="52"/>
      <c r="AY169" s="52"/>
      <c r="AZ169" s="52">
        <v>0</v>
      </c>
      <c r="BA169" s="52">
        <v>0</v>
      </c>
      <c r="BB169" s="54" t="s">
        <v>74</v>
      </c>
      <c r="BC169" s="53" t="s">
        <v>74</v>
      </c>
      <c r="BD169" s="55" t="s">
        <v>74</v>
      </c>
      <c r="BE169" s="55" t="s">
        <v>74</v>
      </c>
      <c r="BF169" s="55" t="s">
        <v>74</v>
      </c>
      <c r="BG169" s="55" t="s">
        <v>74</v>
      </c>
      <c r="BH169" s="52">
        <v>0</v>
      </c>
      <c r="BI169" s="52">
        <v>8180058.6100000003</v>
      </c>
      <c r="BJ169" s="52">
        <v>8180058.6100000003</v>
      </c>
      <c r="BK169" s="56">
        <v>42917</v>
      </c>
      <c r="BL169" s="57">
        <v>8180058.6100000003</v>
      </c>
      <c r="BM169" s="47">
        <v>0</v>
      </c>
      <c r="BN169" s="9"/>
      <c r="BO169" s="9"/>
      <c r="BP169" s="9"/>
      <c r="BQ169" s="9"/>
      <c r="BR169" s="9"/>
      <c r="BS169" s="9"/>
      <c r="BT169" s="9"/>
      <c r="BU169" s="9"/>
      <c r="BV169" s="9"/>
      <c r="BW169" s="9"/>
    </row>
    <row r="170" spans="1:75" ht="39" hidden="1" outlineLevel="2" x14ac:dyDescent="0.25">
      <c r="A170" s="43" t="s">
        <v>275</v>
      </c>
      <c r="B170" s="110" t="s">
        <v>276</v>
      </c>
      <c r="C170" s="45">
        <v>2017</v>
      </c>
      <c r="D170" s="46" t="s">
        <v>86</v>
      </c>
      <c r="E170" s="47">
        <v>0</v>
      </c>
      <c r="F170" s="47">
        <v>0</v>
      </c>
      <c r="G170" s="47">
        <v>0</v>
      </c>
      <c r="H170" s="47">
        <v>0</v>
      </c>
      <c r="I170" s="47">
        <v>0</v>
      </c>
      <c r="J170" s="47">
        <v>0</v>
      </c>
      <c r="K170" s="47">
        <v>0</v>
      </c>
      <c r="L170" s="47">
        <v>0</v>
      </c>
      <c r="M170" s="47">
        <v>0</v>
      </c>
      <c r="N170" s="47">
        <v>0</v>
      </c>
      <c r="O170" s="47">
        <v>0</v>
      </c>
      <c r="P170" s="47">
        <v>11729587.220000001</v>
      </c>
      <c r="Q170" s="47">
        <v>0</v>
      </c>
      <c r="R170" s="47">
        <v>0</v>
      </c>
      <c r="S170" s="47">
        <v>0</v>
      </c>
      <c r="T170" s="47">
        <v>0</v>
      </c>
      <c r="U170" s="47">
        <v>0</v>
      </c>
      <c r="V170" s="47">
        <v>0</v>
      </c>
      <c r="W170" s="47">
        <v>0</v>
      </c>
      <c r="X170" s="47">
        <v>0</v>
      </c>
      <c r="Y170" s="48">
        <v>11729587.220000001</v>
      </c>
      <c r="Z170" s="58">
        <v>3496725.24</v>
      </c>
      <c r="AA170" s="50">
        <v>3496725.24</v>
      </c>
      <c r="AB170" s="50">
        <v>0</v>
      </c>
      <c r="AC170" s="50">
        <v>0</v>
      </c>
      <c r="AD170" s="50">
        <v>0</v>
      </c>
      <c r="AE170" s="50">
        <v>0</v>
      </c>
      <c r="AF170" s="50">
        <v>0</v>
      </c>
      <c r="AG170" s="49">
        <v>3496725.24</v>
      </c>
      <c r="AH170" s="51" t="s">
        <v>104</v>
      </c>
      <c r="AI170" s="51" t="s">
        <v>74</v>
      </c>
      <c r="AJ170" s="51" t="s">
        <v>74</v>
      </c>
      <c r="AK170" s="51" t="s">
        <v>74</v>
      </c>
      <c r="AL170" s="51" t="s">
        <v>74</v>
      </c>
      <c r="AM170" s="51" t="s">
        <v>74</v>
      </c>
      <c r="AN170" s="52">
        <v>0</v>
      </c>
      <c r="AO170" s="52">
        <v>0</v>
      </c>
      <c r="AP170" s="52"/>
      <c r="AQ170" s="52">
        <v>0</v>
      </c>
      <c r="AR170" s="52">
        <v>0</v>
      </c>
      <c r="AS170" s="52">
        <v>0</v>
      </c>
      <c r="AT170" s="53" t="s">
        <v>74</v>
      </c>
      <c r="AU170" s="52">
        <v>118125.08</v>
      </c>
      <c r="AV170" s="52"/>
      <c r="AW170" s="52">
        <v>0</v>
      </c>
      <c r="AX170" s="52"/>
      <c r="AY170" s="52"/>
      <c r="AZ170" s="52">
        <v>0</v>
      </c>
      <c r="BA170" s="52">
        <v>118125.08</v>
      </c>
      <c r="BB170" s="55" t="s">
        <v>280</v>
      </c>
      <c r="BC170" s="51" t="s">
        <v>74</v>
      </c>
      <c r="BD170" s="54" t="s">
        <v>74</v>
      </c>
      <c r="BE170" s="54" t="s">
        <v>74</v>
      </c>
      <c r="BF170" s="54" t="s">
        <v>74</v>
      </c>
      <c r="BG170" s="54" t="s">
        <v>74</v>
      </c>
      <c r="BH170" s="52">
        <v>118125.08</v>
      </c>
      <c r="BI170" s="52">
        <v>8350987.0599999996</v>
      </c>
      <c r="BJ170" s="52">
        <v>8232861.9800000004</v>
      </c>
      <c r="BK170" s="56">
        <v>42948</v>
      </c>
      <c r="BL170" s="57">
        <v>8350987.0599999996</v>
      </c>
      <c r="BM170" s="47">
        <v>0</v>
      </c>
      <c r="BN170" s="9"/>
      <c r="BO170" s="9"/>
      <c r="BP170" s="9"/>
      <c r="BQ170" s="9"/>
      <c r="BR170" s="9"/>
      <c r="BS170" s="9"/>
      <c r="BT170" s="9"/>
      <c r="BU170" s="9"/>
      <c r="BV170" s="9"/>
      <c r="BW170" s="9"/>
    </row>
    <row r="171" spans="1:75" ht="141" hidden="1" outlineLevel="2" x14ac:dyDescent="0.25">
      <c r="A171" s="43" t="s">
        <v>275</v>
      </c>
      <c r="B171" s="110" t="s">
        <v>276</v>
      </c>
      <c r="C171" s="45">
        <v>2017</v>
      </c>
      <c r="D171" s="46" t="s">
        <v>88</v>
      </c>
      <c r="E171" s="47">
        <v>0</v>
      </c>
      <c r="F171" s="47">
        <v>0</v>
      </c>
      <c r="G171" s="47">
        <v>0</v>
      </c>
      <c r="H171" s="47">
        <v>0</v>
      </c>
      <c r="I171" s="47">
        <v>0</v>
      </c>
      <c r="J171" s="47">
        <v>0</v>
      </c>
      <c r="K171" s="47">
        <v>0</v>
      </c>
      <c r="L171" s="47">
        <v>0</v>
      </c>
      <c r="M171" s="47">
        <v>0</v>
      </c>
      <c r="N171" s="47">
        <v>0</v>
      </c>
      <c r="O171" s="47">
        <v>0</v>
      </c>
      <c r="P171" s="47">
        <v>11729587.220000001</v>
      </c>
      <c r="Q171" s="47">
        <v>0</v>
      </c>
      <c r="R171" s="47">
        <v>0</v>
      </c>
      <c r="S171" s="47">
        <v>0</v>
      </c>
      <c r="T171" s="47">
        <v>0</v>
      </c>
      <c r="U171" s="47">
        <v>0</v>
      </c>
      <c r="V171" s="47">
        <v>0</v>
      </c>
      <c r="W171" s="47">
        <v>0</v>
      </c>
      <c r="X171" s="47">
        <v>0</v>
      </c>
      <c r="Y171" s="48">
        <v>11729587.220000001</v>
      </c>
      <c r="Z171" s="58">
        <v>3496725.24</v>
      </c>
      <c r="AA171" s="50">
        <v>3496725.24</v>
      </c>
      <c r="AB171" s="50">
        <v>0</v>
      </c>
      <c r="AC171" s="50">
        <v>0</v>
      </c>
      <c r="AD171" s="50">
        <v>0</v>
      </c>
      <c r="AE171" s="50">
        <v>0</v>
      </c>
      <c r="AF171" s="50">
        <v>0</v>
      </c>
      <c r="AG171" s="49">
        <v>3496725.24</v>
      </c>
      <c r="AH171" s="51" t="s">
        <v>279</v>
      </c>
      <c r="AI171" s="51" t="s">
        <v>74</v>
      </c>
      <c r="AJ171" s="51" t="s">
        <v>74</v>
      </c>
      <c r="AK171" s="51" t="s">
        <v>74</v>
      </c>
      <c r="AL171" s="51" t="s">
        <v>74</v>
      </c>
      <c r="AM171" s="51" t="s">
        <v>74</v>
      </c>
      <c r="AN171" s="52">
        <v>0</v>
      </c>
      <c r="AO171" s="52">
        <v>0</v>
      </c>
      <c r="AP171" s="52"/>
      <c r="AQ171" s="52">
        <v>0</v>
      </c>
      <c r="AR171" s="52">
        <v>0</v>
      </c>
      <c r="AS171" s="52">
        <v>0</v>
      </c>
      <c r="AT171" s="53" t="s">
        <v>74</v>
      </c>
      <c r="AU171" s="52">
        <v>140449.16</v>
      </c>
      <c r="AV171" s="52"/>
      <c r="AW171" s="52">
        <v>0</v>
      </c>
      <c r="AX171" s="52"/>
      <c r="AY171" s="52"/>
      <c r="AZ171" s="52">
        <v>0</v>
      </c>
      <c r="BA171" s="52">
        <v>140449.16</v>
      </c>
      <c r="BB171" s="55" t="s">
        <v>281</v>
      </c>
      <c r="BC171" s="51" t="s">
        <v>74</v>
      </c>
      <c r="BD171" s="54" t="s">
        <v>74</v>
      </c>
      <c r="BE171" s="54" t="s">
        <v>74</v>
      </c>
      <c r="BF171" s="54" t="s">
        <v>74</v>
      </c>
      <c r="BG171" s="54" t="s">
        <v>74</v>
      </c>
      <c r="BH171" s="52">
        <v>140449.16</v>
      </c>
      <c r="BI171" s="52">
        <v>8373311.1399999997</v>
      </c>
      <c r="BJ171" s="52">
        <v>8232861.9800000004</v>
      </c>
      <c r="BK171" s="56">
        <v>42979</v>
      </c>
      <c r="BL171" s="57">
        <v>8373311.1399999997</v>
      </c>
      <c r="BM171" s="47">
        <v>0</v>
      </c>
      <c r="BN171" s="9"/>
      <c r="BO171" s="9"/>
      <c r="BP171" s="9"/>
      <c r="BQ171" s="9"/>
      <c r="BR171" s="9"/>
      <c r="BS171" s="9"/>
      <c r="BT171" s="9"/>
      <c r="BU171" s="9"/>
      <c r="BV171" s="9"/>
      <c r="BW171" s="9"/>
    </row>
    <row r="172" spans="1:75" ht="26.25" hidden="1" outlineLevel="2" x14ac:dyDescent="0.25">
      <c r="A172" s="43" t="s">
        <v>275</v>
      </c>
      <c r="B172" s="110" t="s">
        <v>276</v>
      </c>
      <c r="C172" s="45">
        <v>2017</v>
      </c>
      <c r="D172" s="46" t="s">
        <v>89</v>
      </c>
      <c r="E172" s="47">
        <v>0</v>
      </c>
      <c r="F172" s="47">
        <v>0</v>
      </c>
      <c r="G172" s="47">
        <v>0</v>
      </c>
      <c r="H172" s="47">
        <v>0</v>
      </c>
      <c r="I172" s="47">
        <v>0</v>
      </c>
      <c r="J172" s="47">
        <v>0</v>
      </c>
      <c r="K172" s="47">
        <v>0</v>
      </c>
      <c r="L172" s="47">
        <v>0</v>
      </c>
      <c r="M172" s="47">
        <v>0</v>
      </c>
      <c r="N172" s="47">
        <v>0</v>
      </c>
      <c r="O172" s="47">
        <v>0</v>
      </c>
      <c r="P172" s="47">
        <v>11729587.220000001</v>
      </c>
      <c r="Q172" s="47">
        <v>0</v>
      </c>
      <c r="R172" s="47">
        <v>0</v>
      </c>
      <c r="S172" s="47">
        <v>0</v>
      </c>
      <c r="T172" s="47">
        <v>0</v>
      </c>
      <c r="U172" s="47">
        <v>0</v>
      </c>
      <c r="V172" s="47">
        <v>0</v>
      </c>
      <c r="W172" s="47">
        <v>0</v>
      </c>
      <c r="X172" s="47">
        <v>0</v>
      </c>
      <c r="Y172" s="48">
        <v>11729587.220000001</v>
      </c>
      <c r="Z172" s="58">
        <v>3352625.05</v>
      </c>
      <c r="AA172" s="50">
        <v>3352625.05</v>
      </c>
      <c r="AB172" s="50">
        <v>0</v>
      </c>
      <c r="AC172" s="50">
        <v>0</v>
      </c>
      <c r="AD172" s="50">
        <v>0</v>
      </c>
      <c r="AE172" s="50">
        <v>0</v>
      </c>
      <c r="AF172" s="50">
        <v>0</v>
      </c>
      <c r="AG172" s="49">
        <v>3352625.05</v>
      </c>
      <c r="AH172" s="51" t="s">
        <v>104</v>
      </c>
      <c r="AI172" s="51" t="s">
        <v>74</v>
      </c>
      <c r="AJ172" s="51" t="s">
        <v>74</v>
      </c>
      <c r="AK172" s="51" t="s">
        <v>74</v>
      </c>
      <c r="AL172" s="51" t="s">
        <v>74</v>
      </c>
      <c r="AM172" s="51" t="s">
        <v>74</v>
      </c>
      <c r="AN172" s="52">
        <v>0</v>
      </c>
      <c r="AO172" s="52">
        <v>0</v>
      </c>
      <c r="AP172" s="52">
        <v>0</v>
      </c>
      <c r="AQ172" s="52">
        <v>0</v>
      </c>
      <c r="AR172" s="52">
        <v>0</v>
      </c>
      <c r="AS172" s="52">
        <v>0</v>
      </c>
      <c r="AT172" s="53" t="s">
        <v>74</v>
      </c>
      <c r="AU172" s="52">
        <v>0</v>
      </c>
      <c r="AV172" s="52"/>
      <c r="AW172" s="52">
        <v>0</v>
      </c>
      <c r="AX172" s="52"/>
      <c r="AY172" s="52"/>
      <c r="AZ172" s="52">
        <v>0</v>
      </c>
      <c r="BA172" s="52">
        <v>0</v>
      </c>
      <c r="BB172" s="54" t="s">
        <v>74</v>
      </c>
      <c r="BC172" s="53" t="s">
        <v>74</v>
      </c>
      <c r="BD172" s="55" t="s">
        <v>74</v>
      </c>
      <c r="BE172" s="55" t="s">
        <v>74</v>
      </c>
      <c r="BF172" s="55" t="s">
        <v>74</v>
      </c>
      <c r="BG172" s="55" t="s">
        <v>74</v>
      </c>
      <c r="BH172" s="52">
        <v>0</v>
      </c>
      <c r="BI172" s="52">
        <v>8376962.1699999999</v>
      </c>
      <c r="BJ172" s="52">
        <v>8376962.1699999999</v>
      </c>
      <c r="BK172" s="56">
        <v>43009</v>
      </c>
      <c r="BL172" s="57">
        <v>8376962.1699999999</v>
      </c>
      <c r="BM172" s="47">
        <v>0</v>
      </c>
      <c r="BN172" s="9"/>
      <c r="BO172" s="9"/>
      <c r="BP172" s="9"/>
      <c r="BQ172" s="9"/>
      <c r="BR172" s="9"/>
      <c r="BS172" s="9"/>
      <c r="BT172" s="9"/>
      <c r="BU172" s="9"/>
      <c r="BV172" s="9"/>
      <c r="BW172" s="9"/>
    </row>
    <row r="173" spans="1:75" ht="141" hidden="1" outlineLevel="2" x14ac:dyDescent="0.25">
      <c r="A173" s="43" t="s">
        <v>275</v>
      </c>
      <c r="B173" s="110" t="s">
        <v>276</v>
      </c>
      <c r="C173" s="45">
        <v>2017</v>
      </c>
      <c r="D173" s="46" t="s">
        <v>90</v>
      </c>
      <c r="E173" s="47">
        <v>0</v>
      </c>
      <c r="F173" s="47">
        <v>0</v>
      </c>
      <c r="G173" s="47">
        <v>0</v>
      </c>
      <c r="H173" s="47">
        <v>0</v>
      </c>
      <c r="I173" s="47">
        <v>0</v>
      </c>
      <c r="J173" s="47">
        <v>0</v>
      </c>
      <c r="K173" s="47">
        <v>0</v>
      </c>
      <c r="L173" s="47">
        <v>0</v>
      </c>
      <c r="M173" s="47">
        <v>0</v>
      </c>
      <c r="N173" s="47">
        <v>0</v>
      </c>
      <c r="O173" s="47">
        <v>0</v>
      </c>
      <c r="P173" s="47">
        <v>11729587.220000001</v>
      </c>
      <c r="Q173" s="47">
        <v>0</v>
      </c>
      <c r="R173" s="47">
        <v>0</v>
      </c>
      <c r="S173" s="47">
        <v>0</v>
      </c>
      <c r="T173" s="47">
        <v>0</v>
      </c>
      <c r="U173" s="47">
        <v>0</v>
      </c>
      <c r="V173" s="47">
        <v>0</v>
      </c>
      <c r="W173" s="47">
        <v>0</v>
      </c>
      <c r="X173" s="47">
        <v>0</v>
      </c>
      <c r="Y173" s="48">
        <v>11729587.220000001</v>
      </c>
      <c r="Z173" s="58">
        <v>3636145.74</v>
      </c>
      <c r="AA173" s="50">
        <v>3636145.74</v>
      </c>
      <c r="AB173" s="50">
        <v>0</v>
      </c>
      <c r="AC173" s="50">
        <v>0</v>
      </c>
      <c r="AD173" s="50">
        <v>0</v>
      </c>
      <c r="AE173" s="50">
        <v>0</v>
      </c>
      <c r="AF173" s="50">
        <v>0</v>
      </c>
      <c r="AG173" s="49">
        <v>3636145.74</v>
      </c>
      <c r="AH173" s="51" t="s">
        <v>279</v>
      </c>
      <c r="AI173" s="51" t="s">
        <v>74</v>
      </c>
      <c r="AJ173" s="51" t="s">
        <v>74</v>
      </c>
      <c r="AK173" s="51" t="s">
        <v>74</v>
      </c>
      <c r="AL173" s="51" t="s">
        <v>74</v>
      </c>
      <c r="AM173" s="51" t="s">
        <v>74</v>
      </c>
      <c r="AN173" s="52">
        <v>0</v>
      </c>
      <c r="AO173" s="52">
        <v>0</v>
      </c>
      <c r="AP173" s="52">
        <v>0</v>
      </c>
      <c r="AQ173" s="52">
        <v>0</v>
      </c>
      <c r="AR173" s="52">
        <v>0</v>
      </c>
      <c r="AS173" s="52">
        <v>0</v>
      </c>
      <c r="AT173" s="53" t="s">
        <v>74</v>
      </c>
      <c r="AU173" s="52">
        <v>0</v>
      </c>
      <c r="AV173" s="52"/>
      <c r="AW173" s="52">
        <v>954405.29</v>
      </c>
      <c r="AX173" s="52"/>
      <c r="AY173" s="52"/>
      <c r="AZ173" s="52">
        <v>0</v>
      </c>
      <c r="BA173" s="52">
        <v>954405.29</v>
      </c>
      <c r="BB173" s="54" t="s">
        <v>74</v>
      </c>
      <c r="BC173" s="53" t="s">
        <v>74</v>
      </c>
      <c r="BD173" s="55" t="s">
        <v>282</v>
      </c>
      <c r="BE173" s="55" t="s">
        <v>74</v>
      </c>
      <c r="BF173" s="55" t="s">
        <v>74</v>
      </c>
      <c r="BG173" s="55" t="s">
        <v>74</v>
      </c>
      <c r="BH173" s="52">
        <v>954405.29</v>
      </c>
      <c r="BI173" s="52">
        <v>9047846.7699999996</v>
      </c>
      <c r="BJ173" s="52">
        <v>8093441.4800000004</v>
      </c>
      <c r="BK173" s="56">
        <v>43040</v>
      </c>
      <c r="BL173" s="57">
        <v>9047846.7699999996</v>
      </c>
      <c r="BM173" s="47">
        <v>0</v>
      </c>
      <c r="BN173" s="9"/>
      <c r="BO173" s="9"/>
      <c r="BP173" s="9"/>
      <c r="BQ173" s="9"/>
      <c r="BR173" s="9"/>
      <c r="BS173" s="9"/>
      <c r="BT173" s="9"/>
      <c r="BU173" s="9"/>
      <c r="BV173" s="9"/>
      <c r="BW173" s="9"/>
    </row>
    <row r="174" spans="1:75" ht="39" hidden="1" outlineLevel="2" x14ac:dyDescent="0.25">
      <c r="A174" s="43" t="s">
        <v>275</v>
      </c>
      <c r="B174" s="110" t="s">
        <v>276</v>
      </c>
      <c r="C174" s="45">
        <v>2017</v>
      </c>
      <c r="D174" s="46" t="s">
        <v>93</v>
      </c>
      <c r="E174" s="47">
        <v>0</v>
      </c>
      <c r="F174" s="47">
        <v>0</v>
      </c>
      <c r="G174" s="47">
        <v>0</v>
      </c>
      <c r="H174" s="47">
        <v>0</v>
      </c>
      <c r="I174" s="47">
        <v>0</v>
      </c>
      <c r="J174" s="47">
        <v>0</v>
      </c>
      <c r="K174" s="47">
        <v>0</v>
      </c>
      <c r="L174" s="47">
        <v>0</v>
      </c>
      <c r="M174" s="47">
        <v>0</v>
      </c>
      <c r="N174" s="47">
        <v>0</v>
      </c>
      <c r="O174" s="47">
        <v>0</v>
      </c>
      <c r="P174" s="47">
        <v>11729587.220000001</v>
      </c>
      <c r="Q174" s="47">
        <v>0</v>
      </c>
      <c r="R174" s="47">
        <v>0</v>
      </c>
      <c r="S174" s="47">
        <v>0</v>
      </c>
      <c r="T174" s="47">
        <v>0</v>
      </c>
      <c r="U174" s="47">
        <v>0</v>
      </c>
      <c r="V174" s="47">
        <v>0</v>
      </c>
      <c r="W174" s="47">
        <v>0</v>
      </c>
      <c r="X174" s="47">
        <v>0</v>
      </c>
      <c r="Y174" s="48">
        <v>11729587.220000001</v>
      </c>
      <c r="Z174" s="58">
        <v>3602665.62</v>
      </c>
      <c r="AA174" s="50">
        <v>3602665.62</v>
      </c>
      <c r="AB174" s="50">
        <v>0</v>
      </c>
      <c r="AC174" s="50">
        <v>0</v>
      </c>
      <c r="AD174" s="50">
        <v>106284.68</v>
      </c>
      <c r="AE174" s="50">
        <v>0</v>
      </c>
      <c r="AF174" s="50">
        <v>0</v>
      </c>
      <c r="AG174" s="49">
        <v>3708950.3</v>
      </c>
      <c r="AH174" s="51" t="s">
        <v>104</v>
      </c>
      <c r="AI174" s="51" t="s">
        <v>74</v>
      </c>
      <c r="AJ174" s="51" t="s">
        <v>74</v>
      </c>
      <c r="AK174" s="51" t="s">
        <v>283</v>
      </c>
      <c r="AL174" s="51" t="s">
        <v>74</v>
      </c>
      <c r="AM174" s="51" t="s">
        <v>74</v>
      </c>
      <c r="AN174" s="52">
        <v>0</v>
      </c>
      <c r="AO174" s="52">
        <v>0</v>
      </c>
      <c r="AP174" s="52">
        <v>0</v>
      </c>
      <c r="AQ174" s="52">
        <v>0</v>
      </c>
      <c r="AR174" s="52">
        <v>0</v>
      </c>
      <c r="AS174" s="52">
        <v>0</v>
      </c>
      <c r="AT174" s="53" t="s">
        <v>74</v>
      </c>
      <c r="AU174" s="52">
        <v>0</v>
      </c>
      <c r="AV174" s="52"/>
      <c r="AW174" s="52">
        <v>0</v>
      </c>
      <c r="AX174" s="52"/>
      <c r="AY174" s="52"/>
      <c r="AZ174" s="52">
        <v>0</v>
      </c>
      <c r="BA174" s="52">
        <v>0</v>
      </c>
      <c r="BB174" s="54" t="s">
        <v>74</v>
      </c>
      <c r="BC174" s="53" t="s">
        <v>74</v>
      </c>
      <c r="BD174" s="55" t="s">
        <v>74</v>
      </c>
      <c r="BE174" s="55" t="s">
        <v>74</v>
      </c>
      <c r="BF174" s="55" t="s">
        <v>74</v>
      </c>
      <c r="BG174" s="55" t="s">
        <v>74</v>
      </c>
      <c r="BH174" s="52">
        <v>0</v>
      </c>
      <c r="BI174" s="52">
        <v>8020636.9199999999</v>
      </c>
      <c r="BJ174" s="52">
        <v>8020636.9199999999</v>
      </c>
      <c r="BK174" s="56">
        <v>43070</v>
      </c>
      <c r="BL174" s="57">
        <v>8020636.9199999999</v>
      </c>
      <c r="BM174" s="47">
        <v>0</v>
      </c>
      <c r="BN174" s="9"/>
      <c r="BO174" s="9"/>
      <c r="BP174" s="9"/>
      <c r="BQ174" s="9"/>
      <c r="BR174" s="9"/>
      <c r="BS174" s="9"/>
      <c r="BT174" s="9"/>
      <c r="BU174" s="9"/>
      <c r="BV174" s="9"/>
      <c r="BW174" s="9"/>
    </row>
    <row r="175" spans="1:75" ht="26.25" hidden="1" outlineLevel="2" x14ac:dyDescent="0.25">
      <c r="A175" s="43" t="s">
        <v>275</v>
      </c>
      <c r="B175" s="110" t="s">
        <v>276</v>
      </c>
      <c r="C175" s="45">
        <v>2018</v>
      </c>
      <c r="D175" s="46" t="s">
        <v>73</v>
      </c>
      <c r="E175" s="47">
        <v>0</v>
      </c>
      <c r="F175" s="47">
        <v>0</v>
      </c>
      <c r="G175" s="47">
        <v>0</v>
      </c>
      <c r="H175" s="47">
        <v>0</v>
      </c>
      <c r="I175" s="47">
        <v>0</v>
      </c>
      <c r="J175" s="47">
        <v>0</v>
      </c>
      <c r="K175" s="47">
        <v>0</v>
      </c>
      <c r="L175" s="47">
        <v>0</v>
      </c>
      <c r="M175" s="47">
        <v>0</v>
      </c>
      <c r="N175" s="47">
        <v>0</v>
      </c>
      <c r="O175" s="47">
        <v>0</v>
      </c>
      <c r="P175" s="47">
        <v>11729587.220000001</v>
      </c>
      <c r="Q175" s="47">
        <v>0</v>
      </c>
      <c r="R175" s="47">
        <v>0</v>
      </c>
      <c r="S175" s="47">
        <v>0</v>
      </c>
      <c r="T175" s="47">
        <v>0</v>
      </c>
      <c r="U175" s="47">
        <v>0</v>
      </c>
      <c r="V175" s="47">
        <v>0</v>
      </c>
      <c r="W175" s="47">
        <v>0</v>
      </c>
      <c r="X175" s="47">
        <v>0</v>
      </c>
      <c r="Y175" s="48">
        <v>11729587.220000001</v>
      </c>
      <c r="Z175" s="58">
        <v>3728120.3</v>
      </c>
      <c r="AA175" s="50">
        <v>3728120.3</v>
      </c>
      <c r="AB175" s="50">
        <v>0</v>
      </c>
      <c r="AC175" s="50">
        <v>0</v>
      </c>
      <c r="AD175" s="50">
        <v>0</v>
      </c>
      <c r="AE175" s="50">
        <v>0</v>
      </c>
      <c r="AF175" s="50">
        <v>0</v>
      </c>
      <c r="AG175" s="49">
        <v>3728120.3</v>
      </c>
      <c r="AH175" s="51" t="s">
        <v>104</v>
      </c>
      <c r="AI175" s="51" t="s">
        <v>74</v>
      </c>
      <c r="AJ175" s="51" t="s">
        <v>74</v>
      </c>
      <c r="AK175" s="51" t="s">
        <v>74</v>
      </c>
      <c r="AL175" s="51" t="s">
        <v>74</v>
      </c>
      <c r="AM175" s="51" t="s">
        <v>74</v>
      </c>
      <c r="AN175" s="52">
        <v>0</v>
      </c>
      <c r="AO175" s="52">
        <v>0</v>
      </c>
      <c r="AP175" s="52">
        <v>0</v>
      </c>
      <c r="AQ175" s="52">
        <v>0</v>
      </c>
      <c r="AR175" s="52">
        <v>0</v>
      </c>
      <c r="AS175" s="52">
        <v>0</v>
      </c>
      <c r="AT175" s="53" t="s">
        <v>74</v>
      </c>
      <c r="AU175" s="52">
        <v>0</v>
      </c>
      <c r="AV175" s="52"/>
      <c r="AW175" s="52">
        <v>0</v>
      </c>
      <c r="AX175" s="52"/>
      <c r="AY175" s="52"/>
      <c r="AZ175" s="52">
        <v>0</v>
      </c>
      <c r="BA175" s="52">
        <v>0</v>
      </c>
      <c r="BB175" s="54" t="s">
        <v>74</v>
      </c>
      <c r="BC175" s="53" t="s">
        <v>74</v>
      </c>
      <c r="BD175" s="55" t="s">
        <v>74</v>
      </c>
      <c r="BE175" s="55" t="s">
        <v>74</v>
      </c>
      <c r="BF175" s="55" t="s">
        <v>74</v>
      </c>
      <c r="BG175" s="55" t="s">
        <v>74</v>
      </c>
      <c r="BH175" s="52">
        <v>0</v>
      </c>
      <c r="BI175" s="52">
        <v>8001466.9199999999</v>
      </c>
      <c r="BJ175" s="52">
        <v>8001466.9199999999</v>
      </c>
      <c r="BK175" s="56">
        <v>43101</v>
      </c>
      <c r="BL175" s="57">
        <v>8001466.9199999999</v>
      </c>
      <c r="BM175" s="47">
        <v>0</v>
      </c>
      <c r="BN175" s="9"/>
      <c r="BO175" s="9"/>
      <c r="BP175" s="9"/>
      <c r="BQ175" s="9"/>
      <c r="BR175" s="9"/>
      <c r="BS175" s="9"/>
      <c r="BT175" s="9"/>
      <c r="BU175" s="9"/>
      <c r="BV175" s="9"/>
      <c r="BW175" s="9"/>
    </row>
    <row r="176" spans="1:75" ht="26.25" hidden="1" outlineLevel="2" x14ac:dyDescent="0.25">
      <c r="A176" s="43" t="s">
        <v>275</v>
      </c>
      <c r="B176" s="110" t="s">
        <v>276</v>
      </c>
      <c r="C176" s="45">
        <v>2018</v>
      </c>
      <c r="D176" s="46" t="s">
        <v>75</v>
      </c>
      <c r="E176" s="47">
        <v>0</v>
      </c>
      <c r="F176" s="47">
        <v>0</v>
      </c>
      <c r="G176" s="47">
        <v>0</v>
      </c>
      <c r="H176" s="47">
        <v>0</v>
      </c>
      <c r="I176" s="47">
        <v>0</v>
      </c>
      <c r="J176" s="47">
        <v>0</v>
      </c>
      <c r="K176" s="47">
        <v>0</v>
      </c>
      <c r="L176" s="47">
        <v>0</v>
      </c>
      <c r="M176" s="47">
        <v>0</v>
      </c>
      <c r="N176" s="47">
        <v>0</v>
      </c>
      <c r="O176" s="47">
        <v>0</v>
      </c>
      <c r="P176" s="47">
        <v>11729587.220000001</v>
      </c>
      <c r="Q176" s="47">
        <v>0</v>
      </c>
      <c r="R176" s="47">
        <v>0</v>
      </c>
      <c r="S176" s="47">
        <v>0</v>
      </c>
      <c r="T176" s="47">
        <v>0</v>
      </c>
      <c r="U176" s="47">
        <v>0</v>
      </c>
      <c r="V176" s="47">
        <v>0</v>
      </c>
      <c r="W176" s="47">
        <v>0</v>
      </c>
      <c r="X176" s="47">
        <v>0</v>
      </c>
      <c r="Y176" s="48">
        <v>11729587.220000001</v>
      </c>
      <c r="Z176" s="58">
        <v>3787796.31</v>
      </c>
      <c r="AA176" s="50">
        <v>3787796.31</v>
      </c>
      <c r="AB176" s="50">
        <v>0</v>
      </c>
      <c r="AC176" s="50">
        <v>0</v>
      </c>
      <c r="AD176" s="50">
        <v>54632.73</v>
      </c>
      <c r="AE176" s="50">
        <v>0</v>
      </c>
      <c r="AF176" s="50">
        <v>0</v>
      </c>
      <c r="AG176" s="49">
        <v>3842429.04</v>
      </c>
      <c r="AH176" s="51" t="s">
        <v>104</v>
      </c>
      <c r="AI176" s="51" t="s">
        <v>74</v>
      </c>
      <c r="AJ176" s="51" t="s">
        <v>74</v>
      </c>
      <c r="AK176" s="51" t="s">
        <v>99</v>
      </c>
      <c r="AL176" s="51" t="s">
        <v>74</v>
      </c>
      <c r="AM176" s="51" t="s">
        <v>74</v>
      </c>
      <c r="AN176" s="52">
        <v>0</v>
      </c>
      <c r="AO176" s="52">
        <v>0</v>
      </c>
      <c r="AP176" s="52">
        <v>0</v>
      </c>
      <c r="AQ176" s="52">
        <v>0</v>
      </c>
      <c r="AR176" s="52">
        <v>0</v>
      </c>
      <c r="AS176" s="52">
        <v>0</v>
      </c>
      <c r="AT176" s="53" t="s">
        <v>74</v>
      </c>
      <c r="AU176" s="52">
        <v>0</v>
      </c>
      <c r="AV176" s="52"/>
      <c r="AW176" s="52">
        <v>0</v>
      </c>
      <c r="AX176" s="52"/>
      <c r="AY176" s="52"/>
      <c r="AZ176" s="52">
        <v>0</v>
      </c>
      <c r="BA176" s="52">
        <v>0</v>
      </c>
      <c r="BB176" s="54" t="s">
        <v>74</v>
      </c>
      <c r="BC176" s="53" t="s">
        <v>74</v>
      </c>
      <c r="BD176" s="55" t="s">
        <v>74</v>
      </c>
      <c r="BE176" s="55" t="s">
        <v>74</v>
      </c>
      <c r="BF176" s="55" t="s">
        <v>74</v>
      </c>
      <c r="BG176" s="55" t="s">
        <v>74</v>
      </c>
      <c r="BH176" s="52">
        <v>0</v>
      </c>
      <c r="BI176" s="52">
        <v>7887158.1799999997</v>
      </c>
      <c r="BJ176" s="52">
        <v>7887158.1799999997</v>
      </c>
      <c r="BK176" s="56">
        <v>43132</v>
      </c>
      <c r="BL176" s="57">
        <v>7887158.1799999997</v>
      </c>
      <c r="BM176" s="47">
        <v>0</v>
      </c>
      <c r="BN176" s="9"/>
      <c r="BO176" s="9"/>
      <c r="BP176" s="9"/>
      <c r="BQ176" s="9"/>
      <c r="BR176" s="9"/>
      <c r="BS176" s="9"/>
      <c r="BT176" s="9"/>
      <c r="BU176" s="9"/>
      <c r="BV176" s="9"/>
      <c r="BW176" s="9"/>
    </row>
    <row r="177" spans="1:75" ht="332.25" hidden="1" outlineLevel="2" x14ac:dyDescent="0.25">
      <c r="A177" s="43" t="s">
        <v>275</v>
      </c>
      <c r="B177" s="110" t="s">
        <v>276</v>
      </c>
      <c r="C177" s="45">
        <v>2018</v>
      </c>
      <c r="D177" s="46" t="s">
        <v>77</v>
      </c>
      <c r="E177" s="47">
        <v>0</v>
      </c>
      <c r="F177" s="47">
        <v>0</v>
      </c>
      <c r="G177" s="47">
        <v>0</v>
      </c>
      <c r="H177" s="47">
        <v>0</v>
      </c>
      <c r="I177" s="47">
        <v>0</v>
      </c>
      <c r="J177" s="47">
        <v>0</v>
      </c>
      <c r="K177" s="47">
        <v>0</v>
      </c>
      <c r="L177" s="47">
        <v>0</v>
      </c>
      <c r="M177" s="47">
        <v>0</v>
      </c>
      <c r="N177" s="47">
        <v>0</v>
      </c>
      <c r="O177" s="47">
        <v>0</v>
      </c>
      <c r="P177" s="47">
        <v>4691834.8799999999</v>
      </c>
      <c r="Q177" s="47">
        <v>7037752.3399999999</v>
      </c>
      <c r="R177" s="47">
        <v>0</v>
      </c>
      <c r="S177" s="47">
        <v>0</v>
      </c>
      <c r="T177" s="47">
        <v>0</v>
      </c>
      <c r="U177" s="47">
        <v>0</v>
      </c>
      <c r="V177" s="47">
        <v>0</v>
      </c>
      <c r="W177" s="47">
        <v>0</v>
      </c>
      <c r="X177" s="47">
        <v>0</v>
      </c>
      <c r="Y177" s="48">
        <v>11729587.220000001</v>
      </c>
      <c r="Z177" s="58">
        <v>3564287.89</v>
      </c>
      <c r="AA177" s="50">
        <v>3564287.89</v>
      </c>
      <c r="AB177" s="50">
        <v>0</v>
      </c>
      <c r="AC177" s="50">
        <v>0</v>
      </c>
      <c r="AD177" s="50">
        <v>49084.959999999999</v>
      </c>
      <c r="AE177" s="50">
        <v>0</v>
      </c>
      <c r="AF177" s="50">
        <v>0</v>
      </c>
      <c r="AG177" s="49">
        <v>3613372.85</v>
      </c>
      <c r="AH177" s="51" t="s">
        <v>104</v>
      </c>
      <c r="AI177" s="51" t="s">
        <v>74</v>
      </c>
      <c r="AJ177" s="51" t="s">
        <v>74</v>
      </c>
      <c r="AK177" s="51" t="s">
        <v>102</v>
      </c>
      <c r="AL177" s="51" t="s">
        <v>74</v>
      </c>
      <c r="AM177" s="51" t="s">
        <v>74</v>
      </c>
      <c r="AN177" s="52">
        <v>0</v>
      </c>
      <c r="AO177" s="52">
        <v>0</v>
      </c>
      <c r="AP177" s="52">
        <v>0</v>
      </c>
      <c r="AQ177" s="52">
        <v>0</v>
      </c>
      <c r="AR177" s="52">
        <v>0</v>
      </c>
      <c r="AS177" s="52">
        <v>0</v>
      </c>
      <c r="AT177" s="53" t="s">
        <v>74</v>
      </c>
      <c r="AU177" s="52">
        <v>0</v>
      </c>
      <c r="AV177" s="52"/>
      <c r="AW177" s="52">
        <v>519192</v>
      </c>
      <c r="AX177" s="52"/>
      <c r="AY177" s="52"/>
      <c r="AZ177" s="52">
        <v>0</v>
      </c>
      <c r="BA177" s="52">
        <v>519192</v>
      </c>
      <c r="BB177" s="54" t="s">
        <v>74</v>
      </c>
      <c r="BC177" s="53" t="s">
        <v>74</v>
      </c>
      <c r="BD177" s="55" t="s">
        <v>284</v>
      </c>
      <c r="BE177" s="55" t="s">
        <v>74</v>
      </c>
      <c r="BF177" s="55" t="s">
        <v>74</v>
      </c>
      <c r="BG177" s="55" t="s">
        <v>74</v>
      </c>
      <c r="BH177" s="52">
        <v>519192</v>
      </c>
      <c r="BI177" s="52">
        <v>8635406.3699999992</v>
      </c>
      <c r="BJ177" s="52">
        <v>8116214.3700000001</v>
      </c>
      <c r="BK177" s="56">
        <v>43160</v>
      </c>
      <c r="BL177" s="57">
        <v>8635406.3699999992</v>
      </c>
      <c r="BM177" s="47">
        <v>0</v>
      </c>
      <c r="BN177" s="9"/>
      <c r="BO177" s="9"/>
      <c r="BP177" s="9"/>
      <c r="BQ177" s="9"/>
      <c r="BR177" s="9"/>
      <c r="BS177" s="9"/>
      <c r="BT177" s="9"/>
      <c r="BU177" s="9"/>
      <c r="BV177" s="9"/>
      <c r="BW177" s="9"/>
    </row>
    <row r="178" spans="1:75" ht="26.25" hidden="1" outlineLevel="2" x14ac:dyDescent="0.25">
      <c r="A178" s="43" t="s">
        <v>275</v>
      </c>
      <c r="B178" s="110" t="s">
        <v>276</v>
      </c>
      <c r="C178" s="45">
        <v>2018</v>
      </c>
      <c r="D178" s="46" t="s">
        <v>79</v>
      </c>
      <c r="E178" s="47">
        <v>0</v>
      </c>
      <c r="F178" s="47">
        <v>0</v>
      </c>
      <c r="G178" s="47">
        <v>0</v>
      </c>
      <c r="H178" s="47">
        <v>0</v>
      </c>
      <c r="I178" s="47">
        <v>0</v>
      </c>
      <c r="J178" s="47">
        <v>0</v>
      </c>
      <c r="K178" s="47">
        <v>0</v>
      </c>
      <c r="L178" s="47">
        <v>0</v>
      </c>
      <c r="M178" s="47">
        <v>0</v>
      </c>
      <c r="N178" s="47">
        <v>0</v>
      </c>
      <c r="O178" s="47">
        <v>0</v>
      </c>
      <c r="P178" s="47">
        <v>0</v>
      </c>
      <c r="Q178" s="47">
        <v>11729587.220000001</v>
      </c>
      <c r="R178" s="47">
        <v>0</v>
      </c>
      <c r="S178" s="47">
        <v>0</v>
      </c>
      <c r="T178" s="47">
        <v>0</v>
      </c>
      <c r="U178" s="47">
        <v>0</v>
      </c>
      <c r="V178" s="47">
        <v>0</v>
      </c>
      <c r="W178" s="47">
        <v>0</v>
      </c>
      <c r="X178" s="47">
        <v>0</v>
      </c>
      <c r="Y178" s="48">
        <v>11729587.220000001</v>
      </c>
      <c r="Z178" s="58">
        <v>3698526.72</v>
      </c>
      <c r="AA178" s="50">
        <v>3698526.72</v>
      </c>
      <c r="AB178" s="50">
        <v>0</v>
      </c>
      <c r="AC178" s="50">
        <v>0</v>
      </c>
      <c r="AD178" s="50">
        <v>108083.56</v>
      </c>
      <c r="AE178" s="50">
        <v>0</v>
      </c>
      <c r="AF178" s="50">
        <v>0</v>
      </c>
      <c r="AG178" s="49">
        <v>3806610.28</v>
      </c>
      <c r="AH178" s="51" t="s">
        <v>104</v>
      </c>
      <c r="AI178" s="51" t="s">
        <v>74</v>
      </c>
      <c r="AJ178" s="51" t="s">
        <v>74</v>
      </c>
      <c r="AK178" s="51" t="s">
        <v>106</v>
      </c>
      <c r="AL178" s="51" t="s">
        <v>74</v>
      </c>
      <c r="AM178" s="51" t="s">
        <v>74</v>
      </c>
      <c r="AN178" s="52">
        <v>0</v>
      </c>
      <c r="AO178" s="52">
        <v>0</v>
      </c>
      <c r="AP178" s="52">
        <v>0</v>
      </c>
      <c r="AQ178" s="52">
        <v>0</v>
      </c>
      <c r="AR178" s="52">
        <v>0</v>
      </c>
      <c r="AS178" s="52">
        <v>0</v>
      </c>
      <c r="AT178" s="53" t="s">
        <v>74</v>
      </c>
      <c r="AU178" s="52">
        <v>0</v>
      </c>
      <c r="AV178" s="52"/>
      <c r="AW178" s="52">
        <v>0</v>
      </c>
      <c r="AX178" s="52"/>
      <c r="AY178" s="52"/>
      <c r="AZ178" s="52">
        <v>0</v>
      </c>
      <c r="BA178" s="52">
        <v>0</v>
      </c>
      <c r="BB178" s="54" t="s">
        <v>74</v>
      </c>
      <c r="BC178" s="53" t="s">
        <v>74</v>
      </c>
      <c r="BD178" s="55" t="s">
        <v>74</v>
      </c>
      <c r="BE178" s="55" t="s">
        <v>74</v>
      </c>
      <c r="BF178" s="55" t="s">
        <v>74</v>
      </c>
      <c r="BG178" s="55" t="s">
        <v>74</v>
      </c>
      <c r="BH178" s="52">
        <v>0</v>
      </c>
      <c r="BI178" s="52">
        <v>7922976.9400000004</v>
      </c>
      <c r="BJ178" s="52">
        <v>7922976.9400000004</v>
      </c>
      <c r="BK178" s="56">
        <v>43191</v>
      </c>
      <c r="BL178" s="57">
        <v>7922976.9400000004</v>
      </c>
      <c r="BM178" s="47">
        <v>0</v>
      </c>
      <c r="BN178" s="9"/>
      <c r="BO178" s="9"/>
      <c r="BP178" s="9"/>
      <c r="BQ178" s="9"/>
      <c r="BR178" s="9"/>
      <c r="BS178" s="9"/>
      <c r="BT178" s="9"/>
      <c r="BU178" s="9"/>
      <c r="BV178" s="9"/>
      <c r="BW178" s="9"/>
    </row>
    <row r="179" spans="1:75" ht="90" hidden="1" outlineLevel="2" x14ac:dyDescent="0.25">
      <c r="A179" s="43" t="s">
        <v>275</v>
      </c>
      <c r="B179" s="110" t="s">
        <v>276</v>
      </c>
      <c r="C179" s="45">
        <v>2018</v>
      </c>
      <c r="D179" s="46" t="s">
        <v>81</v>
      </c>
      <c r="E179" s="47">
        <v>0</v>
      </c>
      <c r="F179" s="47">
        <v>0</v>
      </c>
      <c r="G179" s="47">
        <v>0</v>
      </c>
      <c r="H179" s="47">
        <v>0</v>
      </c>
      <c r="I179" s="47">
        <v>0</v>
      </c>
      <c r="J179" s="47">
        <v>0</v>
      </c>
      <c r="K179" s="47">
        <v>0</v>
      </c>
      <c r="L179" s="47">
        <v>0</v>
      </c>
      <c r="M179" s="47">
        <v>0</v>
      </c>
      <c r="N179" s="47">
        <v>0</v>
      </c>
      <c r="O179" s="47">
        <v>0</v>
      </c>
      <c r="P179" s="47">
        <v>0</v>
      </c>
      <c r="Q179" s="47">
        <v>11729587.220000001</v>
      </c>
      <c r="R179" s="47">
        <v>976844.86</v>
      </c>
      <c r="S179" s="47">
        <v>0</v>
      </c>
      <c r="T179" s="47">
        <v>0</v>
      </c>
      <c r="U179" s="47">
        <v>0</v>
      </c>
      <c r="V179" s="47">
        <v>0</v>
      </c>
      <c r="W179" s="47">
        <v>0</v>
      </c>
      <c r="X179" s="47">
        <v>0</v>
      </c>
      <c r="Y179" s="48">
        <v>12706432.08</v>
      </c>
      <c r="Z179" s="58">
        <v>3825993.1</v>
      </c>
      <c r="AA179" s="50">
        <v>3825993.1</v>
      </c>
      <c r="AB179" s="50">
        <v>0</v>
      </c>
      <c r="AC179" s="50">
        <v>0</v>
      </c>
      <c r="AD179" s="50">
        <v>120255.83</v>
      </c>
      <c r="AE179" s="50">
        <v>34466.68</v>
      </c>
      <c r="AF179" s="50">
        <v>0</v>
      </c>
      <c r="AG179" s="49">
        <v>3980715.61</v>
      </c>
      <c r="AH179" s="51" t="s">
        <v>104</v>
      </c>
      <c r="AI179" s="51" t="s">
        <v>74</v>
      </c>
      <c r="AJ179" s="51" t="s">
        <v>74</v>
      </c>
      <c r="AK179" s="51" t="s">
        <v>197</v>
      </c>
      <c r="AL179" s="51" t="s">
        <v>285</v>
      </c>
      <c r="AM179" s="51" t="s">
        <v>74</v>
      </c>
      <c r="AN179" s="52">
        <v>0</v>
      </c>
      <c r="AO179" s="52">
        <v>0</v>
      </c>
      <c r="AP179" s="52"/>
      <c r="AQ179" s="52"/>
      <c r="AR179" s="52"/>
      <c r="AS179" s="52">
        <v>0</v>
      </c>
      <c r="AT179" s="53" t="s">
        <v>74</v>
      </c>
      <c r="AU179" s="52">
        <v>131202.01</v>
      </c>
      <c r="AV179" s="52"/>
      <c r="AW179" s="52">
        <v>0</v>
      </c>
      <c r="AX179" s="52"/>
      <c r="AY179" s="52"/>
      <c r="AZ179" s="52">
        <v>0</v>
      </c>
      <c r="BA179" s="52">
        <v>131202.01</v>
      </c>
      <c r="BB179" s="55" t="s">
        <v>286</v>
      </c>
      <c r="BC179" s="51" t="s">
        <v>74</v>
      </c>
      <c r="BD179" s="54" t="s">
        <v>74</v>
      </c>
      <c r="BE179" s="54" t="s">
        <v>74</v>
      </c>
      <c r="BF179" s="54" t="s">
        <v>74</v>
      </c>
      <c r="BG179" s="54" t="s">
        <v>74</v>
      </c>
      <c r="BH179" s="52">
        <v>131202.01</v>
      </c>
      <c r="BI179" s="52">
        <v>8856918.4800000004</v>
      </c>
      <c r="BJ179" s="52">
        <v>8725716.4800000004</v>
      </c>
      <c r="BK179" s="56">
        <v>43221</v>
      </c>
      <c r="BL179" s="57">
        <v>8856918.4800000004</v>
      </c>
      <c r="BM179" s="47">
        <v>0</v>
      </c>
      <c r="BN179" s="9"/>
      <c r="BO179" s="9"/>
      <c r="BP179" s="9"/>
      <c r="BQ179" s="9"/>
      <c r="BR179" s="9"/>
      <c r="BS179" s="9"/>
      <c r="BT179" s="9"/>
      <c r="BU179" s="9"/>
      <c r="BV179" s="9"/>
      <c r="BW179" s="9"/>
    </row>
    <row r="180" spans="1:75" ht="51.75" hidden="1" outlineLevel="2" x14ac:dyDescent="0.25">
      <c r="A180" s="43" t="s">
        <v>275</v>
      </c>
      <c r="B180" s="110" t="s">
        <v>276</v>
      </c>
      <c r="C180" s="45">
        <v>2018</v>
      </c>
      <c r="D180" s="46" t="s">
        <v>83</v>
      </c>
      <c r="E180" s="47">
        <v>0</v>
      </c>
      <c r="F180" s="47">
        <v>0</v>
      </c>
      <c r="G180" s="47">
        <v>0</v>
      </c>
      <c r="H180" s="47">
        <v>0</v>
      </c>
      <c r="I180" s="47">
        <v>0</v>
      </c>
      <c r="J180" s="47">
        <v>0</v>
      </c>
      <c r="K180" s="47">
        <v>0</v>
      </c>
      <c r="L180" s="47">
        <v>0</v>
      </c>
      <c r="M180" s="47">
        <v>0</v>
      </c>
      <c r="N180" s="47">
        <v>0</v>
      </c>
      <c r="O180" s="47">
        <v>0</v>
      </c>
      <c r="P180" s="47">
        <v>0</v>
      </c>
      <c r="Q180" s="47">
        <v>11729587.220000001</v>
      </c>
      <c r="R180" s="47">
        <v>1470151.07</v>
      </c>
      <c r="S180" s="47">
        <v>0</v>
      </c>
      <c r="T180" s="47">
        <v>0</v>
      </c>
      <c r="U180" s="47">
        <v>0</v>
      </c>
      <c r="V180" s="47">
        <v>0</v>
      </c>
      <c r="W180" s="47">
        <v>0</v>
      </c>
      <c r="X180" s="47">
        <v>0</v>
      </c>
      <c r="Y180" s="48">
        <v>13199738.289999999</v>
      </c>
      <c r="Z180" s="58">
        <v>3803769.19</v>
      </c>
      <c r="AA180" s="50">
        <v>3803769.19</v>
      </c>
      <c r="AB180" s="50">
        <v>0</v>
      </c>
      <c r="AC180" s="50">
        <v>0</v>
      </c>
      <c r="AD180" s="50">
        <v>102547.76</v>
      </c>
      <c r="AE180" s="50">
        <v>406623.57</v>
      </c>
      <c r="AF180" s="50">
        <v>0</v>
      </c>
      <c r="AG180" s="49">
        <v>4312940.5199999996</v>
      </c>
      <c r="AH180" s="51" t="s">
        <v>104</v>
      </c>
      <c r="AI180" s="51" t="s">
        <v>74</v>
      </c>
      <c r="AJ180" s="51" t="s">
        <v>74</v>
      </c>
      <c r="AK180" s="51" t="s">
        <v>112</v>
      </c>
      <c r="AL180" s="51" t="s">
        <v>287</v>
      </c>
      <c r="AM180" s="51" t="s">
        <v>74</v>
      </c>
      <c r="AN180" s="52">
        <v>0</v>
      </c>
      <c r="AO180" s="52">
        <v>0</v>
      </c>
      <c r="AP180" s="52"/>
      <c r="AQ180" s="52"/>
      <c r="AR180" s="52"/>
      <c r="AS180" s="52">
        <v>0</v>
      </c>
      <c r="AT180" s="53" t="s">
        <v>74</v>
      </c>
      <c r="AU180" s="52">
        <v>381975.06</v>
      </c>
      <c r="AV180" s="52"/>
      <c r="AW180" s="52">
        <v>0</v>
      </c>
      <c r="AX180" s="52"/>
      <c r="AY180" s="52"/>
      <c r="AZ180" s="52">
        <v>0</v>
      </c>
      <c r="BA180" s="52">
        <v>381975.06</v>
      </c>
      <c r="BB180" s="55" t="s">
        <v>288</v>
      </c>
      <c r="BC180" s="51" t="s">
        <v>74</v>
      </c>
      <c r="BD180" s="54" t="s">
        <v>74</v>
      </c>
      <c r="BE180" s="54" t="s">
        <v>74</v>
      </c>
      <c r="BF180" s="54" t="s">
        <v>74</v>
      </c>
      <c r="BG180" s="54" t="s">
        <v>74</v>
      </c>
      <c r="BH180" s="52">
        <v>381975.06</v>
      </c>
      <c r="BI180" s="52">
        <v>9268772.8300000001</v>
      </c>
      <c r="BJ180" s="52">
        <v>8886797.7699999996</v>
      </c>
      <c r="BK180" s="56">
        <v>43252</v>
      </c>
      <c r="BL180" s="57">
        <v>9268772.8300000001</v>
      </c>
      <c r="BM180" s="47">
        <v>0</v>
      </c>
      <c r="BN180" s="9"/>
      <c r="BO180" s="9"/>
      <c r="BP180" s="9"/>
      <c r="BQ180" s="9"/>
      <c r="BR180" s="9"/>
      <c r="BS180" s="9"/>
      <c r="BT180" s="9"/>
      <c r="BU180" s="9"/>
      <c r="BV180" s="9"/>
      <c r="BW180" s="9"/>
    </row>
    <row r="181" spans="1:75" ht="128.25" hidden="1" outlineLevel="2" x14ac:dyDescent="0.25">
      <c r="A181" s="43" t="s">
        <v>275</v>
      </c>
      <c r="B181" s="110" t="s">
        <v>276</v>
      </c>
      <c r="C181" s="45">
        <v>2018</v>
      </c>
      <c r="D181" s="46" t="s">
        <v>84</v>
      </c>
      <c r="E181" s="47">
        <v>0</v>
      </c>
      <c r="F181" s="47">
        <v>0</v>
      </c>
      <c r="G181" s="47">
        <v>0</v>
      </c>
      <c r="H181" s="47">
        <v>0</v>
      </c>
      <c r="I181" s="47">
        <v>0</v>
      </c>
      <c r="J181" s="47">
        <v>0</v>
      </c>
      <c r="K181" s="47">
        <v>0</v>
      </c>
      <c r="L181" s="47">
        <v>0</v>
      </c>
      <c r="M181" s="47">
        <v>0</v>
      </c>
      <c r="N181" s="47">
        <v>0</v>
      </c>
      <c r="O181" s="47">
        <v>0</v>
      </c>
      <c r="P181" s="47">
        <v>0</v>
      </c>
      <c r="Q181" s="47">
        <v>11729587.220000001</v>
      </c>
      <c r="R181" s="47">
        <v>3434163.34</v>
      </c>
      <c r="S181" s="47">
        <v>0</v>
      </c>
      <c r="T181" s="47">
        <v>0</v>
      </c>
      <c r="U181" s="47">
        <v>0</v>
      </c>
      <c r="V181" s="47">
        <v>0</v>
      </c>
      <c r="W181" s="47">
        <v>0</v>
      </c>
      <c r="X181" s="47">
        <v>0</v>
      </c>
      <c r="Y181" s="48">
        <v>15163750.560000001</v>
      </c>
      <c r="Z181" s="58">
        <v>3877034.7</v>
      </c>
      <c r="AA181" s="50">
        <v>3877034.7</v>
      </c>
      <c r="AB181" s="50">
        <v>0</v>
      </c>
      <c r="AC181" s="50">
        <v>0</v>
      </c>
      <c r="AD181" s="50">
        <v>110768.48</v>
      </c>
      <c r="AE181" s="50">
        <v>1131572.1100000001</v>
      </c>
      <c r="AF181" s="50">
        <v>0</v>
      </c>
      <c r="AG181" s="49">
        <v>5119375.29</v>
      </c>
      <c r="AH181" s="51" t="s">
        <v>104</v>
      </c>
      <c r="AI181" s="51" t="s">
        <v>74</v>
      </c>
      <c r="AJ181" s="51" t="s">
        <v>74</v>
      </c>
      <c r="AK181" s="51" t="s">
        <v>115</v>
      </c>
      <c r="AL181" s="51" t="s">
        <v>289</v>
      </c>
      <c r="AM181" s="51" t="s">
        <v>74</v>
      </c>
      <c r="AN181" s="52">
        <v>0</v>
      </c>
      <c r="AO181" s="52">
        <v>0</v>
      </c>
      <c r="AP181" s="52">
        <v>0</v>
      </c>
      <c r="AQ181" s="52">
        <v>0</v>
      </c>
      <c r="AR181" s="52">
        <v>0</v>
      </c>
      <c r="AS181" s="52">
        <v>0</v>
      </c>
      <c r="AT181" s="53" t="s">
        <v>74</v>
      </c>
      <c r="AU181" s="52">
        <v>0</v>
      </c>
      <c r="AV181" s="52"/>
      <c r="AW181" s="52">
        <v>0</v>
      </c>
      <c r="AX181" s="52"/>
      <c r="AY181" s="52"/>
      <c r="AZ181" s="52">
        <v>0</v>
      </c>
      <c r="BA181" s="52">
        <v>0</v>
      </c>
      <c r="BB181" s="54" t="s">
        <v>74</v>
      </c>
      <c r="BC181" s="53" t="s">
        <v>74</v>
      </c>
      <c r="BD181" s="55" t="s">
        <v>74</v>
      </c>
      <c r="BE181" s="55" t="s">
        <v>74</v>
      </c>
      <c r="BF181" s="55" t="s">
        <v>74</v>
      </c>
      <c r="BG181" s="55" t="s">
        <v>74</v>
      </c>
      <c r="BH181" s="52">
        <v>0</v>
      </c>
      <c r="BI181" s="52">
        <v>10044375.27</v>
      </c>
      <c r="BJ181" s="52">
        <v>8080363</v>
      </c>
      <c r="BK181" s="56">
        <v>43282</v>
      </c>
      <c r="BL181" s="57">
        <v>8640115.2699999996</v>
      </c>
      <c r="BM181" s="47">
        <v>1404260</v>
      </c>
      <c r="BN181" s="9"/>
      <c r="BO181" s="9"/>
      <c r="BP181" s="9"/>
      <c r="BQ181" s="9"/>
      <c r="BR181" s="9"/>
      <c r="BS181" s="9"/>
      <c r="BT181" s="9"/>
      <c r="BU181" s="9"/>
      <c r="BV181" s="9"/>
      <c r="BW181" s="9"/>
    </row>
    <row r="182" spans="1:75" ht="39" hidden="1" outlineLevel="2" x14ac:dyDescent="0.25">
      <c r="A182" s="43" t="s">
        <v>275</v>
      </c>
      <c r="B182" s="110" t="s">
        <v>276</v>
      </c>
      <c r="C182" s="45">
        <v>2018</v>
      </c>
      <c r="D182" s="46" t="s">
        <v>86</v>
      </c>
      <c r="E182" s="47">
        <v>0</v>
      </c>
      <c r="F182" s="47">
        <v>0</v>
      </c>
      <c r="G182" s="47">
        <v>0</v>
      </c>
      <c r="H182" s="47">
        <v>0</v>
      </c>
      <c r="I182" s="47">
        <v>0</v>
      </c>
      <c r="J182" s="47">
        <v>0</v>
      </c>
      <c r="K182" s="47">
        <v>0</v>
      </c>
      <c r="L182" s="47">
        <v>0</v>
      </c>
      <c r="M182" s="47">
        <v>0</v>
      </c>
      <c r="N182" s="47">
        <v>0</v>
      </c>
      <c r="O182" s="47">
        <v>0</v>
      </c>
      <c r="P182" s="47">
        <v>0</v>
      </c>
      <c r="Q182" s="47">
        <v>11729587.220000001</v>
      </c>
      <c r="R182" s="47">
        <v>1470151.07</v>
      </c>
      <c r="S182" s="47">
        <v>0</v>
      </c>
      <c r="T182" s="47">
        <v>0</v>
      </c>
      <c r="U182" s="47">
        <v>0</v>
      </c>
      <c r="V182" s="47">
        <v>0</v>
      </c>
      <c r="W182" s="47">
        <v>0</v>
      </c>
      <c r="X182" s="47">
        <v>0</v>
      </c>
      <c r="Y182" s="48">
        <v>13199738.289999999</v>
      </c>
      <c r="Z182" s="58">
        <v>3690629.66</v>
      </c>
      <c r="AA182" s="50">
        <v>3690629.66</v>
      </c>
      <c r="AB182" s="50">
        <v>0</v>
      </c>
      <c r="AC182" s="50">
        <v>0</v>
      </c>
      <c r="AD182" s="50">
        <v>120912.83</v>
      </c>
      <c r="AE182" s="50">
        <v>624678.79</v>
      </c>
      <c r="AF182" s="50">
        <v>0</v>
      </c>
      <c r="AG182" s="49">
        <v>4436221.28</v>
      </c>
      <c r="AH182" s="51" t="s">
        <v>104</v>
      </c>
      <c r="AI182" s="51" t="s">
        <v>74</v>
      </c>
      <c r="AJ182" s="51" t="s">
        <v>74</v>
      </c>
      <c r="AK182" s="51" t="s">
        <v>118</v>
      </c>
      <c r="AL182" s="51" t="s">
        <v>290</v>
      </c>
      <c r="AM182" s="51" t="s">
        <v>74</v>
      </c>
      <c r="AN182" s="52">
        <v>0</v>
      </c>
      <c r="AO182" s="52">
        <v>0</v>
      </c>
      <c r="AP182" s="52">
        <v>0</v>
      </c>
      <c r="AQ182" s="52">
        <v>0</v>
      </c>
      <c r="AR182" s="52">
        <v>0</v>
      </c>
      <c r="AS182" s="52">
        <v>0</v>
      </c>
      <c r="AT182" s="53" t="s">
        <v>74</v>
      </c>
      <c r="AU182" s="52">
        <v>0</v>
      </c>
      <c r="AV182" s="52"/>
      <c r="AW182" s="52">
        <v>0</v>
      </c>
      <c r="AX182" s="52"/>
      <c r="AY182" s="52"/>
      <c r="AZ182" s="52">
        <v>0</v>
      </c>
      <c r="BA182" s="52">
        <v>0</v>
      </c>
      <c r="BB182" s="54" t="s">
        <v>74</v>
      </c>
      <c r="BC182" s="53" t="s">
        <v>74</v>
      </c>
      <c r="BD182" s="55" t="s">
        <v>74</v>
      </c>
      <c r="BE182" s="55" t="s">
        <v>74</v>
      </c>
      <c r="BF182" s="55" t="s">
        <v>74</v>
      </c>
      <c r="BG182" s="55" t="s">
        <v>74</v>
      </c>
      <c r="BH182" s="52">
        <v>0</v>
      </c>
      <c r="BI182" s="52">
        <v>8763517.0099999998</v>
      </c>
      <c r="BJ182" s="52">
        <v>8763517.0099999998</v>
      </c>
      <c r="BK182" s="56">
        <v>43313</v>
      </c>
      <c r="BL182" s="57">
        <v>8763517.0099999998</v>
      </c>
      <c r="BM182" s="47">
        <v>0</v>
      </c>
      <c r="BN182" s="9"/>
      <c r="BO182" s="9"/>
      <c r="BP182" s="9"/>
      <c r="BQ182" s="9"/>
      <c r="BR182" s="9"/>
      <c r="BS182" s="9"/>
      <c r="BT182" s="9"/>
      <c r="BU182" s="9"/>
      <c r="BV182" s="9"/>
      <c r="BW182" s="9"/>
    </row>
    <row r="183" spans="1:75" ht="39" hidden="1" outlineLevel="2" x14ac:dyDescent="0.25">
      <c r="A183" s="43" t="s">
        <v>275</v>
      </c>
      <c r="B183" s="110" t="s">
        <v>276</v>
      </c>
      <c r="C183" s="45">
        <v>2018</v>
      </c>
      <c r="D183" s="46" t="s">
        <v>88</v>
      </c>
      <c r="E183" s="47">
        <v>0</v>
      </c>
      <c r="F183" s="47">
        <v>0</v>
      </c>
      <c r="G183" s="47">
        <v>0</v>
      </c>
      <c r="H183" s="47">
        <v>0</v>
      </c>
      <c r="I183" s="47">
        <v>0</v>
      </c>
      <c r="J183" s="47">
        <v>0</v>
      </c>
      <c r="K183" s="47">
        <v>0</v>
      </c>
      <c r="L183" s="47">
        <v>0</v>
      </c>
      <c r="M183" s="47">
        <v>0</v>
      </c>
      <c r="N183" s="47">
        <v>0</v>
      </c>
      <c r="O183" s="47">
        <v>0</v>
      </c>
      <c r="P183" s="47">
        <v>0</v>
      </c>
      <c r="Q183" s="47">
        <v>11729587.220000001</v>
      </c>
      <c r="R183" s="47">
        <v>1470151.07</v>
      </c>
      <c r="S183" s="47">
        <v>0</v>
      </c>
      <c r="T183" s="47">
        <v>0</v>
      </c>
      <c r="U183" s="47">
        <v>0</v>
      </c>
      <c r="V183" s="47">
        <v>0</v>
      </c>
      <c r="W183" s="47">
        <v>0</v>
      </c>
      <c r="X183" s="47">
        <v>0</v>
      </c>
      <c r="Y183" s="48">
        <v>13199738.289999999</v>
      </c>
      <c r="Z183" s="58">
        <v>3695266.94</v>
      </c>
      <c r="AA183" s="50">
        <v>3695266.94</v>
      </c>
      <c r="AB183" s="50">
        <v>0</v>
      </c>
      <c r="AC183" s="50">
        <v>0</v>
      </c>
      <c r="AD183" s="50">
        <v>117374.33</v>
      </c>
      <c r="AE183" s="50">
        <v>624678.79</v>
      </c>
      <c r="AF183" s="50">
        <v>0</v>
      </c>
      <c r="AG183" s="49">
        <v>4437320.0599999996</v>
      </c>
      <c r="AH183" s="51" t="s">
        <v>104</v>
      </c>
      <c r="AI183" s="51" t="s">
        <v>74</v>
      </c>
      <c r="AJ183" s="51" t="s">
        <v>74</v>
      </c>
      <c r="AK183" s="51" t="s">
        <v>121</v>
      </c>
      <c r="AL183" s="51" t="s">
        <v>290</v>
      </c>
      <c r="AM183" s="51" t="s">
        <v>74</v>
      </c>
      <c r="AN183" s="52">
        <v>0</v>
      </c>
      <c r="AO183" s="52">
        <v>0</v>
      </c>
      <c r="AP183" s="52">
        <v>0</v>
      </c>
      <c r="AQ183" s="52">
        <v>0</v>
      </c>
      <c r="AR183" s="52">
        <v>0</v>
      </c>
      <c r="AS183" s="52">
        <v>0</v>
      </c>
      <c r="AT183" s="53" t="s">
        <v>74</v>
      </c>
      <c r="AU183" s="52">
        <v>0</v>
      </c>
      <c r="AV183" s="52"/>
      <c r="AW183" s="52">
        <v>0</v>
      </c>
      <c r="AX183" s="52"/>
      <c r="AY183" s="52"/>
      <c r="AZ183" s="52">
        <v>0</v>
      </c>
      <c r="BA183" s="52">
        <v>0</v>
      </c>
      <c r="BB183" s="54" t="s">
        <v>74</v>
      </c>
      <c r="BC183" s="53" t="s">
        <v>74</v>
      </c>
      <c r="BD183" s="55" t="s">
        <v>74</v>
      </c>
      <c r="BE183" s="55" t="s">
        <v>74</v>
      </c>
      <c r="BF183" s="55" t="s">
        <v>74</v>
      </c>
      <c r="BG183" s="55" t="s">
        <v>74</v>
      </c>
      <c r="BH183" s="52">
        <v>0</v>
      </c>
      <c r="BI183" s="52">
        <v>8762418.2300000004</v>
      </c>
      <c r="BJ183" s="52">
        <v>8762418.2300000004</v>
      </c>
      <c r="BK183" s="56">
        <v>43344</v>
      </c>
      <c r="BL183" s="57">
        <v>8762418.2300000004</v>
      </c>
      <c r="BM183" s="47">
        <v>0</v>
      </c>
      <c r="BN183" s="9"/>
      <c r="BO183" s="9"/>
      <c r="BP183" s="9"/>
      <c r="BQ183" s="9"/>
      <c r="BR183" s="9"/>
      <c r="BS183" s="9"/>
      <c r="BT183" s="9"/>
      <c r="BU183" s="9"/>
      <c r="BV183" s="9"/>
      <c r="BW183" s="9"/>
    </row>
    <row r="184" spans="1:75" ht="179.25" hidden="1" outlineLevel="2" x14ac:dyDescent="0.25">
      <c r="A184" s="43" t="s">
        <v>275</v>
      </c>
      <c r="B184" s="110" t="s">
        <v>276</v>
      </c>
      <c r="C184" s="45">
        <v>2018</v>
      </c>
      <c r="D184" s="46" t="s">
        <v>89</v>
      </c>
      <c r="E184" s="47">
        <v>0</v>
      </c>
      <c r="F184" s="47">
        <v>0</v>
      </c>
      <c r="G184" s="47">
        <v>0</v>
      </c>
      <c r="H184" s="47">
        <v>0</v>
      </c>
      <c r="I184" s="47">
        <v>0</v>
      </c>
      <c r="J184" s="47">
        <v>0</v>
      </c>
      <c r="K184" s="47">
        <v>0</v>
      </c>
      <c r="L184" s="47">
        <v>0</v>
      </c>
      <c r="M184" s="47">
        <v>0</v>
      </c>
      <c r="N184" s="47">
        <v>0</v>
      </c>
      <c r="O184" s="47">
        <v>0</v>
      </c>
      <c r="P184" s="47">
        <v>0</v>
      </c>
      <c r="Q184" s="47">
        <v>11729587.220000001</v>
      </c>
      <c r="R184" s="47">
        <v>1470151.07</v>
      </c>
      <c r="S184" s="47">
        <v>0</v>
      </c>
      <c r="T184" s="47">
        <v>0</v>
      </c>
      <c r="U184" s="47">
        <v>0</v>
      </c>
      <c r="V184" s="47">
        <v>0</v>
      </c>
      <c r="W184" s="47">
        <v>0</v>
      </c>
      <c r="X184" s="47">
        <v>0</v>
      </c>
      <c r="Y184" s="48">
        <v>13199738.289999999</v>
      </c>
      <c r="Z184" s="58">
        <v>3669577.41</v>
      </c>
      <c r="AA184" s="50">
        <v>3669577.41</v>
      </c>
      <c r="AB184" s="50">
        <v>0</v>
      </c>
      <c r="AC184" s="50">
        <v>0</v>
      </c>
      <c r="AD184" s="50">
        <v>135302.07</v>
      </c>
      <c r="AE184" s="50">
        <v>1707654.88</v>
      </c>
      <c r="AF184" s="50">
        <v>2100672.7799999998</v>
      </c>
      <c r="AG184" s="49">
        <v>7613207.1399999997</v>
      </c>
      <c r="AH184" s="51" t="s">
        <v>104</v>
      </c>
      <c r="AI184" s="51" t="s">
        <v>74</v>
      </c>
      <c r="AJ184" s="51" t="s">
        <v>74</v>
      </c>
      <c r="AK184" s="51" t="s">
        <v>124</v>
      </c>
      <c r="AL184" s="51" t="s">
        <v>291</v>
      </c>
      <c r="AM184" s="51" t="s">
        <v>292</v>
      </c>
      <c r="AN184" s="52">
        <v>0</v>
      </c>
      <c r="AO184" s="52">
        <v>0</v>
      </c>
      <c r="AP184" s="52">
        <v>0</v>
      </c>
      <c r="AQ184" s="52">
        <v>0</v>
      </c>
      <c r="AR184" s="52">
        <v>0</v>
      </c>
      <c r="AS184" s="52">
        <v>0</v>
      </c>
      <c r="AT184" s="53" t="s">
        <v>74</v>
      </c>
      <c r="AU184" s="52">
        <v>0</v>
      </c>
      <c r="AV184" s="52"/>
      <c r="AW184" s="52">
        <v>0</v>
      </c>
      <c r="AX184" s="52"/>
      <c r="AY184" s="52"/>
      <c r="AZ184" s="52">
        <v>0</v>
      </c>
      <c r="BA184" s="52">
        <v>0</v>
      </c>
      <c r="BB184" s="54" t="s">
        <v>74</v>
      </c>
      <c r="BC184" s="53" t="s">
        <v>74</v>
      </c>
      <c r="BD184" s="55" t="s">
        <v>74</v>
      </c>
      <c r="BE184" s="55" t="s">
        <v>74</v>
      </c>
      <c r="BF184" s="55" t="s">
        <v>74</v>
      </c>
      <c r="BG184" s="55" t="s">
        <v>74</v>
      </c>
      <c r="BH184" s="52">
        <v>0</v>
      </c>
      <c r="BI184" s="52">
        <v>5586531.1500000004</v>
      </c>
      <c r="BJ184" s="52">
        <v>5586531.1500000004</v>
      </c>
      <c r="BK184" s="56">
        <v>43374</v>
      </c>
      <c r="BL184" s="57">
        <v>5586531.1500000004</v>
      </c>
      <c r="BM184" s="47">
        <v>0</v>
      </c>
      <c r="BN184" s="9"/>
      <c r="BO184" s="9"/>
      <c r="BP184" s="9"/>
      <c r="BQ184" s="9"/>
      <c r="BR184" s="9"/>
      <c r="BS184" s="9"/>
      <c r="BT184" s="9"/>
      <c r="BU184" s="9"/>
      <c r="BV184" s="9"/>
      <c r="BW184" s="9"/>
    </row>
    <row r="185" spans="1:75" ht="409.6" hidden="1" outlineLevel="2" x14ac:dyDescent="0.25">
      <c r="A185" s="43" t="s">
        <v>275</v>
      </c>
      <c r="B185" s="110" t="s">
        <v>276</v>
      </c>
      <c r="C185" s="45">
        <v>2018</v>
      </c>
      <c r="D185" s="46" t="s">
        <v>90</v>
      </c>
      <c r="E185" s="47">
        <v>0</v>
      </c>
      <c r="F185" s="47">
        <v>0</v>
      </c>
      <c r="G185" s="47">
        <v>0</v>
      </c>
      <c r="H185" s="47">
        <v>0</v>
      </c>
      <c r="I185" s="47">
        <v>0</v>
      </c>
      <c r="J185" s="47">
        <v>0</v>
      </c>
      <c r="K185" s="47">
        <v>0</v>
      </c>
      <c r="L185" s="47">
        <v>0</v>
      </c>
      <c r="M185" s="47">
        <v>0</v>
      </c>
      <c r="N185" s="47">
        <v>0</v>
      </c>
      <c r="O185" s="47">
        <v>0</v>
      </c>
      <c r="P185" s="47">
        <v>0</v>
      </c>
      <c r="Q185" s="47">
        <v>11729587.220000001</v>
      </c>
      <c r="R185" s="47">
        <v>1470151.07</v>
      </c>
      <c r="S185" s="47">
        <v>0</v>
      </c>
      <c r="T185" s="47">
        <v>0</v>
      </c>
      <c r="U185" s="47">
        <v>0</v>
      </c>
      <c r="V185" s="47">
        <v>0</v>
      </c>
      <c r="W185" s="47">
        <v>0</v>
      </c>
      <c r="X185" s="47">
        <v>0</v>
      </c>
      <c r="Y185" s="48">
        <v>13199738.289999999</v>
      </c>
      <c r="Z185" s="58">
        <v>3588509.24</v>
      </c>
      <c r="AA185" s="50">
        <v>3588509.24</v>
      </c>
      <c r="AB185" s="50">
        <v>0</v>
      </c>
      <c r="AC185" s="50">
        <v>0</v>
      </c>
      <c r="AD185" s="50">
        <v>133357.53</v>
      </c>
      <c r="AE185" s="50">
        <v>1276274.31</v>
      </c>
      <c r="AF185" s="50">
        <v>83012.710000000006</v>
      </c>
      <c r="AG185" s="49">
        <v>5081153.79</v>
      </c>
      <c r="AH185" s="51" t="s">
        <v>104</v>
      </c>
      <c r="AI185" s="51" t="s">
        <v>74</v>
      </c>
      <c r="AJ185" s="51" t="s">
        <v>74</v>
      </c>
      <c r="AK185" s="51" t="s">
        <v>126</v>
      </c>
      <c r="AL185" s="51" t="s">
        <v>293</v>
      </c>
      <c r="AM185" s="51" t="s">
        <v>294</v>
      </c>
      <c r="AN185" s="52">
        <v>0</v>
      </c>
      <c r="AO185" s="52">
        <v>0</v>
      </c>
      <c r="AP185" s="52"/>
      <c r="AQ185" s="52"/>
      <c r="AR185" s="52"/>
      <c r="AS185" s="52">
        <v>0</v>
      </c>
      <c r="AT185" s="53" t="s">
        <v>74</v>
      </c>
      <c r="AU185" s="52">
        <v>253777.1</v>
      </c>
      <c r="AV185" s="52"/>
      <c r="AW185" s="52">
        <v>0</v>
      </c>
      <c r="AX185" s="52"/>
      <c r="AY185" s="52"/>
      <c r="AZ185" s="52">
        <v>0</v>
      </c>
      <c r="BA185" s="52">
        <v>253777.1</v>
      </c>
      <c r="BB185" s="55" t="s">
        <v>295</v>
      </c>
      <c r="BC185" s="51" t="s">
        <v>74</v>
      </c>
      <c r="BD185" s="54" t="s">
        <v>74</v>
      </c>
      <c r="BE185" s="54" t="s">
        <v>74</v>
      </c>
      <c r="BF185" s="54" t="s">
        <v>74</v>
      </c>
      <c r="BG185" s="54" t="s">
        <v>74</v>
      </c>
      <c r="BH185" s="52">
        <v>253777.1</v>
      </c>
      <c r="BI185" s="52">
        <v>8372361.5999999996</v>
      </c>
      <c r="BJ185" s="52">
        <v>8118584.5</v>
      </c>
      <c r="BK185" s="56">
        <v>43405</v>
      </c>
      <c r="BL185" s="57">
        <v>8372361.5999999996</v>
      </c>
      <c r="BM185" s="47">
        <v>0</v>
      </c>
      <c r="BN185" s="9"/>
      <c r="BO185" s="9"/>
      <c r="BP185" s="9"/>
      <c r="BQ185" s="9"/>
      <c r="BR185" s="9"/>
      <c r="BS185" s="9"/>
      <c r="BT185" s="9"/>
      <c r="BU185" s="9"/>
      <c r="BV185" s="9"/>
      <c r="BW185" s="9"/>
    </row>
    <row r="186" spans="1:75" ht="268.5" hidden="1" outlineLevel="2" x14ac:dyDescent="0.25">
      <c r="A186" s="43" t="s">
        <v>275</v>
      </c>
      <c r="B186" s="110" t="s">
        <v>276</v>
      </c>
      <c r="C186" s="45">
        <v>2018</v>
      </c>
      <c r="D186" s="46" t="s">
        <v>93</v>
      </c>
      <c r="E186" s="47">
        <v>0</v>
      </c>
      <c r="F186" s="47">
        <v>0</v>
      </c>
      <c r="G186" s="47">
        <v>0</v>
      </c>
      <c r="H186" s="47">
        <v>0</v>
      </c>
      <c r="I186" s="47">
        <v>0</v>
      </c>
      <c r="J186" s="47">
        <v>0</v>
      </c>
      <c r="K186" s="47">
        <v>0</v>
      </c>
      <c r="L186" s="47">
        <v>0</v>
      </c>
      <c r="M186" s="47">
        <v>0</v>
      </c>
      <c r="N186" s="47">
        <v>0</v>
      </c>
      <c r="O186" s="47">
        <v>0</v>
      </c>
      <c r="P186" s="47">
        <v>0</v>
      </c>
      <c r="Q186" s="47">
        <v>11729587.220000001</v>
      </c>
      <c r="R186" s="47">
        <v>1470151.07</v>
      </c>
      <c r="S186" s="47">
        <v>0</v>
      </c>
      <c r="T186" s="47">
        <v>0</v>
      </c>
      <c r="U186" s="47">
        <v>0</v>
      </c>
      <c r="V186" s="47">
        <v>0</v>
      </c>
      <c r="W186" s="47">
        <v>0</v>
      </c>
      <c r="X186" s="47">
        <v>0</v>
      </c>
      <c r="Y186" s="48">
        <v>13199738.289999999</v>
      </c>
      <c r="Z186" s="58">
        <v>3564465.08</v>
      </c>
      <c r="AA186" s="50">
        <v>3564465.08</v>
      </c>
      <c r="AB186" s="50">
        <v>0</v>
      </c>
      <c r="AC186" s="50">
        <v>0</v>
      </c>
      <c r="AD186" s="50">
        <v>148700.68</v>
      </c>
      <c r="AE186" s="50">
        <v>1276275.5</v>
      </c>
      <c r="AF186" s="50">
        <v>0</v>
      </c>
      <c r="AG186" s="49">
        <v>4989441.26</v>
      </c>
      <c r="AH186" s="51" t="s">
        <v>104</v>
      </c>
      <c r="AI186" s="51" t="s">
        <v>74</v>
      </c>
      <c r="AJ186" s="51" t="s">
        <v>74</v>
      </c>
      <c r="AK186" s="51" t="s">
        <v>128</v>
      </c>
      <c r="AL186" s="51" t="s">
        <v>296</v>
      </c>
      <c r="AM186" s="51" t="s">
        <v>74</v>
      </c>
      <c r="AN186" s="52">
        <v>0</v>
      </c>
      <c r="AO186" s="52">
        <v>664625.09</v>
      </c>
      <c r="AP186" s="52">
        <v>0</v>
      </c>
      <c r="AQ186" s="52">
        <v>0</v>
      </c>
      <c r="AR186" s="52">
        <v>0</v>
      </c>
      <c r="AS186" s="52">
        <v>664625.09</v>
      </c>
      <c r="AT186" s="51" t="s">
        <v>297</v>
      </c>
      <c r="AU186" s="52">
        <v>0</v>
      </c>
      <c r="AV186" s="52"/>
      <c r="AW186" s="52">
        <v>0</v>
      </c>
      <c r="AX186" s="52"/>
      <c r="AY186" s="52"/>
      <c r="AZ186" s="52">
        <v>0</v>
      </c>
      <c r="BA186" s="52">
        <v>0</v>
      </c>
      <c r="BB186" s="54" t="s">
        <v>74</v>
      </c>
      <c r="BC186" s="53" t="s">
        <v>74</v>
      </c>
      <c r="BD186" s="55" t="s">
        <v>74</v>
      </c>
      <c r="BE186" s="55" t="s">
        <v>74</v>
      </c>
      <c r="BF186" s="55" t="s">
        <v>74</v>
      </c>
      <c r="BG186" s="55" t="s">
        <v>74</v>
      </c>
      <c r="BH186" s="52">
        <v>664625.09</v>
      </c>
      <c r="BI186" s="52">
        <v>8874922.1199999992</v>
      </c>
      <c r="BJ186" s="52">
        <v>8210297.0300000003</v>
      </c>
      <c r="BK186" s="56">
        <v>43435</v>
      </c>
      <c r="BL186" s="57">
        <v>8874922.1199999992</v>
      </c>
      <c r="BM186" s="47">
        <v>0</v>
      </c>
      <c r="BN186" s="9"/>
      <c r="BO186" s="9"/>
      <c r="BP186" s="9"/>
      <c r="BQ186" s="9"/>
      <c r="BR186" s="9"/>
      <c r="BS186" s="9"/>
      <c r="BT186" s="9"/>
      <c r="BU186" s="9"/>
      <c r="BV186" s="9"/>
      <c r="BW186" s="9"/>
    </row>
    <row r="187" spans="1:75" ht="64.5" hidden="1" outlineLevel="2" x14ac:dyDescent="0.25">
      <c r="A187" s="43" t="s">
        <v>275</v>
      </c>
      <c r="B187" s="110" t="s">
        <v>276</v>
      </c>
      <c r="C187" s="45">
        <v>2019</v>
      </c>
      <c r="D187" s="46" t="s">
        <v>73</v>
      </c>
      <c r="E187" s="47">
        <v>0</v>
      </c>
      <c r="F187" s="47">
        <v>0</v>
      </c>
      <c r="G187" s="47">
        <v>0</v>
      </c>
      <c r="H187" s="47">
        <v>0</v>
      </c>
      <c r="I187" s="47">
        <v>0</v>
      </c>
      <c r="J187" s="47">
        <v>0</v>
      </c>
      <c r="K187" s="47">
        <v>0</v>
      </c>
      <c r="L187" s="47">
        <v>0</v>
      </c>
      <c r="M187" s="47">
        <v>0</v>
      </c>
      <c r="N187" s="47">
        <v>0</v>
      </c>
      <c r="O187" s="47">
        <v>0</v>
      </c>
      <c r="P187" s="47">
        <v>0</v>
      </c>
      <c r="Q187" s="47">
        <v>11729587.220000001</v>
      </c>
      <c r="R187" s="47">
        <v>818555.55</v>
      </c>
      <c r="S187" s="47">
        <v>0</v>
      </c>
      <c r="T187" s="47">
        <v>0</v>
      </c>
      <c r="U187" s="47">
        <v>0</v>
      </c>
      <c r="V187" s="47">
        <v>0</v>
      </c>
      <c r="W187" s="47">
        <v>0</v>
      </c>
      <c r="X187" s="47">
        <v>0</v>
      </c>
      <c r="Y187" s="48">
        <v>12548142.77</v>
      </c>
      <c r="Z187" s="58">
        <v>3741362.76</v>
      </c>
      <c r="AA187" s="50">
        <v>3741362.76</v>
      </c>
      <c r="AB187" s="50">
        <v>0</v>
      </c>
      <c r="AC187" s="50">
        <v>0</v>
      </c>
      <c r="AD187" s="50">
        <v>126112.26</v>
      </c>
      <c r="AE187" s="50">
        <v>0</v>
      </c>
      <c r="AF187" s="50">
        <v>0</v>
      </c>
      <c r="AG187" s="49">
        <v>3867475.02</v>
      </c>
      <c r="AH187" s="51" t="s">
        <v>104</v>
      </c>
      <c r="AI187" s="51" t="s">
        <v>74</v>
      </c>
      <c r="AJ187" s="51" t="s">
        <v>74</v>
      </c>
      <c r="AK187" s="51" t="s">
        <v>254</v>
      </c>
      <c r="AL187" s="51" t="s">
        <v>74</v>
      </c>
      <c r="AM187" s="51" t="s">
        <v>74</v>
      </c>
      <c r="AN187" s="52">
        <v>2415.17</v>
      </c>
      <c r="AO187" s="52">
        <v>0</v>
      </c>
      <c r="AP187" s="52">
        <v>0</v>
      </c>
      <c r="AQ187" s="52">
        <v>0</v>
      </c>
      <c r="AR187" s="52">
        <v>0</v>
      </c>
      <c r="AS187" s="52">
        <v>2415.17</v>
      </c>
      <c r="AT187" s="51" t="s">
        <v>298</v>
      </c>
      <c r="AU187" s="52">
        <v>0</v>
      </c>
      <c r="AV187" s="52"/>
      <c r="AW187" s="52">
        <v>0</v>
      </c>
      <c r="AX187" s="52"/>
      <c r="AY187" s="52"/>
      <c r="AZ187" s="52">
        <v>0</v>
      </c>
      <c r="BA187" s="52">
        <v>0</v>
      </c>
      <c r="BB187" s="54" t="s">
        <v>74</v>
      </c>
      <c r="BC187" s="53" t="s">
        <v>74</v>
      </c>
      <c r="BD187" s="55" t="s">
        <v>74</v>
      </c>
      <c r="BE187" s="55" t="s">
        <v>74</v>
      </c>
      <c r="BF187" s="55" t="s">
        <v>74</v>
      </c>
      <c r="BG187" s="55" t="s">
        <v>74</v>
      </c>
      <c r="BH187" s="52">
        <v>2415.17</v>
      </c>
      <c r="BI187" s="52">
        <v>8683082.9199999999</v>
      </c>
      <c r="BJ187" s="52">
        <v>8680667.75</v>
      </c>
      <c r="BK187" s="56">
        <v>43466</v>
      </c>
      <c r="BL187" s="57">
        <v>8683082.9199999999</v>
      </c>
      <c r="BM187" s="47">
        <v>0</v>
      </c>
      <c r="BN187" s="9"/>
      <c r="BO187" s="9"/>
      <c r="BP187" s="9"/>
      <c r="BQ187" s="9"/>
      <c r="BR187" s="9"/>
      <c r="BS187" s="9"/>
      <c r="BT187" s="9"/>
      <c r="BU187" s="9"/>
      <c r="BV187" s="9"/>
      <c r="BW187" s="9"/>
    </row>
    <row r="188" spans="1:75" ht="64.5" hidden="1" outlineLevel="2" x14ac:dyDescent="0.25">
      <c r="A188" s="43" t="s">
        <v>275</v>
      </c>
      <c r="B188" s="110" t="s">
        <v>276</v>
      </c>
      <c r="C188" s="45">
        <v>2019</v>
      </c>
      <c r="D188" s="46" t="s">
        <v>75</v>
      </c>
      <c r="E188" s="47">
        <v>0</v>
      </c>
      <c r="F188" s="47">
        <v>0</v>
      </c>
      <c r="G188" s="47">
        <v>0</v>
      </c>
      <c r="H188" s="47">
        <v>0</v>
      </c>
      <c r="I188" s="47">
        <v>0</v>
      </c>
      <c r="J188" s="47">
        <v>0</v>
      </c>
      <c r="K188" s="47">
        <v>0</v>
      </c>
      <c r="L188" s="47">
        <v>0</v>
      </c>
      <c r="M188" s="47">
        <v>0</v>
      </c>
      <c r="N188" s="47">
        <v>0</v>
      </c>
      <c r="O188" s="47">
        <v>0</v>
      </c>
      <c r="P188" s="47">
        <v>0</v>
      </c>
      <c r="Q188" s="47">
        <v>11729587.220000001</v>
      </c>
      <c r="R188" s="47">
        <v>818555.55</v>
      </c>
      <c r="S188" s="47">
        <v>0</v>
      </c>
      <c r="T188" s="47">
        <v>0</v>
      </c>
      <c r="U188" s="47">
        <v>0</v>
      </c>
      <c r="V188" s="47">
        <v>0</v>
      </c>
      <c r="W188" s="47">
        <v>0</v>
      </c>
      <c r="X188" s="47">
        <v>0</v>
      </c>
      <c r="Y188" s="48">
        <v>12548142.77</v>
      </c>
      <c r="Z188" s="58">
        <v>3638815.12</v>
      </c>
      <c r="AA188" s="50">
        <v>3636145.74</v>
      </c>
      <c r="AB188" s="50">
        <v>0</v>
      </c>
      <c r="AC188" s="50">
        <v>0</v>
      </c>
      <c r="AD188" s="50">
        <v>0</v>
      </c>
      <c r="AE188" s="50">
        <v>0</v>
      </c>
      <c r="AF188" s="50">
        <v>0</v>
      </c>
      <c r="AG188" s="49">
        <v>3636145.74</v>
      </c>
      <c r="AH188" s="51" t="s">
        <v>299</v>
      </c>
      <c r="AI188" s="51" t="s">
        <v>74</v>
      </c>
      <c r="AJ188" s="51" t="s">
        <v>74</v>
      </c>
      <c r="AK188" s="51" t="s">
        <v>74</v>
      </c>
      <c r="AL188" s="51" t="s">
        <v>74</v>
      </c>
      <c r="AM188" s="51" t="s">
        <v>74</v>
      </c>
      <c r="AN188" s="52">
        <v>0</v>
      </c>
      <c r="AO188" s="52">
        <v>0</v>
      </c>
      <c r="AP188" s="52">
        <v>0</v>
      </c>
      <c r="AQ188" s="52">
        <v>0</v>
      </c>
      <c r="AR188" s="52">
        <v>0</v>
      </c>
      <c r="AS188" s="52">
        <v>0</v>
      </c>
      <c r="AT188" s="53" t="s">
        <v>74</v>
      </c>
      <c r="AU188" s="52">
        <v>0</v>
      </c>
      <c r="AV188" s="52"/>
      <c r="AW188" s="52">
        <v>0</v>
      </c>
      <c r="AX188" s="52"/>
      <c r="AY188" s="52"/>
      <c r="AZ188" s="52">
        <v>0</v>
      </c>
      <c r="BA188" s="52">
        <v>0</v>
      </c>
      <c r="BB188" s="54" t="s">
        <v>74</v>
      </c>
      <c r="BC188" s="53" t="s">
        <v>74</v>
      </c>
      <c r="BD188" s="55" t="s">
        <v>74</v>
      </c>
      <c r="BE188" s="55" t="s">
        <v>74</v>
      </c>
      <c r="BF188" s="55" t="s">
        <v>74</v>
      </c>
      <c r="BG188" s="55" t="s">
        <v>74</v>
      </c>
      <c r="BH188" s="52">
        <v>0</v>
      </c>
      <c r="BI188" s="52">
        <v>8911997.0299999993</v>
      </c>
      <c r="BJ188" s="52">
        <v>8911997.0299999993</v>
      </c>
      <c r="BK188" s="56">
        <v>43497</v>
      </c>
      <c r="BL188" s="57">
        <v>8911997.0299999993</v>
      </c>
      <c r="BM188" s="47">
        <v>0</v>
      </c>
      <c r="BN188" s="9"/>
      <c r="BO188" s="9"/>
      <c r="BP188" s="9"/>
      <c r="BQ188" s="9"/>
      <c r="BR188" s="9"/>
      <c r="BS188" s="9"/>
      <c r="BT188" s="9"/>
      <c r="BU188" s="9"/>
      <c r="BV188" s="9"/>
      <c r="BW188" s="9"/>
    </row>
    <row r="189" spans="1:75" ht="77.25" hidden="1" outlineLevel="2" x14ac:dyDescent="0.25">
      <c r="A189" s="43" t="s">
        <v>275</v>
      </c>
      <c r="B189" s="110" t="s">
        <v>276</v>
      </c>
      <c r="C189" s="45">
        <v>2019</v>
      </c>
      <c r="D189" s="46" t="s">
        <v>77</v>
      </c>
      <c r="E189" s="47">
        <v>0</v>
      </c>
      <c r="F189" s="47">
        <v>0</v>
      </c>
      <c r="G189" s="47">
        <v>0</v>
      </c>
      <c r="H189" s="47">
        <v>0</v>
      </c>
      <c r="I189" s="47">
        <v>0</v>
      </c>
      <c r="J189" s="47">
        <v>0</v>
      </c>
      <c r="K189" s="47">
        <v>0</v>
      </c>
      <c r="L189" s="47">
        <v>0</v>
      </c>
      <c r="M189" s="47">
        <v>0</v>
      </c>
      <c r="N189" s="47">
        <v>0</v>
      </c>
      <c r="O189" s="47">
        <v>0</v>
      </c>
      <c r="P189" s="47">
        <v>0</v>
      </c>
      <c r="Q189" s="47">
        <v>4691834.8799999999</v>
      </c>
      <c r="R189" s="47">
        <v>327420.15999999997</v>
      </c>
      <c r="S189" s="47">
        <v>5646331.1600000001</v>
      </c>
      <c r="T189" s="47">
        <v>0</v>
      </c>
      <c r="U189" s="47">
        <v>0</v>
      </c>
      <c r="V189" s="47">
        <v>0</v>
      </c>
      <c r="W189" s="47">
        <v>0</v>
      </c>
      <c r="X189" s="47">
        <v>0</v>
      </c>
      <c r="Y189" s="48">
        <v>10665586.199999999</v>
      </c>
      <c r="Z189" s="58">
        <v>3447778.37</v>
      </c>
      <c r="AA189" s="50">
        <v>3447778.37</v>
      </c>
      <c r="AB189" s="50">
        <v>2669.38</v>
      </c>
      <c r="AC189" s="50">
        <v>0</v>
      </c>
      <c r="AD189" s="50">
        <v>121771.48</v>
      </c>
      <c r="AE189" s="50">
        <v>0</v>
      </c>
      <c r="AF189" s="50">
        <v>0</v>
      </c>
      <c r="AG189" s="49">
        <v>3572219.23</v>
      </c>
      <c r="AH189" s="51" t="s">
        <v>104</v>
      </c>
      <c r="AI189" s="51" t="s">
        <v>300</v>
      </c>
      <c r="AJ189" s="51" t="s">
        <v>74</v>
      </c>
      <c r="AK189" s="51" t="s">
        <v>134</v>
      </c>
      <c r="AL189" s="51" t="s">
        <v>74</v>
      </c>
      <c r="AM189" s="51" t="s">
        <v>74</v>
      </c>
      <c r="AN189" s="52">
        <v>0</v>
      </c>
      <c r="AO189" s="52">
        <v>0</v>
      </c>
      <c r="AP189" s="52">
        <v>0</v>
      </c>
      <c r="AQ189" s="52">
        <v>0</v>
      </c>
      <c r="AR189" s="52">
        <v>0</v>
      </c>
      <c r="AS189" s="52">
        <v>0</v>
      </c>
      <c r="AT189" s="53" t="s">
        <v>74</v>
      </c>
      <c r="AU189" s="52">
        <v>0</v>
      </c>
      <c r="AV189" s="52"/>
      <c r="AW189" s="52">
        <v>0</v>
      </c>
      <c r="AX189" s="52"/>
      <c r="AY189" s="52"/>
      <c r="AZ189" s="52">
        <v>0</v>
      </c>
      <c r="BA189" s="52">
        <v>0</v>
      </c>
      <c r="BB189" s="54" t="s">
        <v>74</v>
      </c>
      <c r="BC189" s="53" t="s">
        <v>74</v>
      </c>
      <c r="BD189" s="55" t="s">
        <v>74</v>
      </c>
      <c r="BE189" s="55" t="s">
        <v>74</v>
      </c>
      <c r="BF189" s="55" t="s">
        <v>74</v>
      </c>
      <c r="BG189" s="55" t="s">
        <v>74</v>
      </c>
      <c r="BH189" s="52">
        <v>0</v>
      </c>
      <c r="BI189" s="52">
        <v>7093366.9699999997</v>
      </c>
      <c r="BJ189" s="52">
        <v>7093366.9699999997</v>
      </c>
      <c r="BK189" s="56">
        <v>43525</v>
      </c>
      <c r="BL189" s="57">
        <v>7093366.9699999997</v>
      </c>
      <c r="BM189" s="47">
        <v>0</v>
      </c>
      <c r="BN189" s="9"/>
      <c r="BO189" s="9"/>
      <c r="BP189" s="9"/>
      <c r="BQ189" s="9"/>
      <c r="BR189" s="9"/>
      <c r="BS189" s="9"/>
      <c r="BT189" s="9"/>
      <c r="BU189" s="9"/>
      <c r="BV189" s="9"/>
      <c r="BW189" s="9"/>
    </row>
    <row r="190" spans="1:75" ht="77.25" hidden="1" outlineLevel="2" x14ac:dyDescent="0.25">
      <c r="A190" s="43" t="s">
        <v>275</v>
      </c>
      <c r="B190" s="110" t="s">
        <v>276</v>
      </c>
      <c r="C190" s="45">
        <v>2019</v>
      </c>
      <c r="D190" s="46" t="s">
        <v>79</v>
      </c>
      <c r="E190" s="47">
        <v>0</v>
      </c>
      <c r="F190" s="47">
        <v>0</v>
      </c>
      <c r="G190" s="47">
        <v>0</v>
      </c>
      <c r="H190" s="47">
        <v>0</v>
      </c>
      <c r="I190" s="47">
        <v>0</v>
      </c>
      <c r="J190" s="47">
        <v>0</v>
      </c>
      <c r="K190" s="47">
        <v>0</v>
      </c>
      <c r="L190" s="47">
        <v>0</v>
      </c>
      <c r="M190" s="47">
        <v>0</v>
      </c>
      <c r="N190" s="47">
        <v>0</v>
      </c>
      <c r="O190" s="47">
        <v>0</v>
      </c>
      <c r="P190" s="47">
        <v>0</v>
      </c>
      <c r="Q190" s="47">
        <v>0</v>
      </c>
      <c r="R190" s="47">
        <v>0</v>
      </c>
      <c r="S190" s="47">
        <v>9714238.3599999994</v>
      </c>
      <c r="T190" s="47">
        <v>0</v>
      </c>
      <c r="U190" s="47">
        <v>0</v>
      </c>
      <c r="V190" s="47">
        <v>0</v>
      </c>
      <c r="W190" s="47">
        <v>0</v>
      </c>
      <c r="X190" s="47">
        <v>0</v>
      </c>
      <c r="Y190" s="48">
        <v>9714238.3599999994</v>
      </c>
      <c r="Z190" s="58">
        <v>3515769.98</v>
      </c>
      <c r="AA190" s="50">
        <v>3515769.98</v>
      </c>
      <c r="AB190" s="50">
        <v>0</v>
      </c>
      <c r="AC190" s="50">
        <v>0</v>
      </c>
      <c r="AD190" s="50">
        <v>126699.99</v>
      </c>
      <c r="AE190" s="50">
        <v>0</v>
      </c>
      <c r="AF190" s="50">
        <v>0</v>
      </c>
      <c r="AG190" s="49">
        <v>3642469.97</v>
      </c>
      <c r="AH190" s="51" t="s">
        <v>104</v>
      </c>
      <c r="AI190" s="51" t="s">
        <v>74</v>
      </c>
      <c r="AJ190" s="51" t="s">
        <v>74</v>
      </c>
      <c r="AK190" s="51" t="s">
        <v>259</v>
      </c>
      <c r="AL190" s="51" t="s">
        <v>74</v>
      </c>
      <c r="AM190" s="51" t="s">
        <v>74</v>
      </c>
      <c r="AN190" s="52"/>
      <c r="AO190" s="52"/>
      <c r="AP190" s="52"/>
      <c r="AQ190" s="52"/>
      <c r="AR190" s="52"/>
      <c r="AS190" s="52">
        <v>0</v>
      </c>
      <c r="AT190" s="53" t="s">
        <v>74</v>
      </c>
      <c r="AU190" s="52">
        <v>17286.36</v>
      </c>
      <c r="AV190" s="52"/>
      <c r="AW190" s="52">
        <v>0</v>
      </c>
      <c r="AX190" s="52"/>
      <c r="AY190" s="52"/>
      <c r="AZ190" s="52">
        <v>0</v>
      </c>
      <c r="BA190" s="52">
        <v>17286.36</v>
      </c>
      <c r="BB190" s="55" t="s">
        <v>301</v>
      </c>
      <c r="BC190" s="51" t="s">
        <v>74</v>
      </c>
      <c r="BD190" s="54" t="s">
        <v>74</v>
      </c>
      <c r="BE190" s="54" t="s">
        <v>74</v>
      </c>
      <c r="BF190" s="54" t="s">
        <v>74</v>
      </c>
      <c r="BG190" s="54" t="s">
        <v>74</v>
      </c>
      <c r="BH190" s="52">
        <v>17286.36</v>
      </c>
      <c r="BI190" s="52">
        <v>6089054.75</v>
      </c>
      <c r="BJ190" s="52">
        <v>6071768.3899999997</v>
      </c>
      <c r="BK190" s="56">
        <v>43556</v>
      </c>
      <c r="BL190" s="57">
        <v>6089054.75</v>
      </c>
      <c r="BM190" s="47">
        <v>0</v>
      </c>
      <c r="BN190" s="9"/>
      <c r="BO190" s="9"/>
      <c r="BP190" s="9"/>
      <c r="BQ190" s="9"/>
      <c r="BR190" s="9"/>
      <c r="BS190" s="9"/>
      <c r="BT190" s="9"/>
      <c r="BU190" s="9"/>
      <c r="BV190" s="9"/>
      <c r="BW190" s="9"/>
    </row>
    <row r="191" spans="1:75" ht="26.25" hidden="1" outlineLevel="2" x14ac:dyDescent="0.25">
      <c r="A191" s="43" t="s">
        <v>275</v>
      </c>
      <c r="B191" s="110" t="s">
        <v>276</v>
      </c>
      <c r="C191" s="45">
        <v>2019</v>
      </c>
      <c r="D191" s="46" t="s">
        <v>81</v>
      </c>
      <c r="E191" s="47">
        <v>0</v>
      </c>
      <c r="F191" s="47">
        <v>0</v>
      </c>
      <c r="G191" s="47">
        <v>0</v>
      </c>
      <c r="H191" s="47">
        <v>0</v>
      </c>
      <c r="I191" s="47">
        <v>0</v>
      </c>
      <c r="J191" s="47">
        <v>0</v>
      </c>
      <c r="K191" s="47">
        <v>0</v>
      </c>
      <c r="L191" s="47">
        <v>0</v>
      </c>
      <c r="M191" s="47">
        <v>0</v>
      </c>
      <c r="N191" s="47">
        <v>0</v>
      </c>
      <c r="O191" s="47">
        <v>0</v>
      </c>
      <c r="P191" s="47">
        <v>0</v>
      </c>
      <c r="Q191" s="47">
        <v>0</v>
      </c>
      <c r="R191" s="47">
        <v>0</v>
      </c>
      <c r="S191" s="47">
        <v>9714238.3599999994</v>
      </c>
      <c r="T191" s="47">
        <v>0</v>
      </c>
      <c r="U191" s="47">
        <v>0</v>
      </c>
      <c r="V191" s="47">
        <v>0</v>
      </c>
      <c r="W191" s="47">
        <v>0</v>
      </c>
      <c r="X191" s="47">
        <v>0</v>
      </c>
      <c r="Y191" s="48">
        <v>9714238.3599999994</v>
      </c>
      <c r="Z191" s="58">
        <v>3587750.51</v>
      </c>
      <c r="AA191" s="50">
        <v>3587750.51</v>
      </c>
      <c r="AB191" s="50">
        <v>0</v>
      </c>
      <c r="AC191" s="50">
        <v>0</v>
      </c>
      <c r="AD191" s="50">
        <v>136080.66</v>
      </c>
      <c r="AE191" s="50">
        <v>0</v>
      </c>
      <c r="AF191" s="50">
        <v>0</v>
      </c>
      <c r="AG191" s="49">
        <v>3723831.17</v>
      </c>
      <c r="AH191" s="51" t="s">
        <v>104</v>
      </c>
      <c r="AI191" s="51" t="s">
        <v>74</v>
      </c>
      <c r="AJ191" s="51" t="s">
        <v>74</v>
      </c>
      <c r="AK191" s="51" t="s">
        <v>136</v>
      </c>
      <c r="AL191" s="51" t="s">
        <v>74</v>
      </c>
      <c r="AM191" s="51" t="s">
        <v>74</v>
      </c>
      <c r="AN191" s="52">
        <v>0</v>
      </c>
      <c r="AO191" s="52">
        <v>0</v>
      </c>
      <c r="AP191" s="52">
        <v>0</v>
      </c>
      <c r="AQ191" s="52">
        <v>0</v>
      </c>
      <c r="AR191" s="52">
        <v>0</v>
      </c>
      <c r="AS191" s="52">
        <v>0</v>
      </c>
      <c r="AT191" s="53" t="s">
        <v>74</v>
      </c>
      <c r="AU191" s="52">
        <v>0</v>
      </c>
      <c r="AV191" s="52"/>
      <c r="AW191" s="52">
        <v>0</v>
      </c>
      <c r="AX191" s="52"/>
      <c r="AY191" s="52"/>
      <c r="AZ191" s="52">
        <v>0</v>
      </c>
      <c r="BA191" s="52">
        <v>0</v>
      </c>
      <c r="BB191" s="54" t="s">
        <v>74</v>
      </c>
      <c r="BC191" s="53" t="s">
        <v>74</v>
      </c>
      <c r="BD191" s="55" t="s">
        <v>74</v>
      </c>
      <c r="BE191" s="55" t="s">
        <v>74</v>
      </c>
      <c r="BF191" s="55" t="s">
        <v>74</v>
      </c>
      <c r="BG191" s="55" t="s">
        <v>74</v>
      </c>
      <c r="BH191" s="52">
        <v>0</v>
      </c>
      <c r="BI191" s="52">
        <v>5990407.1900000004</v>
      </c>
      <c r="BJ191" s="52">
        <v>5990407.1900000004</v>
      </c>
      <c r="BK191" s="56">
        <v>43586</v>
      </c>
      <c r="BL191" s="57">
        <v>5990407.1900000004</v>
      </c>
      <c r="BM191" s="47">
        <v>0</v>
      </c>
      <c r="BN191" s="9"/>
      <c r="BO191" s="9"/>
      <c r="BP191" s="9"/>
      <c r="BQ191" s="9"/>
      <c r="BR191" s="9"/>
      <c r="BS191" s="9"/>
      <c r="BT191" s="9"/>
      <c r="BU191" s="9"/>
      <c r="BV191" s="9"/>
      <c r="BW191" s="9"/>
    </row>
    <row r="192" spans="1:75" ht="26.25" hidden="1" outlineLevel="2" x14ac:dyDescent="0.25">
      <c r="A192" s="43" t="s">
        <v>275</v>
      </c>
      <c r="B192" s="110" t="s">
        <v>276</v>
      </c>
      <c r="C192" s="45">
        <v>2019</v>
      </c>
      <c r="D192" s="46" t="s">
        <v>83</v>
      </c>
      <c r="E192" s="47">
        <v>0</v>
      </c>
      <c r="F192" s="47">
        <v>0</v>
      </c>
      <c r="G192" s="47">
        <v>0</v>
      </c>
      <c r="H192" s="47">
        <v>0</v>
      </c>
      <c r="I192" s="47">
        <v>0</v>
      </c>
      <c r="J192" s="47">
        <v>0</v>
      </c>
      <c r="K192" s="47">
        <v>0</v>
      </c>
      <c r="L192" s="47">
        <v>0</v>
      </c>
      <c r="M192" s="47">
        <v>0</v>
      </c>
      <c r="N192" s="47">
        <v>0</v>
      </c>
      <c r="O192" s="47">
        <v>0</v>
      </c>
      <c r="P192" s="47">
        <v>0</v>
      </c>
      <c r="Q192" s="47">
        <v>0</v>
      </c>
      <c r="R192" s="47">
        <v>0</v>
      </c>
      <c r="S192" s="47">
        <v>10444328.890000001</v>
      </c>
      <c r="T192" s="47">
        <v>0</v>
      </c>
      <c r="U192" s="47">
        <v>0</v>
      </c>
      <c r="V192" s="47">
        <v>0</v>
      </c>
      <c r="W192" s="47">
        <v>0</v>
      </c>
      <c r="X192" s="47">
        <v>0</v>
      </c>
      <c r="Y192" s="48">
        <v>10444328.890000001</v>
      </c>
      <c r="Z192" s="58">
        <v>3483636.6</v>
      </c>
      <c r="AA192" s="50">
        <v>3483636.6</v>
      </c>
      <c r="AB192" s="50">
        <v>0</v>
      </c>
      <c r="AC192" s="50">
        <v>0</v>
      </c>
      <c r="AD192" s="50">
        <v>130036.23</v>
      </c>
      <c r="AE192" s="50">
        <v>0</v>
      </c>
      <c r="AF192" s="50">
        <v>0</v>
      </c>
      <c r="AG192" s="49">
        <v>3613672.83</v>
      </c>
      <c r="AH192" s="51" t="s">
        <v>104</v>
      </c>
      <c r="AI192" s="51" t="s">
        <v>74</v>
      </c>
      <c r="AJ192" s="51" t="s">
        <v>74</v>
      </c>
      <c r="AK192" s="51" t="s">
        <v>138</v>
      </c>
      <c r="AL192" s="51" t="s">
        <v>74</v>
      </c>
      <c r="AM192" s="51" t="s">
        <v>74</v>
      </c>
      <c r="AN192" s="52">
        <v>0</v>
      </c>
      <c r="AO192" s="52">
        <v>0</v>
      </c>
      <c r="AP192" s="52">
        <v>0</v>
      </c>
      <c r="AQ192" s="52">
        <v>0</v>
      </c>
      <c r="AR192" s="52">
        <v>0</v>
      </c>
      <c r="AS192" s="52">
        <v>0</v>
      </c>
      <c r="AT192" s="53" t="s">
        <v>74</v>
      </c>
      <c r="AU192" s="52">
        <v>0</v>
      </c>
      <c r="AV192" s="52"/>
      <c r="AW192" s="52">
        <v>0</v>
      </c>
      <c r="AX192" s="52"/>
      <c r="AY192" s="52"/>
      <c r="AZ192" s="52">
        <v>0</v>
      </c>
      <c r="BA192" s="52">
        <v>0</v>
      </c>
      <c r="BB192" s="54" t="s">
        <v>74</v>
      </c>
      <c r="BC192" s="53" t="s">
        <v>74</v>
      </c>
      <c r="BD192" s="55" t="s">
        <v>74</v>
      </c>
      <c r="BE192" s="55" t="s">
        <v>74</v>
      </c>
      <c r="BF192" s="55" t="s">
        <v>74</v>
      </c>
      <c r="BG192" s="55" t="s">
        <v>74</v>
      </c>
      <c r="BH192" s="52">
        <v>0</v>
      </c>
      <c r="BI192" s="52">
        <v>6830656.0599999996</v>
      </c>
      <c r="BJ192" s="52">
        <v>6830656.0599999996</v>
      </c>
      <c r="BK192" s="56">
        <v>43617</v>
      </c>
      <c r="BL192" s="57">
        <v>6830656.0599999996</v>
      </c>
      <c r="BM192" s="47">
        <v>0</v>
      </c>
      <c r="BN192" s="9"/>
      <c r="BO192" s="9"/>
      <c r="BP192" s="9"/>
      <c r="BQ192" s="9"/>
      <c r="BR192" s="9"/>
      <c r="BS192" s="9"/>
      <c r="BT192" s="9"/>
      <c r="BU192" s="9"/>
      <c r="BV192" s="9"/>
      <c r="BW192" s="9"/>
    </row>
    <row r="193" spans="1:75" ht="115.5" hidden="1" outlineLevel="2" x14ac:dyDescent="0.25">
      <c r="A193" s="43" t="s">
        <v>275</v>
      </c>
      <c r="B193" s="110" t="s">
        <v>276</v>
      </c>
      <c r="C193" s="45">
        <v>2019</v>
      </c>
      <c r="D193" s="46" t="s">
        <v>84</v>
      </c>
      <c r="E193" s="47">
        <v>0</v>
      </c>
      <c r="F193" s="47">
        <v>0</v>
      </c>
      <c r="G193" s="47">
        <v>0</v>
      </c>
      <c r="H193" s="47">
        <v>0</v>
      </c>
      <c r="I193" s="47">
        <v>0</v>
      </c>
      <c r="J193" s="47">
        <v>0</v>
      </c>
      <c r="K193" s="47">
        <v>0</v>
      </c>
      <c r="L193" s="47">
        <v>0</v>
      </c>
      <c r="M193" s="47">
        <v>0</v>
      </c>
      <c r="N193" s="47">
        <v>0</v>
      </c>
      <c r="O193" s="47">
        <v>0</v>
      </c>
      <c r="P193" s="47">
        <v>0</v>
      </c>
      <c r="Q193" s="47">
        <v>0</v>
      </c>
      <c r="R193" s="47">
        <v>0</v>
      </c>
      <c r="S193" s="47">
        <v>10308925.82</v>
      </c>
      <c r="T193" s="47">
        <v>0</v>
      </c>
      <c r="U193" s="47">
        <v>0</v>
      </c>
      <c r="V193" s="47">
        <v>0</v>
      </c>
      <c r="W193" s="47">
        <v>0</v>
      </c>
      <c r="X193" s="47">
        <v>0</v>
      </c>
      <c r="Y193" s="48">
        <v>10308925.82</v>
      </c>
      <c r="Z193" s="58">
        <v>3421356.97</v>
      </c>
      <c r="AA193" s="50">
        <v>3421356.97</v>
      </c>
      <c r="AB193" s="50">
        <v>0</v>
      </c>
      <c r="AC193" s="50">
        <v>0</v>
      </c>
      <c r="AD193" s="50">
        <v>137739.51</v>
      </c>
      <c r="AE193" s="50">
        <v>0</v>
      </c>
      <c r="AF193" s="50">
        <v>0</v>
      </c>
      <c r="AG193" s="49">
        <v>3559096.48</v>
      </c>
      <c r="AH193" s="51" t="s">
        <v>104</v>
      </c>
      <c r="AI193" s="51" t="s">
        <v>74</v>
      </c>
      <c r="AJ193" s="51" t="s">
        <v>74</v>
      </c>
      <c r="AK193" s="51" t="s">
        <v>264</v>
      </c>
      <c r="AL193" s="51" t="s">
        <v>74</v>
      </c>
      <c r="AM193" s="51" t="s">
        <v>74</v>
      </c>
      <c r="AN193" s="52"/>
      <c r="AO193" s="52"/>
      <c r="AP193" s="52"/>
      <c r="AQ193" s="52"/>
      <c r="AR193" s="52"/>
      <c r="AS193" s="52">
        <v>0</v>
      </c>
      <c r="AT193" s="53" t="s">
        <v>74</v>
      </c>
      <c r="AU193" s="52">
        <v>1527417.66</v>
      </c>
      <c r="AV193" s="52"/>
      <c r="AW193" s="52">
        <v>0</v>
      </c>
      <c r="AX193" s="52"/>
      <c r="AY193" s="52"/>
      <c r="AZ193" s="52">
        <v>0</v>
      </c>
      <c r="BA193" s="52">
        <v>1527417.66</v>
      </c>
      <c r="BB193" s="55" t="s">
        <v>302</v>
      </c>
      <c r="BC193" s="51" t="s">
        <v>74</v>
      </c>
      <c r="BD193" s="54" t="s">
        <v>74</v>
      </c>
      <c r="BE193" s="54" t="s">
        <v>74</v>
      </c>
      <c r="BF193" s="54" t="s">
        <v>74</v>
      </c>
      <c r="BG193" s="54" t="s">
        <v>74</v>
      </c>
      <c r="BH193" s="52">
        <v>1527417.66</v>
      </c>
      <c r="BI193" s="52">
        <v>8277247</v>
      </c>
      <c r="BJ193" s="52">
        <v>6749829.3399999999</v>
      </c>
      <c r="BK193" s="56">
        <v>43647</v>
      </c>
      <c r="BL193" s="57">
        <v>8277247</v>
      </c>
      <c r="BM193" s="47">
        <v>0</v>
      </c>
      <c r="BN193" s="9"/>
      <c r="BO193" s="9"/>
      <c r="BP193" s="9"/>
      <c r="BQ193" s="9"/>
      <c r="BR193" s="9"/>
      <c r="BS193" s="9"/>
      <c r="BT193" s="9"/>
      <c r="BU193" s="9"/>
      <c r="BV193" s="9"/>
      <c r="BW193" s="9"/>
    </row>
    <row r="194" spans="1:75" ht="409.6" hidden="1" outlineLevel="2" x14ac:dyDescent="0.25">
      <c r="A194" s="43" t="s">
        <v>275</v>
      </c>
      <c r="B194" s="110" t="s">
        <v>276</v>
      </c>
      <c r="C194" s="45">
        <v>2019</v>
      </c>
      <c r="D194" s="46" t="s">
        <v>86</v>
      </c>
      <c r="E194" s="47">
        <v>0</v>
      </c>
      <c r="F194" s="47">
        <v>0</v>
      </c>
      <c r="G194" s="47">
        <v>0</v>
      </c>
      <c r="H194" s="47">
        <v>0</v>
      </c>
      <c r="I194" s="47">
        <v>0</v>
      </c>
      <c r="J194" s="47">
        <v>0</v>
      </c>
      <c r="K194" s="47">
        <v>0</v>
      </c>
      <c r="L194" s="47">
        <v>0</v>
      </c>
      <c r="M194" s="47">
        <v>0</v>
      </c>
      <c r="N194" s="47">
        <v>0</v>
      </c>
      <c r="O194" s="47">
        <v>0</v>
      </c>
      <c r="P194" s="47">
        <v>0</v>
      </c>
      <c r="Q194" s="47">
        <v>0</v>
      </c>
      <c r="R194" s="47">
        <v>0</v>
      </c>
      <c r="S194" s="47">
        <v>10308925.82</v>
      </c>
      <c r="T194" s="47">
        <v>0</v>
      </c>
      <c r="U194" s="47">
        <v>0</v>
      </c>
      <c r="V194" s="47">
        <v>0</v>
      </c>
      <c r="W194" s="47">
        <v>0</v>
      </c>
      <c r="X194" s="47">
        <v>0</v>
      </c>
      <c r="Y194" s="48">
        <v>10308925.82</v>
      </c>
      <c r="Z194" s="58">
        <v>3523175.9</v>
      </c>
      <c r="AA194" s="50">
        <v>3523175.9</v>
      </c>
      <c r="AB194" s="50">
        <v>0</v>
      </c>
      <c r="AC194" s="50">
        <v>0</v>
      </c>
      <c r="AD194" s="50">
        <v>136512.63</v>
      </c>
      <c r="AE194" s="50">
        <v>0</v>
      </c>
      <c r="AF194" s="50">
        <v>0</v>
      </c>
      <c r="AG194" s="49">
        <v>3659688.53</v>
      </c>
      <c r="AH194" s="51" t="s">
        <v>104</v>
      </c>
      <c r="AI194" s="51" t="s">
        <v>74</v>
      </c>
      <c r="AJ194" s="51" t="s">
        <v>74</v>
      </c>
      <c r="AK194" s="51" t="s">
        <v>303</v>
      </c>
      <c r="AL194" s="51" t="s">
        <v>74</v>
      </c>
      <c r="AM194" s="51" t="s">
        <v>74</v>
      </c>
      <c r="AN194" s="52"/>
      <c r="AO194" s="52"/>
      <c r="AP194" s="52"/>
      <c r="AQ194" s="52"/>
      <c r="AR194" s="52"/>
      <c r="AS194" s="52">
        <v>0</v>
      </c>
      <c r="AT194" s="53" t="s">
        <v>74</v>
      </c>
      <c r="AU194" s="52">
        <v>157443.95000000001</v>
      </c>
      <c r="AV194" s="52"/>
      <c r="AW194" s="52">
        <v>0</v>
      </c>
      <c r="AX194" s="52"/>
      <c r="AY194" s="52"/>
      <c r="AZ194" s="52">
        <v>0</v>
      </c>
      <c r="BA194" s="52">
        <v>157443.95000000001</v>
      </c>
      <c r="BB194" s="55" t="s">
        <v>304</v>
      </c>
      <c r="BC194" s="51" t="s">
        <v>74</v>
      </c>
      <c r="BD194" s="54" t="s">
        <v>74</v>
      </c>
      <c r="BE194" s="54" t="s">
        <v>74</v>
      </c>
      <c r="BF194" s="54" t="s">
        <v>74</v>
      </c>
      <c r="BG194" s="54" t="s">
        <v>74</v>
      </c>
      <c r="BH194" s="52">
        <v>157443.95000000001</v>
      </c>
      <c r="BI194" s="52">
        <v>6806681.2400000002</v>
      </c>
      <c r="BJ194" s="52">
        <v>6649237.29</v>
      </c>
      <c r="BK194" s="56">
        <v>43678</v>
      </c>
      <c r="BL194" s="57">
        <v>6806681.2400000002</v>
      </c>
      <c r="BM194" s="47">
        <v>0</v>
      </c>
      <c r="BN194" s="9"/>
      <c r="BO194" s="9"/>
      <c r="BP194" s="9"/>
      <c r="BQ194" s="9"/>
      <c r="BR194" s="9"/>
      <c r="BS194" s="9"/>
      <c r="BT194" s="9"/>
      <c r="BU194" s="9"/>
      <c r="BV194" s="9"/>
      <c r="BW194" s="9"/>
    </row>
    <row r="195" spans="1:75" ht="90" hidden="1" outlineLevel="2" x14ac:dyDescent="0.25">
      <c r="A195" s="43" t="s">
        <v>275</v>
      </c>
      <c r="B195" s="110" t="s">
        <v>276</v>
      </c>
      <c r="C195" s="45">
        <v>2019</v>
      </c>
      <c r="D195" s="46" t="s">
        <v>88</v>
      </c>
      <c r="E195" s="47">
        <v>0</v>
      </c>
      <c r="F195" s="47">
        <v>0</v>
      </c>
      <c r="G195" s="47">
        <v>0</v>
      </c>
      <c r="H195" s="47">
        <v>0</v>
      </c>
      <c r="I195" s="47">
        <v>0</v>
      </c>
      <c r="J195" s="47">
        <v>0</v>
      </c>
      <c r="K195" s="47">
        <v>0</v>
      </c>
      <c r="L195" s="47">
        <v>0</v>
      </c>
      <c r="M195" s="47">
        <v>0</v>
      </c>
      <c r="N195" s="47">
        <v>0</v>
      </c>
      <c r="O195" s="47">
        <v>0</v>
      </c>
      <c r="P195" s="47">
        <v>0</v>
      </c>
      <c r="Q195" s="47">
        <v>0</v>
      </c>
      <c r="R195" s="47">
        <v>0</v>
      </c>
      <c r="S195" s="47">
        <v>10308925.82</v>
      </c>
      <c r="T195" s="47">
        <v>0</v>
      </c>
      <c r="U195" s="47">
        <v>0</v>
      </c>
      <c r="V195" s="47">
        <v>0</v>
      </c>
      <c r="W195" s="47">
        <v>0</v>
      </c>
      <c r="X195" s="47">
        <v>0</v>
      </c>
      <c r="Y195" s="48">
        <v>10308925.82</v>
      </c>
      <c r="Z195" s="58">
        <v>3417989.39</v>
      </c>
      <c r="AA195" s="50">
        <v>3417989.39</v>
      </c>
      <c r="AB195" s="50">
        <v>0</v>
      </c>
      <c r="AC195" s="50">
        <v>0</v>
      </c>
      <c r="AD195" s="50">
        <v>249579.9</v>
      </c>
      <c r="AE195" s="50">
        <v>0</v>
      </c>
      <c r="AF195" s="50">
        <v>0</v>
      </c>
      <c r="AG195" s="49">
        <v>3667569.29</v>
      </c>
      <c r="AH195" s="51" t="s">
        <v>104</v>
      </c>
      <c r="AI195" s="51" t="s">
        <v>74</v>
      </c>
      <c r="AJ195" s="51" t="s">
        <v>74</v>
      </c>
      <c r="AK195" s="51" t="s">
        <v>305</v>
      </c>
      <c r="AL195" s="51" t="s">
        <v>74</v>
      </c>
      <c r="AM195" s="51" t="s">
        <v>74</v>
      </c>
      <c r="AN195" s="52">
        <v>0</v>
      </c>
      <c r="AO195" s="52">
        <v>0</v>
      </c>
      <c r="AP195" s="52">
        <v>0</v>
      </c>
      <c r="AQ195" s="52">
        <v>0</v>
      </c>
      <c r="AR195" s="52">
        <v>0</v>
      </c>
      <c r="AS195" s="52">
        <v>0</v>
      </c>
      <c r="AT195" s="53" t="s">
        <v>74</v>
      </c>
      <c r="AU195" s="52">
        <v>0</v>
      </c>
      <c r="AV195" s="52"/>
      <c r="AW195" s="52">
        <v>0</v>
      </c>
      <c r="AX195" s="52"/>
      <c r="AY195" s="52"/>
      <c r="AZ195" s="52">
        <v>0</v>
      </c>
      <c r="BA195" s="52">
        <v>0</v>
      </c>
      <c r="BB195" s="54" t="s">
        <v>74</v>
      </c>
      <c r="BC195" s="53" t="s">
        <v>74</v>
      </c>
      <c r="BD195" s="55" t="s">
        <v>74</v>
      </c>
      <c r="BE195" s="55" t="s">
        <v>74</v>
      </c>
      <c r="BF195" s="55" t="s">
        <v>74</v>
      </c>
      <c r="BG195" s="55" t="s">
        <v>74</v>
      </c>
      <c r="BH195" s="52">
        <v>0</v>
      </c>
      <c r="BI195" s="52">
        <v>6641356.5300000003</v>
      </c>
      <c r="BJ195" s="52">
        <v>6641356.5300000003</v>
      </c>
      <c r="BK195" s="56">
        <v>43709</v>
      </c>
      <c r="BL195" s="57">
        <v>6641356.5300000003</v>
      </c>
      <c r="BM195" s="47">
        <v>0</v>
      </c>
      <c r="BN195" s="9"/>
      <c r="BO195" s="9"/>
      <c r="BP195" s="9"/>
      <c r="BQ195" s="9"/>
      <c r="BR195" s="9"/>
      <c r="BS195" s="9"/>
      <c r="BT195" s="9"/>
      <c r="BU195" s="9"/>
      <c r="BV195" s="9"/>
      <c r="BW195" s="9"/>
    </row>
    <row r="196" spans="1:75" ht="90" hidden="1" outlineLevel="2" x14ac:dyDescent="0.25">
      <c r="A196" s="43" t="s">
        <v>275</v>
      </c>
      <c r="B196" s="110" t="s">
        <v>276</v>
      </c>
      <c r="C196" s="45">
        <v>2019</v>
      </c>
      <c r="D196" s="46" t="s">
        <v>89</v>
      </c>
      <c r="E196" s="47">
        <v>0</v>
      </c>
      <c r="F196" s="47">
        <v>0</v>
      </c>
      <c r="G196" s="47">
        <v>0</v>
      </c>
      <c r="H196" s="47">
        <v>0</v>
      </c>
      <c r="I196" s="47">
        <v>0</v>
      </c>
      <c r="J196" s="47">
        <v>0</v>
      </c>
      <c r="K196" s="47">
        <v>0</v>
      </c>
      <c r="L196" s="47">
        <v>0</v>
      </c>
      <c r="M196" s="47">
        <v>0</v>
      </c>
      <c r="N196" s="47">
        <v>0</v>
      </c>
      <c r="O196" s="47">
        <v>0</v>
      </c>
      <c r="P196" s="47">
        <v>0</v>
      </c>
      <c r="Q196" s="47">
        <v>0</v>
      </c>
      <c r="R196" s="47">
        <v>0</v>
      </c>
      <c r="S196" s="47">
        <v>10308925.82</v>
      </c>
      <c r="T196" s="47">
        <v>0</v>
      </c>
      <c r="U196" s="47">
        <v>0</v>
      </c>
      <c r="V196" s="47">
        <v>0</v>
      </c>
      <c r="W196" s="47">
        <v>0</v>
      </c>
      <c r="X196" s="47">
        <v>0</v>
      </c>
      <c r="Y196" s="48">
        <v>10308925.82</v>
      </c>
      <c r="Z196" s="58">
        <v>3498538.16</v>
      </c>
      <c r="AA196" s="50">
        <v>3498538.16</v>
      </c>
      <c r="AB196" s="50">
        <v>0</v>
      </c>
      <c r="AC196" s="50">
        <v>0</v>
      </c>
      <c r="AD196" s="50">
        <v>0</v>
      </c>
      <c r="AE196" s="50">
        <v>0</v>
      </c>
      <c r="AF196" s="50">
        <v>0</v>
      </c>
      <c r="AG196" s="49">
        <v>3498538.16</v>
      </c>
      <c r="AH196" s="51" t="s">
        <v>104</v>
      </c>
      <c r="AI196" s="51" t="s">
        <v>74</v>
      </c>
      <c r="AJ196" s="51" t="s">
        <v>74</v>
      </c>
      <c r="AK196" s="51" t="s">
        <v>74</v>
      </c>
      <c r="AL196" s="51" t="s">
        <v>74</v>
      </c>
      <c r="AM196" s="51" t="s">
        <v>74</v>
      </c>
      <c r="AN196" s="52">
        <v>0</v>
      </c>
      <c r="AO196" s="52">
        <v>6029.02</v>
      </c>
      <c r="AP196" s="52">
        <v>0</v>
      </c>
      <c r="AQ196" s="52">
        <v>0</v>
      </c>
      <c r="AR196" s="52">
        <v>0</v>
      </c>
      <c r="AS196" s="52">
        <v>6029.02</v>
      </c>
      <c r="AT196" s="51" t="s">
        <v>306</v>
      </c>
      <c r="AU196" s="52">
        <v>153855.67999999999</v>
      </c>
      <c r="AV196" s="52"/>
      <c r="AW196" s="52">
        <v>0</v>
      </c>
      <c r="AX196" s="52"/>
      <c r="AY196" s="52"/>
      <c r="AZ196" s="52">
        <v>0</v>
      </c>
      <c r="BA196" s="52">
        <v>153855.67999999999</v>
      </c>
      <c r="BB196" s="55" t="s">
        <v>307</v>
      </c>
      <c r="BC196" s="51" t="s">
        <v>74</v>
      </c>
      <c r="BD196" s="54" t="s">
        <v>74</v>
      </c>
      <c r="BE196" s="54" t="s">
        <v>74</v>
      </c>
      <c r="BF196" s="54" t="s">
        <v>74</v>
      </c>
      <c r="BG196" s="54" t="s">
        <v>74</v>
      </c>
      <c r="BH196" s="52">
        <v>159884.70000000001</v>
      </c>
      <c r="BI196" s="52">
        <v>6970272.3600000003</v>
      </c>
      <c r="BJ196" s="52">
        <v>6816416.6799999997</v>
      </c>
      <c r="BK196" s="56">
        <v>43739</v>
      </c>
      <c r="BL196" s="57">
        <v>6970272.3600000003</v>
      </c>
      <c r="BM196" s="47">
        <v>0</v>
      </c>
      <c r="BN196" s="9"/>
      <c r="BO196" s="9"/>
      <c r="BP196" s="9"/>
      <c r="BQ196" s="9"/>
      <c r="BR196" s="9"/>
      <c r="BS196" s="9"/>
      <c r="BT196" s="9"/>
      <c r="BU196" s="9"/>
      <c r="BV196" s="9"/>
      <c r="BW196" s="9"/>
    </row>
    <row r="197" spans="1:75" ht="64.5" hidden="1" outlineLevel="2" x14ac:dyDescent="0.25">
      <c r="A197" s="43" t="s">
        <v>275</v>
      </c>
      <c r="B197" s="110" t="s">
        <v>276</v>
      </c>
      <c r="C197" s="45">
        <v>2019</v>
      </c>
      <c r="D197" s="46" t="s">
        <v>90</v>
      </c>
      <c r="E197" s="47">
        <v>0</v>
      </c>
      <c r="F197" s="47">
        <v>0</v>
      </c>
      <c r="G197" s="47">
        <v>0</v>
      </c>
      <c r="H197" s="47">
        <v>0</v>
      </c>
      <c r="I197" s="47">
        <v>0</v>
      </c>
      <c r="J197" s="47">
        <v>0</v>
      </c>
      <c r="K197" s="47">
        <v>0</v>
      </c>
      <c r="L197" s="47">
        <v>0</v>
      </c>
      <c r="M197" s="47">
        <v>0</v>
      </c>
      <c r="N197" s="47">
        <v>0</v>
      </c>
      <c r="O197" s="47">
        <v>0</v>
      </c>
      <c r="P197" s="47">
        <v>0</v>
      </c>
      <c r="Q197" s="47">
        <v>0</v>
      </c>
      <c r="R197" s="47">
        <v>0</v>
      </c>
      <c r="S197" s="47">
        <v>10308925.82</v>
      </c>
      <c r="T197" s="47">
        <v>0</v>
      </c>
      <c r="U197" s="47">
        <v>0</v>
      </c>
      <c r="V197" s="47">
        <v>0</v>
      </c>
      <c r="W197" s="47">
        <v>0</v>
      </c>
      <c r="X197" s="47">
        <v>0</v>
      </c>
      <c r="Y197" s="48">
        <v>10308925.82</v>
      </c>
      <c r="Z197" s="58">
        <v>3582579.03</v>
      </c>
      <c r="AA197" s="50">
        <v>3582579.03</v>
      </c>
      <c r="AB197" s="50">
        <v>0</v>
      </c>
      <c r="AC197" s="50">
        <v>0</v>
      </c>
      <c r="AD197" s="50">
        <v>142134.54999999999</v>
      </c>
      <c r="AE197" s="50">
        <v>0</v>
      </c>
      <c r="AF197" s="50">
        <v>0</v>
      </c>
      <c r="AG197" s="49">
        <v>3724713.58</v>
      </c>
      <c r="AH197" s="51" t="s">
        <v>104</v>
      </c>
      <c r="AI197" s="51" t="s">
        <v>74</v>
      </c>
      <c r="AJ197" s="51" t="s">
        <v>74</v>
      </c>
      <c r="AK197" s="51" t="s">
        <v>150</v>
      </c>
      <c r="AL197" s="51" t="s">
        <v>74</v>
      </c>
      <c r="AM197" s="51" t="s">
        <v>74</v>
      </c>
      <c r="AN197" s="52"/>
      <c r="AO197" s="52"/>
      <c r="AP197" s="52"/>
      <c r="AQ197" s="52"/>
      <c r="AR197" s="52"/>
      <c r="AS197" s="52">
        <v>0</v>
      </c>
      <c r="AT197" s="53" t="s">
        <v>74</v>
      </c>
      <c r="AU197" s="59">
        <v>1350397.98</v>
      </c>
      <c r="AV197" s="52"/>
      <c r="AW197" s="52">
        <v>0</v>
      </c>
      <c r="AX197" s="52"/>
      <c r="AY197" s="52"/>
      <c r="AZ197" s="52">
        <v>0</v>
      </c>
      <c r="BA197" s="52">
        <v>1350397.98</v>
      </c>
      <c r="BB197" s="55" t="s">
        <v>308</v>
      </c>
      <c r="BC197" s="51" t="s">
        <v>74</v>
      </c>
      <c r="BD197" s="54" t="s">
        <v>74</v>
      </c>
      <c r="BE197" s="54" t="s">
        <v>74</v>
      </c>
      <c r="BF197" s="54" t="s">
        <v>74</v>
      </c>
      <c r="BG197" s="54" t="s">
        <v>74</v>
      </c>
      <c r="BH197" s="52">
        <v>1350397.98</v>
      </c>
      <c r="BI197" s="52">
        <v>7934610.2199999997</v>
      </c>
      <c r="BJ197" s="52">
        <v>6584212.2400000002</v>
      </c>
      <c r="BK197" s="56">
        <v>43770</v>
      </c>
      <c r="BL197" s="57">
        <v>7934610.2199999997</v>
      </c>
      <c r="BM197" s="47">
        <v>0</v>
      </c>
      <c r="BN197" s="9"/>
      <c r="BO197" s="9"/>
      <c r="BP197" s="9"/>
      <c r="BQ197" s="9"/>
      <c r="BR197" s="9"/>
      <c r="BS197" s="9"/>
      <c r="BT197" s="9"/>
      <c r="BU197" s="9"/>
      <c r="BV197" s="9"/>
      <c r="BW197" s="9"/>
    </row>
    <row r="198" spans="1:75" ht="166.5" hidden="1" outlineLevel="2" x14ac:dyDescent="0.25">
      <c r="A198" s="43" t="s">
        <v>275</v>
      </c>
      <c r="B198" s="110" t="s">
        <v>276</v>
      </c>
      <c r="C198" s="45">
        <v>2019</v>
      </c>
      <c r="D198" s="46" t="s">
        <v>93</v>
      </c>
      <c r="E198" s="47">
        <v>0</v>
      </c>
      <c r="F198" s="47">
        <v>0</v>
      </c>
      <c r="G198" s="47">
        <v>0</v>
      </c>
      <c r="H198" s="47">
        <v>0</v>
      </c>
      <c r="I198" s="47">
        <v>0</v>
      </c>
      <c r="J198" s="47">
        <v>0</v>
      </c>
      <c r="K198" s="47">
        <v>0</v>
      </c>
      <c r="L198" s="47">
        <v>0</v>
      </c>
      <c r="M198" s="47">
        <v>0</v>
      </c>
      <c r="N198" s="47">
        <v>0</v>
      </c>
      <c r="O198" s="47">
        <v>0</v>
      </c>
      <c r="P198" s="47">
        <v>0</v>
      </c>
      <c r="Q198" s="47">
        <v>0</v>
      </c>
      <c r="R198" s="47">
        <v>0</v>
      </c>
      <c r="S198" s="47">
        <v>10308925.82</v>
      </c>
      <c r="T198" s="47">
        <v>0</v>
      </c>
      <c r="U198" s="47">
        <v>0</v>
      </c>
      <c r="V198" s="47">
        <v>0</v>
      </c>
      <c r="W198" s="47">
        <v>0</v>
      </c>
      <c r="X198" s="47">
        <v>0</v>
      </c>
      <c r="Y198" s="48">
        <v>10308925.82</v>
      </c>
      <c r="Z198" s="58">
        <v>3260486.14</v>
      </c>
      <c r="AA198" s="50">
        <v>3260486.14</v>
      </c>
      <c r="AB198" s="50">
        <v>0</v>
      </c>
      <c r="AC198" s="50">
        <v>0</v>
      </c>
      <c r="AD198" s="50">
        <v>296375.78999999998</v>
      </c>
      <c r="AE198" s="50">
        <v>0</v>
      </c>
      <c r="AF198" s="50">
        <v>0</v>
      </c>
      <c r="AG198" s="49">
        <v>3556861.93</v>
      </c>
      <c r="AH198" s="51" t="s">
        <v>104</v>
      </c>
      <c r="AI198" s="51" t="s">
        <v>74</v>
      </c>
      <c r="AJ198" s="51" t="s">
        <v>74</v>
      </c>
      <c r="AK198" s="51" t="s">
        <v>309</v>
      </c>
      <c r="AL198" s="51" t="s">
        <v>74</v>
      </c>
      <c r="AM198" s="51" t="s">
        <v>74</v>
      </c>
      <c r="AN198" s="52">
        <v>0</v>
      </c>
      <c r="AO198" s="52">
        <v>770690.36</v>
      </c>
      <c r="AP198" s="52">
        <v>0</v>
      </c>
      <c r="AQ198" s="52">
        <v>0</v>
      </c>
      <c r="AR198" s="52">
        <v>0</v>
      </c>
      <c r="AS198" s="52">
        <v>770690.36</v>
      </c>
      <c r="AT198" s="51" t="s">
        <v>310</v>
      </c>
      <c r="AU198" s="59">
        <v>2185674.38</v>
      </c>
      <c r="AV198" s="52"/>
      <c r="AW198" s="52">
        <v>0</v>
      </c>
      <c r="AX198" s="52"/>
      <c r="AY198" s="52"/>
      <c r="AZ198" s="52">
        <v>0</v>
      </c>
      <c r="BA198" s="52">
        <v>2185674.38</v>
      </c>
      <c r="BB198" s="55" t="s">
        <v>311</v>
      </c>
      <c r="BC198" s="51" t="s">
        <v>74</v>
      </c>
      <c r="BD198" s="54" t="s">
        <v>74</v>
      </c>
      <c r="BE198" s="54" t="s">
        <v>74</v>
      </c>
      <c r="BF198" s="54" t="s">
        <v>74</v>
      </c>
      <c r="BG198" s="54" t="s">
        <v>74</v>
      </c>
      <c r="BH198" s="52">
        <v>2956364.74</v>
      </c>
      <c r="BI198" s="52">
        <v>9708428.6300000008</v>
      </c>
      <c r="BJ198" s="52">
        <v>7522754.25</v>
      </c>
      <c r="BK198" s="56">
        <v>43800</v>
      </c>
      <c r="BL198" s="57">
        <v>9708428.6300000008</v>
      </c>
      <c r="BM198" s="47">
        <v>0</v>
      </c>
      <c r="BN198" s="9"/>
      <c r="BO198" s="9"/>
      <c r="BP198" s="9"/>
      <c r="BQ198" s="9"/>
      <c r="BR198" s="9"/>
      <c r="BS198" s="9"/>
      <c r="BT198" s="9"/>
      <c r="BU198" s="9"/>
      <c r="BV198" s="9"/>
      <c r="BW198" s="9"/>
    </row>
    <row r="199" spans="1:75" ht="26.25" hidden="1" outlineLevel="2" x14ac:dyDescent="0.25">
      <c r="A199" s="43" t="s">
        <v>275</v>
      </c>
      <c r="B199" s="110" t="s">
        <v>276</v>
      </c>
      <c r="C199" s="45">
        <v>2020</v>
      </c>
      <c r="D199" s="46" t="s">
        <v>73</v>
      </c>
      <c r="E199" s="47">
        <v>0</v>
      </c>
      <c r="F199" s="47">
        <v>0</v>
      </c>
      <c r="G199" s="47">
        <v>0</v>
      </c>
      <c r="H199" s="47">
        <v>0</v>
      </c>
      <c r="I199" s="47">
        <v>0</v>
      </c>
      <c r="J199" s="47">
        <v>0</v>
      </c>
      <c r="K199" s="47">
        <v>0</v>
      </c>
      <c r="L199" s="47">
        <v>0</v>
      </c>
      <c r="M199" s="47">
        <v>0</v>
      </c>
      <c r="N199" s="47">
        <v>0</v>
      </c>
      <c r="O199" s="47">
        <v>0</v>
      </c>
      <c r="P199" s="47">
        <v>0</v>
      </c>
      <c r="Q199" s="47">
        <v>0</v>
      </c>
      <c r="R199" s="47">
        <v>0</v>
      </c>
      <c r="S199" s="47">
        <v>10308925.82</v>
      </c>
      <c r="T199" s="47">
        <v>0</v>
      </c>
      <c r="U199" s="47">
        <v>0</v>
      </c>
      <c r="V199" s="47">
        <v>0</v>
      </c>
      <c r="W199" s="47">
        <v>0</v>
      </c>
      <c r="X199" s="47">
        <v>0</v>
      </c>
      <c r="Y199" s="48">
        <v>10308925.82</v>
      </c>
      <c r="Z199" s="58">
        <v>3468680.53</v>
      </c>
      <c r="AA199" s="50">
        <v>3468680.53</v>
      </c>
      <c r="AB199" s="50">
        <v>0</v>
      </c>
      <c r="AC199" s="50">
        <v>0</v>
      </c>
      <c r="AD199" s="50">
        <v>139521.60999999999</v>
      </c>
      <c r="AE199" s="50">
        <v>0</v>
      </c>
      <c r="AF199" s="50">
        <v>0</v>
      </c>
      <c r="AG199" s="49">
        <v>3608202.14</v>
      </c>
      <c r="AH199" s="51" t="s">
        <v>104</v>
      </c>
      <c r="AI199" s="51" t="s">
        <v>74</v>
      </c>
      <c r="AJ199" s="51" t="s">
        <v>74</v>
      </c>
      <c r="AK199" s="51" t="s">
        <v>157</v>
      </c>
      <c r="AL199" s="51" t="s">
        <v>74</v>
      </c>
      <c r="AM199" s="51" t="s">
        <v>74</v>
      </c>
      <c r="AN199" s="52">
        <v>0</v>
      </c>
      <c r="AO199" s="52">
        <v>0</v>
      </c>
      <c r="AP199" s="52">
        <v>0</v>
      </c>
      <c r="AQ199" s="52">
        <v>0</v>
      </c>
      <c r="AR199" s="52">
        <v>0</v>
      </c>
      <c r="AS199" s="52">
        <v>0</v>
      </c>
      <c r="AT199" s="53" t="s">
        <v>74</v>
      </c>
      <c r="AU199" s="52">
        <v>0</v>
      </c>
      <c r="AV199" s="52"/>
      <c r="AW199" s="52">
        <v>0</v>
      </c>
      <c r="AX199" s="52"/>
      <c r="AY199" s="52"/>
      <c r="AZ199" s="52">
        <v>0</v>
      </c>
      <c r="BA199" s="52">
        <f t="shared" ref="BA199:BA210" si="17">AU199+AV199+AW199+AX199+AY199+AZ199</f>
        <v>0</v>
      </c>
      <c r="BB199" s="54" t="s">
        <v>74</v>
      </c>
      <c r="BC199" s="53" t="s">
        <v>74</v>
      </c>
      <c r="BD199" s="55" t="s">
        <v>74</v>
      </c>
      <c r="BE199" s="55" t="s">
        <v>74</v>
      </c>
      <c r="BF199" s="55" t="s">
        <v>74</v>
      </c>
      <c r="BG199" s="55" t="s">
        <v>74</v>
      </c>
      <c r="BH199" s="52">
        <f t="shared" ref="BH199:BH219" si="18">AS199+BA199</f>
        <v>0</v>
      </c>
      <c r="BI199" s="52">
        <f t="shared" ref="BI199:BI219" si="19">Y199-AG199+BH199</f>
        <v>6700723.6799999997</v>
      </c>
      <c r="BJ199" s="52">
        <f t="shared" ref="BJ199:BJ210" si="20">BI199-BH199</f>
        <v>6700723.6799999997</v>
      </c>
      <c r="BK199" s="56">
        <v>43831</v>
      </c>
      <c r="BL199" s="57">
        <v>6700723.6799999997</v>
      </c>
      <c r="BM199" s="47">
        <v>0</v>
      </c>
      <c r="BN199" s="9"/>
      <c r="BO199" s="9"/>
      <c r="BP199" s="9"/>
      <c r="BQ199" s="9"/>
      <c r="BR199" s="9"/>
      <c r="BS199" s="9"/>
      <c r="BT199" s="9"/>
      <c r="BU199" s="9"/>
      <c r="BV199" s="9"/>
      <c r="BW199" s="9"/>
    </row>
    <row r="200" spans="1:75" ht="306.75" hidden="1" outlineLevel="2" x14ac:dyDescent="0.25">
      <c r="A200" s="43" t="s">
        <v>275</v>
      </c>
      <c r="B200" s="110" t="s">
        <v>276</v>
      </c>
      <c r="C200" s="45">
        <v>2020</v>
      </c>
      <c r="D200" s="46" t="s">
        <v>75</v>
      </c>
      <c r="E200" s="47">
        <v>0</v>
      </c>
      <c r="F200" s="47">
        <v>0</v>
      </c>
      <c r="G200" s="47">
        <v>0</v>
      </c>
      <c r="H200" s="47">
        <v>0</v>
      </c>
      <c r="I200" s="47">
        <v>0</v>
      </c>
      <c r="J200" s="47">
        <v>0</v>
      </c>
      <c r="K200" s="47">
        <v>0</v>
      </c>
      <c r="L200" s="47">
        <v>0</v>
      </c>
      <c r="M200" s="47">
        <v>0</v>
      </c>
      <c r="N200" s="47">
        <v>0</v>
      </c>
      <c r="O200" s="47">
        <v>0</v>
      </c>
      <c r="P200" s="47">
        <v>0</v>
      </c>
      <c r="Q200" s="47">
        <v>0</v>
      </c>
      <c r="R200" s="47">
        <v>0</v>
      </c>
      <c r="S200" s="47">
        <v>10308925.82</v>
      </c>
      <c r="T200" s="47">
        <v>0</v>
      </c>
      <c r="U200" s="113">
        <v>359632.7</v>
      </c>
      <c r="V200" s="47">
        <v>0</v>
      </c>
      <c r="W200" s="47">
        <v>0</v>
      </c>
      <c r="X200" s="47">
        <v>0</v>
      </c>
      <c r="Y200" s="48">
        <v>10668558.52</v>
      </c>
      <c r="Z200" s="58">
        <v>3289997.98</v>
      </c>
      <c r="AA200" s="50">
        <v>3289997.98</v>
      </c>
      <c r="AB200" s="50">
        <v>0</v>
      </c>
      <c r="AC200" s="50">
        <v>0</v>
      </c>
      <c r="AD200" s="50">
        <v>126523.64</v>
      </c>
      <c r="AE200" s="50">
        <v>0</v>
      </c>
      <c r="AF200" s="50">
        <v>0</v>
      </c>
      <c r="AG200" s="49">
        <v>3416521.62</v>
      </c>
      <c r="AH200" s="51" t="s">
        <v>104</v>
      </c>
      <c r="AI200" s="51" t="s">
        <v>74</v>
      </c>
      <c r="AJ200" s="51" t="s">
        <v>74</v>
      </c>
      <c r="AK200" s="51" t="s">
        <v>219</v>
      </c>
      <c r="AL200" s="51" t="s">
        <v>74</v>
      </c>
      <c r="AM200" s="51" t="s">
        <v>74</v>
      </c>
      <c r="AN200" s="52"/>
      <c r="AO200" s="52"/>
      <c r="AP200" s="52"/>
      <c r="AQ200" s="52"/>
      <c r="AR200" s="52"/>
      <c r="AS200" s="52">
        <v>0</v>
      </c>
      <c r="AT200" s="53" t="s">
        <v>74</v>
      </c>
      <c r="AU200" s="52">
        <f>244547.82+116015.21</f>
        <v>360563.03</v>
      </c>
      <c r="AV200" s="52"/>
      <c r="AW200" s="52">
        <v>0</v>
      </c>
      <c r="AX200" s="52"/>
      <c r="AY200" s="52"/>
      <c r="AZ200" s="52">
        <v>0</v>
      </c>
      <c r="BA200" s="52">
        <f t="shared" si="17"/>
        <v>360563.03</v>
      </c>
      <c r="BB200" s="51" t="s">
        <v>312</v>
      </c>
      <c r="BC200" s="51" t="s">
        <v>74</v>
      </c>
      <c r="BD200" s="54" t="s">
        <v>74</v>
      </c>
      <c r="BE200" s="54" t="s">
        <v>74</v>
      </c>
      <c r="BF200" s="54" t="s">
        <v>74</v>
      </c>
      <c r="BG200" s="54" t="s">
        <v>74</v>
      </c>
      <c r="BH200" s="52">
        <f t="shared" si="18"/>
        <v>360563.03</v>
      </c>
      <c r="BI200" s="52">
        <f t="shared" si="19"/>
        <v>7612599.9299999997</v>
      </c>
      <c r="BJ200" s="52">
        <f t="shared" si="20"/>
        <v>7252036.8999999994</v>
      </c>
      <c r="BK200" s="56">
        <v>43862</v>
      </c>
      <c r="BL200" s="57">
        <f>7496584.72+116015.21</f>
        <v>7612599.9299999997</v>
      </c>
      <c r="BM200" s="47">
        <v>0</v>
      </c>
      <c r="BN200" s="9"/>
      <c r="BO200" s="9"/>
      <c r="BP200" s="9"/>
      <c r="BQ200" s="9"/>
      <c r="BR200" s="9"/>
      <c r="BS200" s="9"/>
      <c r="BT200" s="9"/>
      <c r="BU200" s="9"/>
      <c r="BV200" s="9"/>
      <c r="BW200" s="9"/>
    </row>
    <row r="201" spans="1:75" ht="217.5" hidden="1" outlineLevel="2" x14ac:dyDescent="0.25">
      <c r="A201" s="43" t="s">
        <v>275</v>
      </c>
      <c r="B201" s="110" t="s">
        <v>276</v>
      </c>
      <c r="C201" s="45">
        <v>2020</v>
      </c>
      <c r="D201" s="46" t="s">
        <v>77</v>
      </c>
      <c r="E201" s="47">
        <v>0</v>
      </c>
      <c r="F201" s="47">
        <v>0</v>
      </c>
      <c r="G201" s="47">
        <v>0</v>
      </c>
      <c r="H201" s="47">
        <v>0</v>
      </c>
      <c r="I201" s="47">
        <v>0</v>
      </c>
      <c r="J201" s="47">
        <v>0</v>
      </c>
      <c r="K201" s="47">
        <v>0</v>
      </c>
      <c r="L201" s="47">
        <v>0</v>
      </c>
      <c r="M201" s="47">
        <v>0</v>
      </c>
      <c r="N201" s="47">
        <v>0</v>
      </c>
      <c r="O201" s="47">
        <v>0</v>
      </c>
      <c r="P201" s="47">
        <v>0</v>
      </c>
      <c r="Q201" s="47">
        <v>0</v>
      </c>
      <c r="R201" s="47">
        <v>0</v>
      </c>
      <c r="S201" s="47">
        <v>4123570.36</v>
      </c>
      <c r="T201" s="47">
        <v>0</v>
      </c>
      <c r="U201" s="113">
        <v>143853.07999999999</v>
      </c>
      <c r="V201" s="113">
        <v>7570833.102</v>
      </c>
      <c r="W201" s="47">
        <v>0</v>
      </c>
      <c r="X201" s="47">
        <v>0</v>
      </c>
      <c r="Y201" s="48">
        <v>11838256.541999999</v>
      </c>
      <c r="Z201" s="58">
        <v>3417790.81</v>
      </c>
      <c r="AA201" s="50">
        <v>3417790.81</v>
      </c>
      <c r="AB201" s="50">
        <v>0</v>
      </c>
      <c r="AC201" s="50">
        <v>0</v>
      </c>
      <c r="AD201" s="50">
        <v>141849.53</v>
      </c>
      <c r="AE201" s="50">
        <v>0</v>
      </c>
      <c r="AF201" s="50">
        <v>0</v>
      </c>
      <c r="AG201" s="49">
        <v>3559640.34</v>
      </c>
      <c r="AH201" s="51" t="s">
        <v>104</v>
      </c>
      <c r="AI201" s="51" t="s">
        <v>74</v>
      </c>
      <c r="AJ201" s="51" t="s">
        <v>74</v>
      </c>
      <c r="AK201" s="51" t="s">
        <v>313</v>
      </c>
      <c r="AL201" s="51" t="s">
        <v>74</v>
      </c>
      <c r="AM201" s="51" t="s">
        <v>74</v>
      </c>
      <c r="AN201" s="52">
        <v>0</v>
      </c>
      <c r="AO201" s="52">
        <v>0</v>
      </c>
      <c r="AP201" s="52">
        <v>0</v>
      </c>
      <c r="AQ201" s="52">
        <v>0</v>
      </c>
      <c r="AR201" s="52">
        <v>0</v>
      </c>
      <c r="AS201" s="52">
        <v>0</v>
      </c>
      <c r="AT201" s="53" t="s">
        <v>74</v>
      </c>
      <c r="AU201" s="68">
        <v>271119.61</v>
      </c>
      <c r="AV201" s="52"/>
      <c r="AW201" s="52">
        <v>0</v>
      </c>
      <c r="AX201" s="52"/>
      <c r="AY201" s="52"/>
      <c r="AZ201" s="52">
        <v>0</v>
      </c>
      <c r="BA201" s="52">
        <f t="shared" si="17"/>
        <v>271119.61</v>
      </c>
      <c r="BB201" s="53" t="s">
        <v>314</v>
      </c>
      <c r="BC201" s="53" t="s">
        <v>74</v>
      </c>
      <c r="BD201" s="55" t="s">
        <v>74</v>
      </c>
      <c r="BE201" s="55" t="s">
        <v>74</v>
      </c>
      <c r="BF201" s="55" t="s">
        <v>74</v>
      </c>
      <c r="BG201" s="55" t="s">
        <v>74</v>
      </c>
      <c r="BH201" s="52">
        <f t="shared" si="18"/>
        <v>271119.61</v>
      </c>
      <c r="BI201" s="52">
        <f t="shared" si="19"/>
        <v>8549735.811999999</v>
      </c>
      <c r="BJ201" s="52">
        <f t="shared" si="20"/>
        <v>8278616.2019999987</v>
      </c>
      <c r="BK201" s="56">
        <v>43891</v>
      </c>
      <c r="BL201" s="57">
        <f>8278616.2+271119.61</f>
        <v>8549735.8100000005</v>
      </c>
      <c r="BM201" s="47">
        <v>0</v>
      </c>
      <c r="BN201" s="9"/>
      <c r="BO201" s="9"/>
      <c r="BP201" s="9"/>
      <c r="BQ201" s="9"/>
      <c r="BR201" s="9"/>
      <c r="BS201" s="9"/>
      <c r="BT201" s="9"/>
      <c r="BU201" s="9"/>
      <c r="BV201" s="9"/>
      <c r="BW201" s="9"/>
    </row>
    <row r="202" spans="1:75" ht="217.5" hidden="1" outlineLevel="2" x14ac:dyDescent="0.25">
      <c r="A202" s="43" t="s">
        <v>275</v>
      </c>
      <c r="B202" s="110" t="s">
        <v>276</v>
      </c>
      <c r="C202" s="45">
        <v>2020</v>
      </c>
      <c r="D202" s="46" t="s">
        <v>79</v>
      </c>
      <c r="E202" s="47">
        <v>0</v>
      </c>
      <c r="F202" s="47">
        <v>0</v>
      </c>
      <c r="G202" s="47">
        <v>0</v>
      </c>
      <c r="H202" s="47">
        <v>0</v>
      </c>
      <c r="I202" s="47">
        <v>0</v>
      </c>
      <c r="J202" s="47">
        <v>0</v>
      </c>
      <c r="K202" s="47">
        <v>0</v>
      </c>
      <c r="L202" s="47">
        <v>0</v>
      </c>
      <c r="M202" s="47">
        <v>0</v>
      </c>
      <c r="N202" s="47">
        <v>0</v>
      </c>
      <c r="O202" s="47">
        <v>0</v>
      </c>
      <c r="P202" s="47">
        <v>0</v>
      </c>
      <c r="Q202" s="47">
        <v>0</v>
      </c>
      <c r="R202" s="47">
        <v>0</v>
      </c>
      <c r="S202" s="47">
        <v>0</v>
      </c>
      <c r="T202" s="47">
        <v>0</v>
      </c>
      <c r="U202" s="47">
        <v>0</v>
      </c>
      <c r="V202" s="134">
        <v>12618055.17</v>
      </c>
      <c r="W202" s="47">
        <v>0</v>
      </c>
      <c r="X202" s="47">
        <v>0</v>
      </c>
      <c r="Y202" s="48">
        <v>12618055.17</v>
      </c>
      <c r="Z202" s="58">
        <v>3311563.6</v>
      </c>
      <c r="AA202" s="50">
        <v>3311563.6</v>
      </c>
      <c r="AB202" s="50">
        <v>0</v>
      </c>
      <c r="AC202" s="50">
        <v>0</v>
      </c>
      <c r="AD202" s="62">
        <v>112729.09</v>
      </c>
      <c r="AE202" s="50">
        <v>0</v>
      </c>
      <c r="AF202" s="50">
        <v>0</v>
      </c>
      <c r="AG202" s="49">
        <v>3424292.69</v>
      </c>
      <c r="AH202" s="51" t="s">
        <v>104</v>
      </c>
      <c r="AI202" s="51" t="s">
        <v>74</v>
      </c>
      <c r="AJ202" s="51" t="s">
        <v>74</v>
      </c>
      <c r="AK202" s="51" t="s">
        <v>315</v>
      </c>
      <c r="AL202" s="51" t="s">
        <v>74</v>
      </c>
      <c r="AM202" s="51" t="s">
        <v>74</v>
      </c>
      <c r="AN202" s="52">
        <v>0</v>
      </c>
      <c r="AO202" s="52">
        <v>0</v>
      </c>
      <c r="AP202" s="52">
        <v>0</v>
      </c>
      <c r="AQ202" s="52">
        <v>0</v>
      </c>
      <c r="AR202" s="52">
        <v>0</v>
      </c>
      <c r="AS202" s="52">
        <v>0</v>
      </c>
      <c r="AT202" s="53" t="s">
        <v>74</v>
      </c>
      <c r="AU202" s="68">
        <v>44196.27</v>
      </c>
      <c r="AV202" s="52"/>
      <c r="AW202" s="52">
        <v>0</v>
      </c>
      <c r="AX202" s="52"/>
      <c r="AY202" s="52"/>
      <c r="AZ202" s="52">
        <v>0</v>
      </c>
      <c r="BA202" s="52">
        <f t="shared" si="17"/>
        <v>44196.27</v>
      </c>
      <c r="BB202" s="53" t="s">
        <v>316</v>
      </c>
      <c r="BC202" s="53" t="s">
        <v>74</v>
      </c>
      <c r="BD202" s="55" t="s">
        <v>74</v>
      </c>
      <c r="BE202" s="55" t="s">
        <v>74</v>
      </c>
      <c r="BF202" s="55" t="s">
        <v>74</v>
      </c>
      <c r="BG202" s="55" t="s">
        <v>74</v>
      </c>
      <c r="BH202" s="52">
        <f t="shared" si="18"/>
        <v>44196.27</v>
      </c>
      <c r="BI202" s="52">
        <f t="shared" si="19"/>
        <v>9237958.75</v>
      </c>
      <c r="BJ202" s="52">
        <f t="shared" si="20"/>
        <v>9193762.4800000004</v>
      </c>
      <c r="BK202" s="56">
        <v>43923</v>
      </c>
      <c r="BL202" s="57">
        <f>9193762.48+44196.27</f>
        <v>9237958.75</v>
      </c>
      <c r="BM202" s="47">
        <v>0</v>
      </c>
      <c r="BN202" s="9"/>
      <c r="BO202" s="9"/>
      <c r="BP202" s="9"/>
      <c r="BQ202" s="9"/>
      <c r="BR202" s="9"/>
      <c r="BS202" s="9"/>
      <c r="BT202" s="9"/>
      <c r="BU202" s="9"/>
      <c r="BV202" s="9"/>
      <c r="BW202" s="9"/>
    </row>
    <row r="203" spans="1:75" ht="409.6" hidden="1" outlineLevel="2" x14ac:dyDescent="0.25">
      <c r="A203" s="43" t="s">
        <v>275</v>
      </c>
      <c r="B203" s="110" t="s">
        <v>276</v>
      </c>
      <c r="C203" s="45">
        <v>2020</v>
      </c>
      <c r="D203" s="46" t="s">
        <v>81</v>
      </c>
      <c r="E203" s="47">
        <v>0</v>
      </c>
      <c r="F203" s="47">
        <v>0</v>
      </c>
      <c r="G203" s="47">
        <v>0</v>
      </c>
      <c r="H203" s="47">
        <v>0</v>
      </c>
      <c r="I203" s="47">
        <v>0</v>
      </c>
      <c r="J203" s="47">
        <v>0</v>
      </c>
      <c r="K203" s="47">
        <v>0</v>
      </c>
      <c r="L203" s="47">
        <v>0</v>
      </c>
      <c r="M203" s="47">
        <v>0</v>
      </c>
      <c r="N203" s="47">
        <v>0</v>
      </c>
      <c r="O203" s="47">
        <v>0</v>
      </c>
      <c r="P203" s="47">
        <v>0</v>
      </c>
      <c r="Q203" s="47">
        <v>0</v>
      </c>
      <c r="R203" s="47">
        <v>0</v>
      </c>
      <c r="S203" s="47">
        <v>0</v>
      </c>
      <c r="T203" s="47">
        <v>0</v>
      </c>
      <c r="U203" s="47">
        <v>0</v>
      </c>
      <c r="V203" s="134">
        <v>12618055.17</v>
      </c>
      <c r="W203" s="47">
        <v>0</v>
      </c>
      <c r="X203" s="47">
        <v>0</v>
      </c>
      <c r="Y203" s="48">
        <v>12618055.17</v>
      </c>
      <c r="Z203" s="58">
        <v>3488051.33</v>
      </c>
      <c r="AA203" s="50">
        <v>3488051.33</v>
      </c>
      <c r="AB203" s="50">
        <v>0</v>
      </c>
      <c r="AC203" s="50">
        <v>0</v>
      </c>
      <c r="AD203" s="62">
        <v>132004.29</v>
      </c>
      <c r="AE203" s="50">
        <v>0</v>
      </c>
      <c r="AF203" s="50">
        <v>0</v>
      </c>
      <c r="AG203" s="49">
        <v>3620055.62</v>
      </c>
      <c r="AH203" s="51" t="s">
        <v>104</v>
      </c>
      <c r="AI203" s="51" t="s">
        <v>74</v>
      </c>
      <c r="AJ203" s="51" t="s">
        <v>74</v>
      </c>
      <c r="AK203" s="51" t="s">
        <v>317</v>
      </c>
      <c r="AL203" s="51" t="s">
        <v>74</v>
      </c>
      <c r="AM203" s="51" t="s">
        <v>74</v>
      </c>
      <c r="AN203" s="52"/>
      <c r="AO203" s="52"/>
      <c r="AP203" s="52"/>
      <c r="AQ203" s="52"/>
      <c r="AR203" s="52"/>
      <c r="AS203" s="52">
        <v>0</v>
      </c>
      <c r="AT203" s="53" t="s">
        <v>74</v>
      </c>
      <c r="AU203" s="52">
        <f>1625388.88+217572.05</f>
        <v>1842960.93</v>
      </c>
      <c r="AV203" s="52"/>
      <c r="AW203" s="52">
        <v>451393.2</v>
      </c>
      <c r="AX203" s="52"/>
      <c r="AY203" s="52"/>
      <c r="AZ203" s="52">
        <v>0</v>
      </c>
      <c r="BA203" s="52">
        <f t="shared" si="17"/>
        <v>2294354.13</v>
      </c>
      <c r="BB203" s="51" t="s">
        <v>318</v>
      </c>
      <c r="BC203" s="51" t="s">
        <v>74</v>
      </c>
      <c r="BD203" s="55" t="s">
        <v>319</v>
      </c>
      <c r="BE203" s="55" t="s">
        <v>74</v>
      </c>
      <c r="BF203" s="55" t="s">
        <v>74</v>
      </c>
      <c r="BG203" s="55" t="s">
        <v>74</v>
      </c>
      <c r="BH203" s="52">
        <f t="shared" si="18"/>
        <v>2294354.13</v>
      </c>
      <c r="BI203" s="52">
        <f t="shared" si="19"/>
        <v>11292353.68</v>
      </c>
      <c r="BJ203" s="52">
        <f t="shared" si="20"/>
        <v>8997999.5500000007</v>
      </c>
      <c r="BK203" s="56">
        <v>43952</v>
      </c>
      <c r="BL203" s="57">
        <f>11074781.63+217572.05</f>
        <v>11292353.680000002</v>
      </c>
      <c r="BM203" s="47">
        <v>0</v>
      </c>
      <c r="BN203" s="9"/>
      <c r="BO203" s="9"/>
      <c r="BP203" s="9"/>
      <c r="BQ203" s="9"/>
      <c r="BR203" s="9"/>
      <c r="BS203" s="9"/>
      <c r="BT203" s="9"/>
      <c r="BU203" s="9"/>
      <c r="BV203" s="9"/>
      <c r="BW203" s="9"/>
    </row>
    <row r="204" spans="1:75" ht="332.25" hidden="1" outlineLevel="2" x14ac:dyDescent="0.25">
      <c r="A204" s="43" t="s">
        <v>275</v>
      </c>
      <c r="B204" s="110" t="s">
        <v>276</v>
      </c>
      <c r="C204" s="45">
        <v>2020</v>
      </c>
      <c r="D204" s="46" t="s">
        <v>83</v>
      </c>
      <c r="E204" s="47">
        <v>0</v>
      </c>
      <c r="F204" s="47">
        <v>0</v>
      </c>
      <c r="G204" s="47">
        <v>0</v>
      </c>
      <c r="H204" s="47">
        <v>0</v>
      </c>
      <c r="I204" s="47">
        <v>0</v>
      </c>
      <c r="J204" s="47">
        <v>0</v>
      </c>
      <c r="K204" s="47">
        <v>0</v>
      </c>
      <c r="L204" s="47">
        <v>0</v>
      </c>
      <c r="M204" s="47">
        <v>0</v>
      </c>
      <c r="N204" s="47">
        <v>0</v>
      </c>
      <c r="O204" s="47">
        <v>0</v>
      </c>
      <c r="P204" s="47">
        <v>0</v>
      </c>
      <c r="Q204" s="47">
        <v>0</v>
      </c>
      <c r="R204" s="47">
        <v>0</v>
      </c>
      <c r="S204" s="47">
        <v>0</v>
      </c>
      <c r="T204" s="47">
        <v>0</v>
      </c>
      <c r="U204" s="47">
        <v>0</v>
      </c>
      <c r="V204" s="134">
        <v>12618055.17</v>
      </c>
      <c r="W204" s="47">
        <v>0</v>
      </c>
      <c r="X204" s="47">
        <v>0</v>
      </c>
      <c r="Y204" s="48">
        <v>12618055.17</v>
      </c>
      <c r="Z204" s="58">
        <v>3320576.81</v>
      </c>
      <c r="AA204" s="50">
        <v>3320576.81</v>
      </c>
      <c r="AB204" s="50">
        <v>0</v>
      </c>
      <c r="AC204" s="50">
        <v>0</v>
      </c>
      <c r="AD204" s="62">
        <v>119108.76</v>
      </c>
      <c r="AE204" s="50">
        <v>0</v>
      </c>
      <c r="AF204" s="50">
        <v>0</v>
      </c>
      <c r="AG204" s="49">
        <v>3439685.57</v>
      </c>
      <c r="AH204" s="51" t="s">
        <v>104</v>
      </c>
      <c r="AI204" s="51" t="s">
        <v>74</v>
      </c>
      <c r="AJ204" s="51" t="s">
        <v>74</v>
      </c>
      <c r="AK204" s="51" t="s">
        <v>320</v>
      </c>
      <c r="AL204" s="51" t="s">
        <v>74</v>
      </c>
      <c r="AM204" s="51" t="s">
        <v>74</v>
      </c>
      <c r="AN204" s="52"/>
      <c r="AO204" s="52"/>
      <c r="AP204" s="52"/>
      <c r="AQ204" s="52"/>
      <c r="AR204" s="52"/>
      <c r="AS204" s="52">
        <v>0</v>
      </c>
      <c r="AT204" s="53" t="s">
        <v>74</v>
      </c>
      <c r="AU204" s="114">
        <f>186472.88+165736.02</f>
        <v>352208.9</v>
      </c>
      <c r="AV204" s="52"/>
      <c r="AW204" s="52">
        <v>0</v>
      </c>
      <c r="AX204" s="52"/>
      <c r="AY204" s="52"/>
      <c r="AZ204" s="52">
        <v>0</v>
      </c>
      <c r="BA204" s="52">
        <f t="shared" si="17"/>
        <v>352208.9</v>
      </c>
      <c r="BB204" s="51" t="s">
        <v>321</v>
      </c>
      <c r="BC204" s="51" t="s">
        <v>74</v>
      </c>
      <c r="BD204" s="54" t="s">
        <v>74</v>
      </c>
      <c r="BE204" s="54" t="s">
        <v>74</v>
      </c>
      <c r="BF204" s="54" t="s">
        <v>74</v>
      </c>
      <c r="BG204" s="54" t="s">
        <v>74</v>
      </c>
      <c r="BH204" s="52">
        <f t="shared" si="18"/>
        <v>352208.9</v>
      </c>
      <c r="BI204" s="52">
        <f t="shared" si="19"/>
        <v>9530578.5</v>
      </c>
      <c r="BJ204" s="52">
        <f t="shared" si="20"/>
        <v>9178369.5999999996</v>
      </c>
      <c r="BK204" s="56">
        <v>43983</v>
      </c>
      <c r="BL204" s="57">
        <f>9364842.48+165736.02</f>
        <v>9530578.5</v>
      </c>
      <c r="BM204" s="47">
        <v>0</v>
      </c>
      <c r="BN204" s="9"/>
      <c r="BO204" s="9"/>
      <c r="BP204" s="9"/>
      <c r="BQ204" s="9"/>
      <c r="BR204" s="9"/>
      <c r="BS204" s="9"/>
      <c r="BT204" s="9"/>
      <c r="BU204" s="9"/>
      <c r="BV204" s="9"/>
      <c r="BW204" s="9"/>
    </row>
    <row r="205" spans="1:75" ht="332.25" hidden="1" outlineLevel="2" x14ac:dyDescent="0.25">
      <c r="A205" s="43" t="s">
        <v>275</v>
      </c>
      <c r="B205" s="110" t="s">
        <v>276</v>
      </c>
      <c r="C205" s="45">
        <v>2020</v>
      </c>
      <c r="D205" s="46" t="s">
        <v>84</v>
      </c>
      <c r="E205" s="47">
        <v>0</v>
      </c>
      <c r="F205" s="47">
        <v>0</v>
      </c>
      <c r="G205" s="47">
        <v>0</v>
      </c>
      <c r="H205" s="47">
        <v>0</v>
      </c>
      <c r="I205" s="47">
        <v>0</v>
      </c>
      <c r="J205" s="47">
        <v>0</v>
      </c>
      <c r="K205" s="47">
        <v>0</v>
      </c>
      <c r="L205" s="47">
        <v>0</v>
      </c>
      <c r="M205" s="47">
        <v>0</v>
      </c>
      <c r="N205" s="47">
        <v>0</v>
      </c>
      <c r="O205" s="47">
        <v>0</v>
      </c>
      <c r="P205" s="47">
        <v>0</v>
      </c>
      <c r="Q205" s="47">
        <v>0</v>
      </c>
      <c r="R205" s="47">
        <v>0</v>
      </c>
      <c r="S205" s="47">
        <v>0</v>
      </c>
      <c r="T205" s="47">
        <v>0</v>
      </c>
      <c r="U205" s="47">
        <v>0</v>
      </c>
      <c r="V205" s="134">
        <v>12618055.17</v>
      </c>
      <c r="W205" s="47">
        <v>0</v>
      </c>
      <c r="X205" s="47">
        <v>0</v>
      </c>
      <c r="Y205" s="48">
        <v>12618055.17</v>
      </c>
      <c r="Z205" s="58">
        <v>3284598.23</v>
      </c>
      <c r="AA205" s="50">
        <v>3284598.23</v>
      </c>
      <c r="AB205" s="50">
        <v>0</v>
      </c>
      <c r="AC205" s="50">
        <v>0</v>
      </c>
      <c r="AD205" s="62">
        <v>104279.34</v>
      </c>
      <c r="AE205" s="50">
        <v>0</v>
      </c>
      <c r="AF205" s="50">
        <v>0</v>
      </c>
      <c r="AG205" s="49">
        <v>3388877.57</v>
      </c>
      <c r="AH205" s="51" t="s">
        <v>104</v>
      </c>
      <c r="AI205" s="51" t="s">
        <v>74</v>
      </c>
      <c r="AJ205" s="51" t="s">
        <v>74</v>
      </c>
      <c r="AK205" s="51" t="s">
        <v>165</v>
      </c>
      <c r="AL205" s="51" t="s">
        <v>74</v>
      </c>
      <c r="AM205" s="51" t="s">
        <v>74</v>
      </c>
      <c r="AN205" s="52"/>
      <c r="AO205" s="52"/>
      <c r="AP205" s="52"/>
      <c r="AQ205" s="52"/>
      <c r="AR205" s="52"/>
      <c r="AS205" s="52">
        <v>0</v>
      </c>
      <c r="AT205" s="53" t="s">
        <v>74</v>
      </c>
      <c r="AU205" s="114">
        <f>640256+161060.37</f>
        <v>801316.37</v>
      </c>
      <c r="AV205" s="52"/>
      <c r="AW205" s="52">
        <v>0</v>
      </c>
      <c r="AX205" s="52"/>
      <c r="AY205" s="52"/>
      <c r="AZ205" s="52">
        <v>0</v>
      </c>
      <c r="BA205" s="52">
        <f t="shared" si="17"/>
        <v>801316.37</v>
      </c>
      <c r="BB205" s="53" t="s">
        <v>322</v>
      </c>
      <c r="BC205" s="53" t="s">
        <v>74</v>
      </c>
      <c r="BD205" s="55" t="s">
        <v>74</v>
      </c>
      <c r="BE205" s="55" t="s">
        <v>74</v>
      </c>
      <c r="BF205" s="55" t="s">
        <v>74</v>
      </c>
      <c r="BG205" s="55" t="s">
        <v>74</v>
      </c>
      <c r="BH205" s="52">
        <f t="shared" si="18"/>
        <v>801316.37</v>
      </c>
      <c r="BI205" s="52">
        <f t="shared" si="19"/>
        <v>10030493.969999999</v>
      </c>
      <c r="BJ205" s="52">
        <f t="shared" si="20"/>
        <v>9229177.5999999996</v>
      </c>
      <c r="BK205" s="56">
        <v>44013</v>
      </c>
      <c r="BL205" s="63">
        <f>9869433.6+161060.37</f>
        <v>10030493.969999999</v>
      </c>
      <c r="BM205" s="47">
        <v>0</v>
      </c>
      <c r="BN205" s="9"/>
      <c r="BO205" s="9"/>
      <c r="BP205" s="9"/>
      <c r="BQ205" s="9"/>
      <c r="BR205" s="9"/>
      <c r="BS205" s="9"/>
      <c r="BT205" s="9"/>
      <c r="BU205" s="9"/>
      <c r="BV205" s="9"/>
      <c r="BW205" s="9"/>
    </row>
    <row r="206" spans="1:75" ht="332.25" hidden="1" outlineLevel="2" x14ac:dyDescent="0.25">
      <c r="A206" s="43" t="s">
        <v>275</v>
      </c>
      <c r="B206" s="110" t="s">
        <v>276</v>
      </c>
      <c r="C206" s="45">
        <v>2020</v>
      </c>
      <c r="D206" s="46" t="s">
        <v>86</v>
      </c>
      <c r="E206" s="47">
        <v>0</v>
      </c>
      <c r="F206" s="47">
        <v>0</v>
      </c>
      <c r="G206" s="47">
        <v>0</v>
      </c>
      <c r="H206" s="47">
        <v>0</v>
      </c>
      <c r="I206" s="47">
        <v>0</v>
      </c>
      <c r="J206" s="47">
        <v>0</v>
      </c>
      <c r="K206" s="47">
        <v>0</v>
      </c>
      <c r="L206" s="47">
        <v>0</v>
      </c>
      <c r="M206" s="47">
        <v>0</v>
      </c>
      <c r="N206" s="47">
        <v>0</v>
      </c>
      <c r="O206" s="47">
        <v>0</v>
      </c>
      <c r="P206" s="47">
        <v>0</v>
      </c>
      <c r="Q206" s="47">
        <v>0</v>
      </c>
      <c r="R206" s="47">
        <v>0</v>
      </c>
      <c r="S206" s="47">
        <v>0</v>
      </c>
      <c r="T206" s="47">
        <v>0</v>
      </c>
      <c r="U206" s="47">
        <v>0</v>
      </c>
      <c r="V206" s="134">
        <v>12618055.17</v>
      </c>
      <c r="W206" s="47">
        <v>0</v>
      </c>
      <c r="X206" s="47">
        <v>0</v>
      </c>
      <c r="Y206" s="48">
        <v>12618055.17</v>
      </c>
      <c r="Z206" s="65">
        <v>3433340.9</v>
      </c>
      <c r="AA206" s="61">
        <v>3433340.9</v>
      </c>
      <c r="AB206" s="50">
        <v>0</v>
      </c>
      <c r="AC206" s="50">
        <v>0</v>
      </c>
      <c r="AD206" s="62">
        <v>106964.25</v>
      </c>
      <c r="AE206" s="50">
        <v>0</v>
      </c>
      <c r="AF206" s="50">
        <v>0</v>
      </c>
      <c r="AG206" s="49">
        <v>3540305.15</v>
      </c>
      <c r="AH206" s="51" t="s">
        <v>104</v>
      </c>
      <c r="AI206" s="51" t="s">
        <v>74</v>
      </c>
      <c r="AJ206" s="51" t="s">
        <v>74</v>
      </c>
      <c r="AK206" s="51" t="s">
        <v>168</v>
      </c>
      <c r="AL206" s="51" t="s">
        <v>74</v>
      </c>
      <c r="AM206" s="51" t="s">
        <v>74</v>
      </c>
      <c r="AN206" s="52"/>
      <c r="AO206" s="52">
        <v>0</v>
      </c>
      <c r="AP206" s="52"/>
      <c r="AQ206" s="52"/>
      <c r="AR206" s="52"/>
      <c r="AS206" s="52">
        <v>0</v>
      </c>
      <c r="AT206" s="53" t="s">
        <v>74</v>
      </c>
      <c r="AU206" s="135">
        <f>505352.7+211630.06</f>
        <v>716982.76</v>
      </c>
      <c r="AV206" s="52"/>
      <c r="AW206" s="59">
        <v>1067260</v>
      </c>
      <c r="AX206" s="52"/>
      <c r="AY206" s="52"/>
      <c r="AZ206" s="52">
        <v>0</v>
      </c>
      <c r="BA206" s="52">
        <f t="shared" si="17"/>
        <v>1784242.76</v>
      </c>
      <c r="BB206" s="53" t="s">
        <v>323</v>
      </c>
      <c r="BC206" s="53" t="s">
        <v>74</v>
      </c>
      <c r="BD206" s="55" t="s">
        <v>324</v>
      </c>
      <c r="BE206" s="55" t="s">
        <v>74</v>
      </c>
      <c r="BF206" s="55" t="s">
        <v>74</v>
      </c>
      <c r="BG206" s="55" t="s">
        <v>74</v>
      </c>
      <c r="BH206" s="52">
        <f t="shared" si="18"/>
        <v>1784242.76</v>
      </c>
      <c r="BI206" s="52">
        <f t="shared" si="19"/>
        <v>10861992.779999999</v>
      </c>
      <c r="BJ206" s="52">
        <f t="shared" si="20"/>
        <v>9077750.0199999996</v>
      </c>
      <c r="BK206" s="56">
        <v>44044</v>
      </c>
      <c r="BL206" s="63">
        <f>10650362.72+211630.06</f>
        <v>10861992.780000001</v>
      </c>
      <c r="BM206" s="47">
        <v>0</v>
      </c>
      <c r="BN206" s="9"/>
      <c r="BO206" s="9"/>
      <c r="BP206" s="9"/>
      <c r="BQ206" s="9"/>
      <c r="BR206" s="9"/>
      <c r="BS206" s="9"/>
      <c r="BT206" s="9"/>
      <c r="BU206" s="9"/>
      <c r="BV206" s="9"/>
      <c r="BW206" s="9"/>
    </row>
    <row r="207" spans="1:75" ht="332.25" hidden="1" outlineLevel="2" x14ac:dyDescent="0.25">
      <c r="A207" s="43" t="s">
        <v>275</v>
      </c>
      <c r="B207" s="110" t="s">
        <v>276</v>
      </c>
      <c r="C207" s="45">
        <v>2020</v>
      </c>
      <c r="D207" s="46" t="s">
        <v>88</v>
      </c>
      <c r="E207" s="47">
        <v>0</v>
      </c>
      <c r="F207" s="47">
        <v>0</v>
      </c>
      <c r="G207" s="47">
        <v>0</v>
      </c>
      <c r="H207" s="47">
        <v>0</v>
      </c>
      <c r="I207" s="47">
        <v>0</v>
      </c>
      <c r="J207" s="47">
        <v>0</v>
      </c>
      <c r="K207" s="47">
        <v>0</v>
      </c>
      <c r="L207" s="47">
        <v>0</v>
      </c>
      <c r="M207" s="47">
        <v>0</v>
      </c>
      <c r="N207" s="47">
        <v>0</v>
      </c>
      <c r="O207" s="47">
        <v>0</v>
      </c>
      <c r="P207" s="47">
        <v>0</v>
      </c>
      <c r="Q207" s="47">
        <v>0</v>
      </c>
      <c r="R207" s="47">
        <v>0</v>
      </c>
      <c r="S207" s="47">
        <v>0</v>
      </c>
      <c r="T207" s="47">
        <v>0</v>
      </c>
      <c r="U207" s="47">
        <v>0</v>
      </c>
      <c r="V207" s="134">
        <v>12618055.17</v>
      </c>
      <c r="W207" s="47">
        <v>0</v>
      </c>
      <c r="X207" s="47">
        <v>0</v>
      </c>
      <c r="Y207" s="48">
        <v>12618055.17</v>
      </c>
      <c r="Z207" s="65">
        <v>3304894.99</v>
      </c>
      <c r="AA207" s="61">
        <v>3304894.99</v>
      </c>
      <c r="AB207" s="50">
        <v>0</v>
      </c>
      <c r="AC207" s="50">
        <v>0</v>
      </c>
      <c r="AD207" s="62">
        <v>110988.69</v>
      </c>
      <c r="AE207" s="50">
        <v>0</v>
      </c>
      <c r="AF207" s="50">
        <v>0</v>
      </c>
      <c r="AG207" s="49">
        <v>3415883.68</v>
      </c>
      <c r="AH207" s="51" t="s">
        <v>104</v>
      </c>
      <c r="AI207" s="51" t="s">
        <v>74</v>
      </c>
      <c r="AJ207" s="51" t="s">
        <v>74</v>
      </c>
      <c r="AK207" s="51" t="s">
        <v>170</v>
      </c>
      <c r="AL207" s="51" t="s">
        <v>74</v>
      </c>
      <c r="AM207" s="51" t="s">
        <v>74</v>
      </c>
      <c r="AN207" s="52"/>
      <c r="AO207" s="52"/>
      <c r="AP207" s="52"/>
      <c r="AQ207" s="52"/>
      <c r="AR207" s="52"/>
      <c r="AS207" s="52">
        <v>0</v>
      </c>
      <c r="AT207" s="53" t="s">
        <v>74</v>
      </c>
      <c r="AU207" s="136">
        <f>503344.88+127913.17</f>
        <v>631258.05000000005</v>
      </c>
      <c r="AV207" s="52"/>
      <c r="AW207" s="59">
        <v>340000</v>
      </c>
      <c r="AX207" s="52"/>
      <c r="AY207" s="52"/>
      <c r="AZ207" s="52">
        <v>0</v>
      </c>
      <c r="BA207" s="52">
        <f t="shared" si="17"/>
        <v>971258.05</v>
      </c>
      <c r="BB207" s="53" t="s">
        <v>325</v>
      </c>
      <c r="BC207" s="53" t="s">
        <v>74</v>
      </c>
      <c r="BD207" s="55" t="s">
        <v>326</v>
      </c>
      <c r="BE207" s="55" t="s">
        <v>74</v>
      </c>
      <c r="BF207" s="55" t="s">
        <v>74</v>
      </c>
      <c r="BG207" s="55" t="s">
        <v>74</v>
      </c>
      <c r="BH207" s="52">
        <f t="shared" si="18"/>
        <v>971258.05</v>
      </c>
      <c r="BI207" s="52">
        <f t="shared" si="19"/>
        <v>10173429.540000001</v>
      </c>
      <c r="BJ207" s="52">
        <f t="shared" si="20"/>
        <v>9202171.4900000002</v>
      </c>
      <c r="BK207" s="56">
        <v>44075</v>
      </c>
      <c r="BL207" s="63">
        <f>10045516.37+127913.17</f>
        <v>10173429.539999999</v>
      </c>
      <c r="BM207" s="47">
        <v>0</v>
      </c>
      <c r="BN207" s="9"/>
      <c r="BO207" s="9"/>
      <c r="BP207" s="9"/>
      <c r="BQ207" s="9"/>
      <c r="BR207" s="9"/>
      <c r="BS207" s="9"/>
      <c r="BT207" s="9"/>
      <c r="BU207" s="9"/>
      <c r="BV207" s="9"/>
      <c r="BW207" s="9"/>
    </row>
    <row r="208" spans="1:75" ht="332.25" hidden="1" outlineLevel="2" x14ac:dyDescent="0.25">
      <c r="A208" s="43" t="s">
        <v>275</v>
      </c>
      <c r="B208" s="110" t="s">
        <v>276</v>
      </c>
      <c r="C208" s="45">
        <v>2020</v>
      </c>
      <c r="D208" s="46" t="s">
        <v>89</v>
      </c>
      <c r="E208" s="47">
        <v>0</v>
      </c>
      <c r="F208" s="47">
        <v>0</v>
      </c>
      <c r="G208" s="47">
        <v>0</v>
      </c>
      <c r="H208" s="47">
        <v>0</v>
      </c>
      <c r="I208" s="47">
        <v>0</v>
      </c>
      <c r="J208" s="47">
        <v>0</v>
      </c>
      <c r="K208" s="47">
        <v>0</v>
      </c>
      <c r="L208" s="47">
        <v>0</v>
      </c>
      <c r="M208" s="47">
        <v>0</v>
      </c>
      <c r="N208" s="47">
        <v>0</v>
      </c>
      <c r="O208" s="47">
        <v>0</v>
      </c>
      <c r="P208" s="47">
        <v>0</v>
      </c>
      <c r="Q208" s="47">
        <v>0</v>
      </c>
      <c r="R208" s="47">
        <v>0</v>
      </c>
      <c r="S208" s="47">
        <v>0</v>
      </c>
      <c r="T208" s="47">
        <v>0</v>
      </c>
      <c r="U208" s="47">
        <v>0</v>
      </c>
      <c r="V208" s="134">
        <v>12618055.17</v>
      </c>
      <c r="W208" s="47">
        <v>0</v>
      </c>
      <c r="X208" s="47">
        <v>0</v>
      </c>
      <c r="Y208" s="48">
        <v>12618055.17</v>
      </c>
      <c r="Z208" s="66">
        <v>3189079.71</v>
      </c>
      <c r="AA208" s="62">
        <v>3189079.71</v>
      </c>
      <c r="AB208" s="50">
        <v>0</v>
      </c>
      <c r="AC208" s="50">
        <v>0</v>
      </c>
      <c r="AD208" s="62">
        <v>110191.9</v>
      </c>
      <c r="AE208" s="50">
        <v>0</v>
      </c>
      <c r="AF208" s="50">
        <v>0</v>
      </c>
      <c r="AG208" s="49">
        <v>3299271.61</v>
      </c>
      <c r="AH208" s="51" t="s">
        <v>104</v>
      </c>
      <c r="AI208" s="51" t="s">
        <v>74</v>
      </c>
      <c r="AJ208" s="51" t="s">
        <v>74</v>
      </c>
      <c r="AK208" s="51" t="s">
        <v>172</v>
      </c>
      <c r="AL208" s="51" t="s">
        <v>74</v>
      </c>
      <c r="AM208" s="51" t="s">
        <v>74</v>
      </c>
      <c r="AN208" s="52"/>
      <c r="AO208" s="52"/>
      <c r="AP208" s="52"/>
      <c r="AQ208" s="52"/>
      <c r="AR208" s="52"/>
      <c r="AS208" s="52">
        <v>0</v>
      </c>
      <c r="AT208" s="53" t="s">
        <v>74</v>
      </c>
      <c r="AU208" s="137">
        <f>624014.96+156384.72</f>
        <v>780399.67999999993</v>
      </c>
      <c r="AV208" s="52"/>
      <c r="AW208" s="52">
        <v>0</v>
      </c>
      <c r="AX208" s="52"/>
      <c r="AY208" s="52"/>
      <c r="AZ208" s="52">
        <v>0</v>
      </c>
      <c r="BA208" s="52">
        <f t="shared" si="17"/>
        <v>780399.67999999993</v>
      </c>
      <c r="BB208" s="53" t="s">
        <v>327</v>
      </c>
      <c r="BC208" s="53" t="s">
        <v>74</v>
      </c>
      <c r="BD208" s="55" t="s">
        <v>74</v>
      </c>
      <c r="BE208" s="55" t="s">
        <v>74</v>
      </c>
      <c r="BF208" s="55" t="s">
        <v>74</v>
      </c>
      <c r="BG208" s="55" t="s">
        <v>74</v>
      </c>
      <c r="BH208" s="52">
        <f t="shared" si="18"/>
        <v>780399.67999999993</v>
      </c>
      <c r="BI208" s="52">
        <f t="shared" si="19"/>
        <v>10099183.24</v>
      </c>
      <c r="BJ208" s="52">
        <f t="shared" si="20"/>
        <v>9318783.5600000005</v>
      </c>
      <c r="BK208" s="56">
        <v>44105</v>
      </c>
      <c r="BL208" s="63">
        <f>9942798.52+156384.72</f>
        <v>10099183.24</v>
      </c>
      <c r="BM208" s="47">
        <v>0</v>
      </c>
      <c r="BN208" s="9"/>
      <c r="BO208" s="9"/>
      <c r="BP208" s="9"/>
      <c r="BQ208" s="9"/>
      <c r="BR208" s="9"/>
      <c r="BS208" s="9"/>
      <c r="BT208" s="9"/>
      <c r="BU208" s="9"/>
      <c r="BV208" s="9"/>
      <c r="BW208" s="9"/>
    </row>
    <row r="209" spans="1:75" ht="217.5" hidden="1" outlineLevel="2" x14ac:dyDescent="0.25">
      <c r="A209" s="43" t="s">
        <v>275</v>
      </c>
      <c r="B209" s="110" t="s">
        <v>276</v>
      </c>
      <c r="C209" s="45">
        <v>2020</v>
      </c>
      <c r="D209" s="46" t="s">
        <v>90</v>
      </c>
      <c r="E209" s="47">
        <v>0</v>
      </c>
      <c r="F209" s="47">
        <v>0</v>
      </c>
      <c r="G209" s="47">
        <v>0</v>
      </c>
      <c r="H209" s="47">
        <v>0</v>
      </c>
      <c r="I209" s="47">
        <v>0</v>
      </c>
      <c r="J209" s="47">
        <v>0</v>
      </c>
      <c r="K209" s="47">
        <v>0</v>
      </c>
      <c r="L209" s="47">
        <v>0</v>
      </c>
      <c r="M209" s="47">
        <v>0</v>
      </c>
      <c r="N209" s="47">
        <v>0</v>
      </c>
      <c r="O209" s="47">
        <v>0</v>
      </c>
      <c r="P209" s="47">
        <v>0</v>
      </c>
      <c r="Q209" s="47">
        <v>0</v>
      </c>
      <c r="R209" s="47">
        <v>0</v>
      </c>
      <c r="S209" s="47">
        <v>0</v>
      </c>
      <c r="T209" s="47">
        <v>0</v>
      </c>
      <c r="U209" s="47">
        <v>0</v>
      </c>
      <c r="V209" s="134">
        <v>12618055.17</v>
      </c>
      <c r="W209" s="47">
        <v>0</v>
      </c>
      <c r="X209" s="47">
        <v>0</v>
      </c>
      <c r="Y209" s="48">
        <v>12618055.17</v>
      </c>
      <c r="Z209" s="66">
        <v>3188687.48</v>
      </c>
      <c r="AA209" s="62">
        <v>3188687.48</v>
      </c>
      <c r="AB209" s="50">
        <v>0</v>
      </c>
      <c r="AC209" s="50">
        <v>0</v>
      </c>
      <c r="AD209" s="62">
        <v>125245.7</v>
      </c>
      <c r="AE209" s="50">
        <v>0</v>
      </c>
      <c r="AF209" s="50">
        <v>0</v>
      </c>
      <c r="AG209" s="49">
        <v>3313933.18</v>
      </c>
      <c r="AH209" s="51" t="s">
        <v>173</v>
      </c>
      <c r="AI209" s="51" t="s">
        <v>74</v>
      </c>
      <c r="AJ209" s="51" t="s">
        <v>74</v>
      </c>
      <c r="AK209" s="51" t="s">
        <v>175</v>
      </c>
      <c r="AL209" s="51" t="s">
        <v>74</v>
      </c>
      <c r="AM209" s="51" t="s">
        <v>74</v>
      </c>
      <c r="AN209" s="52">
        <v>0</v>
      </c>
      <c r="AO209" s="52">
        <v>0</v>
      </c>
      <c r="AP209" s="52">
        <v>0</v>
      </c>
      <c r="AQ209" s="52">
        <v>0</v>
      </c>
      <c r="AR209" s="52">
        <v>0</v>
      </c>
      <c r="AS209" s="52">
        <v>0</v>
      </c>
      <c r="AT209" s="53" t="s">
        <v>74</v>
      </c>
      <c r="AU209" s="68">
        <v>176785.1</v>
      </c>
      <c r="AV209" s="52"/>
      <c r="AW209" s="52">
        <v>0</v>
      </c>
      <c r="AX209" s="52"/>
      <c r="AY209" s="52"/>
      <c r="AZ209" s="52">
        <v>0</v>
      </c>
      <c r="BA209" s="52">
        <f t="shared" si="17"/>
        <v>176785.1</v>
      </c>
      <c r="BB209" s="53" t="s">
        <v>328</v>
      </c>
      <c r="BC209" s="53" t="s">
        <v>74</v>
      </c>
      <c r="BD209" s="55" t="s">
        <v>74</v>
      </c>
      <c r="BE209" s="55" t="s">
        <v>74</v>
      </c>
      <c r="BF209" s="55" t="s">
        <v>74</v>
      </c>
      <c r="BG209" s="55" t="s">
        <v>74</v>
      </c>
      <c r="BH209" s="52">
        <f t="shared" si="18"/>
        <v>176785.1</v>
      </c>
      <c r="BI209" s="52">
        <f t="shared" si="19"/>
        <v>9480907.0899999999</v>
      </c>
      <c r="BJ209" s="52">
        <f t="shared" si="20"/>
        <v>9304121.9900000002</v>
      </c>
      <c r="BK209" s="56">
        <v>44136</v>
      </c>
      <c r="BL209" s="63">
        <f>9304121.99+176785.1</f>
        <v>9480907.0899999999</v>
      </c>
      <c r="BM209" s="47">
        <v>0</v>
      </c>
      <c r="BN209" s="9"/>
      <c r="BO209" s="9"/>
      <c r="BP209" s="9"/>
      <c r="BQ209" s="9"/>
      <c r="BR209" s="9"/>
      <c r="BS209" s="9"/>
      <c r="BT209" s="9"/>
      <c r="BU209" s="9"/>
      <c r="BV209" s="9"/>
      <c r="BW209" s="9"/>
    </row>
    <row r="210" spans="1:75" ht="396" hidden="1" outlineLevel="2" x14ac:dyDescent="0.25">
      <c r="A210" s="43" t="s">
        <v>275</v>
      </c>
      <c r="B210" s="110" t="s">
        <v>276</v>
      </c>
      <c r="C210" s="45">
        <v>2020</v>
      </c>
      <c r="D210" s="46" t="s">
        <v>93</v>
      </c>
      <c r="E210" s="47">
        <v>0</v>
      </c>
      <c r="F210" s="47">
        <v>0</v>
      </c>
      <c r="G210" s="47">
        <v>0</v>
      </c>
      <c r="H210" s="47">
        <v>0</v>
      </c>
      <c r="I210" s="47">
        <v>0</v>
      </c>
      <c r="J210" s="47">
        <v>0</v>
      </c>
      <c r="K210" s="47">
        <v>0</v>
      </c>
      <c r="L210" s="47">
        <v>0</v>
      </c>
      <c r="M210" s="47">
        <v>0</v>
      </c>
      <c r="N210" s="47">
        <v>0</v>
      </c>
      <c r="O210" s="47">
        <v>0</v>
      </c>
      <c r="P210" s="47">
        <v>0</v>
      </c>
      <c r="Q210" s="47">
        <v>0</v>
      </c>
      <c r="R210" s="47">
        <v>0</v>
      </c>
      <c r="S210" s="47">
        <v>0</v>
      </c>
      <c r="T210" s="47">
        <v>0</v>
      </c>
      <c r="U210" s="47">
        <v>0</v>
      </c>
      <c r="V210" s="134">
        <v>12618055.17</v>
      </c>
      <c r="W210" s="47">
        <v>0</v>
      </c>
      <c r="X210" s="47">
        <v>0</v>
      </c>
      <c r="Y210" s="48">
        <v>12618055.17</v>
      </c>
      <c r="Z210" s="67">
        <v>3069977.49</v>
      </c>
      <c r="AA210" s="62">
        <v>3069977.49</v>
      </c>
      <c r="AB210" s="50">
        <v>0</v>
      </c>
      <c r="AC210" s="50">
        <v>0</v>
      </c>
      <c r="AD210" s="62">
        <v>257536.37</v>
      </c>
      <c r="AE210" s="50">
        <v>0</v>
      </c>
      <c r="AF210" s="50">
        <v>0</v>
      </c>
      <c r="AG210" s="49">
        <v>3327513.86</v>
      </c>
      <c r="AH210" s="51" t="s">
        <v>104</v>
      </c>
      <c r="AI210" s="51" t="s">
        <v>74</v>
      </c>
      <c r="AJ210" s="51" t="s">
        <v>74</v>
      </c>
      <c r="AK210" s="51" t="s">
        <v>329</v>
      </c>
      <c r="AL210" s="51" t="s">
        <v>74</v>
      </c>
      <c r="AM210" s="51" t="s">
        <v>74</v>
      </c>
      <c r="AN210" s="52"/>
      <c r="AO210" s="52"/>
      <c r="AP210" s="52"/>
      <c r="AQ210" s="52"/>
      <c r="AR210" s="52"/>
      <c r="AS210" s="52">
        <v>0</v>
      </c>
      <c r="AT210" s="53" t="s">
        <v>74</v>
      </c>
      <c r="AU210" s="59">
        <f>1408220.3+596350.62</f>
        <v>2004570.92</v>
      </c>
      <c r="AV210" s="52"/>
      <c r="AW210" s="59">
        <v>300000</v>
      </c>
      <c r="AX210" s="52"/>
      <c r="AY210" s="52"/>
      <c r="AZ210" s="52">
        <v>0</v>
      </c>
      <c r="BA210" s="52">
        <f t="shared" si="17"/>
        <v>2304570.92</v>
      </c>
      <c r="BB210" s="53" t="s">
        <v>330</v>
      </c>
      <c r="BC210" s="53" t="s">
        <v>74</v>
      </c>
      <c r="BD210" s="55" t="s">
        <v>331</v>
      </c>
      <c r="BE210" s="55" t="s">
        <v>74</v>
      </c>
      <c r="BF210" s="55" t="s">
        <v>74</v>
      </c>
      <c r="BG210" s="55" t="s">
        <v>74</v>
      </c>
      <c r="BH210" s="52">
        <f t="shared" si="18"/>
        <v>2304570.92</v>
      </c>
      <c r="BI210" s="52">
        <f t="shared" si="19"/>
        <v>11595112.23</v>
      </c>
      <c r="BJ210" s="52">
        <f t="shared" si="20"/>
        <v>9290541.3100000005</v>
      </c>
      <c r="BK210" s="56">
        <v>44166</v>
      </c>
      <c r="BL210" s="63">
        <f>10998761.61+596350.62</f>
        <v>11595112.229999999</v>
      </c>
      <c r="BM210" s="47">
        <v>0</v>
      </c>
      <c r="BN210" s="9"/>
      <c r="BO210" s="9"/>
      <c r="BP210" s="9"/>
      <c r="BQ210" s="9"/>
      <c r="BR210" s="9"/>
      <c r="BS210" s="9"/>
      <c r="BT210" s="9"/>
      <c r="BU210" s="9"/>
      <c r="BV210" s="9"/>
      <c r="BW210" s="9"/>
    </row>
    <row r="211" spans="1:75" ht="115.5" hidden="1" outlineLevel="2" x14ac:dyDescent="0.25">
      <c r="A211" s="43" t="s">
        <v>275</v>
      </c>
      <c r="B211" s="110" t="s">
        <v>276</v>
      </c>
      <c r="C211" s="45">
        <v>2021</v>
      </c>
      <c r="D211" s="46" t="s">
        <v>73</v>
      </c>
      <c r="E211" s="47">
        <v>0</v>
      </c>
      <c r="F211" s="47">
        <v>0</v>
      </c>
      <c r="G211" s="47">
        <v>0</v>
      </c>
      <c r="H211" s="47">
        <v>0</v>
      </c>
      <c r="I211" s="47">
        <v>0</v>
      </c>
      <c r="J211" s="47">
        <v>0</v>
      </c>
      <c r="K211" s="47">
        <v>0</v>
      </c>
      <c r="L211" s="47">
        <v>0</v>
      </c>
      <c r="M211" s="47">
        <v>0</v>
      </c>
      <c r="N211" s="47">
        <v>0</v>
      </c>
      <c r="O211" s="47">
        <v>0</v>
      </c>
      <c r="P211" s="47">
        <v>0</v>
      </c>
      <c r="Q211" s="47">
        <v>0</v>
      </c>
      <c r="R211" s="47">
        <v>0</v>
      </c>
      <c r="S211" s="47">
        <v>0</v>
      </c>
      <c r="T211" s="47">
        <v>0</v>
      </c>
      <c r="U211" s="47">
        <v>0</v>
      </c>
      <c r="V211" s="134">
        <v>12618055.17</v>
      </c>
      <c r="W211" s="47">
        <v>0</v>
      </c>
      <c r="X211" s="47">
        <v>0</v>
      </c>
      <c r="Y211" s="48">
        <f t="shared" ref="Y211:Y218" si="21">SUM(E211:X211)</f>
        <v>12618055.17</v>
      </c>
      <c r="Z211" s="66">
        <v>3071864.82</v>
      </c>
      <c r="AA211" s="62">
        <v>3071864.82</v>
      </c>
      <c r="AB211" s="50">
        <v>0</v>
      </c>
      <c r="AC211" s="50">
        <v>0</v>
      </c>
      <c r="AD211" s="50">
        <v>0</v>
      </c>
      <c r="AE211" s="50">
        <v>0</v>
      </c>
      <c r="AF211" s="50">
        <v>0</v>
      </c>
      <c r="AG211" s="49">
        <f t="shared" ref="AG211:AG218" si="22">SUM(AA211:AF211)</f>
        <v>3071864.82</v>
      </c>
      <c r="AH211" s="51" t="s">
        <v>104</v>
      </c>
      <c r="AI211" s="51" t="s">
        <v>74</v>
      </c>
      <c r="AJ211" s="51" t="s">
        <v>74</v>
      </c>
      <c r="AK211" s="51" t="s">
        <v>74</v>
      </c>
      <c r="AL211" s="51" t="s">
        <v>74</v>
      </c>
      <c r="AM211" s="51" t="s">
        <v>74</v>
      </c>
      <c r="AN211" s="52">
        <v>0</v>
      </c>
      <c r="AO211" s="52">
        <v>815787.08</v>
      </c>
      <c r="AP211" s="52">
        <v>0</v>
      </c>
      <c r="AQ211" s="52">
        <v>0</v>
      </c>
      <c r="AR211" s="52">
        <v>0</v>
      </c>
      <c r="AS211" s="52">
        <f>AN211+AO211+AP211+AQ211+AR211</f>
        <v>815787.08</v>
      </c>
      <c r="AT211" s="53" t="s">
        <v>332</v>
      </c>
      <c r="AU211" s="59">
        <v>379569.05</v>
      </c>
      <c r="AV211" s="52"/>
      <c r="AW211" s="52">
        <v>0</v>
      </c>
      <c r="AX211" s="52"/>
      <c r="AY211" s="52"/>
      <c r="AZ211" s="52">
        <v>0</v>
      </c>
      <c r="BA211" s="52">
        <f t="shared" ref="BA211:BA219" si="23">AU211+AW211+AX211+AZ211</f>
        <v>379569.05</v>
      </c>
      <c r="BB211" s="53" t="s">
        <v>333</v>
      </c>
      <c r="BC211" s="53" t="s">
        <v>74</v>
      </c>
      <c r="BD211" s="55" t="s">
        <v>74</v>
      </c>
      <c r="BE211" s="55" t="s">
        <v>74</v>
      </c>
      <c r="BF211" s="55" t="s">
        <v>74</v>
      </c>
      <c r="BG211" s="55" t="s">
        <v>74</v>
      </c>
      <c r="BH211" s="52">
        <f t="shared" si="18"/>
        <v>1195356.1299999999</v>
      </c>
      <c r="BI211" s="52">
        <f t="shared" si="19"/>
        <v>10741546.48</v>
      </c>
      <c r="BJ211" s="52">
        <f>BI211-BA211</f>
        <v>10361977.43</v>
      </c>
      <c r="BK211" s="56">
        <v>44197</v>
      </c>
      <c r="BL211" s="57">
        <v>10741546.48</v>
      </c>
      <c r="BM211" s="47">
        <v>0</v>
      </c>
      <c r="BN211" s="9"/>
      <c r="BO211" s="9"/>
      <c r="BP211" s="9"/>
      <c r="BQ211" s="9"/>
      <c r="BR211" s="9"/>
      <c r="BS211" s="9"/>
      <c r="BT211" s="9"/>
      <c r="BU211" s="9"/>
      <c r="BV211" s="9"/>
      <c r="BW211" s="9"/>
    </row>
    <row r="212" spans="1:75" ht="166.5" hidden="1" outlineLevel="2" x14ac:dyDescent="0.25">
      <c r="A212" s="43" t="s">
        <v>275</v>
      </c>
      <c r="B212" s="110" t="s">
        <v>276</v>
      </c>
      <c r="C212" s="45">
        <v>2021</v>
      </c>
      <c r="D212" s="46" t="s">
        <v>75</v>
      </c>
      <c r="E212" s="47">
        <v>0</v>
      </c>
      <c r="F212" s="47">
        <v>0</v>
      </c>
      <c r="G212" s="47">
        <v>0</v>
      </c>
      <c r="H212" s="47">
        <v>0</v>
      </c>
      <c r="I212" s="47">
        <v>0</v>
      </c>
      <c r="J212" s="47">
        <v>0</v>
      </c>
      <c r="K212" s="47">
        <v>0</v>
      </c>
      <c r="L212" s="47">
        <v>0</v>
      </c>
      <c r="M212" s="47">
        <v>0</v>
      </c>
      <c r="N212" s="47">
        <v>0</v>
      </c>
      <c r="O212" s="47">
        <v>0</v>
      </c>
      <c r="P212" s="47">
        <v>0</v>
      </c>
      <c r="Q212" s="47">
        <v>0</v>
      </c>
      <c r="R212" s="47">
        <v>0</v>
      </c>
      <c r="S212" s="47">
        <v>0</v>
      </c>
      <c r="T212" s="47">
        <v>0</v>
      </c>
      <c r="U212" s="47">
        <v>0</v>
      </c>
      <c r="V212" s="134">
        <v>12618055.17</v>
      </c>
      <c r="W212" s="47">
        <v>0</v>
      </c>
      <c r="X212" s="47">
        <v>0</v>
      </c>
      <c r="Y212" s="48">
        <f t="shared" si="21"/>
        <v>12618055.17</v>
      </c>
      <c r="Z212" s="66">
        <v>3060858.36</v>
      </c>
      <c r="AA212" s="62">
        <v>3060858.36</v>
      </c>
      <c r="AB212" s="50">
        <v>0</v>
      </c>
      <c r="AC212" s="50">
        <v>0</v>
      </c>
      <c r="AD212" s="62">
        <v>130113.35</v>
      </c>
      <c r="AE212" s="50">
        <v>0</v>
      </c>
      <c r="AF212" s="50">
        <v>0</v>
      </c>
      <c r="AG212" s="49">
        <f t="shared" si="22"/>
        <v>3190971.71</v>
      </c>
      <c r="AH212" s="51" t="s">
        <v>104</v>
      </c>
      <c r="AI212" s="51" t="s">
        <v>74</v>
      </c>
      <c r="AJ212" s="51" t="s">
        <v>74</v>
      </c>
      <c r="AK212" s="51" t="s">
        <v>180</v>
      </c>
      <c r="AL212" s="51" t="s">
        <v>74</v>
      </c>
      <c r="AM212" s="51" t="s">
        <v>74</v>
      </c>
      <c r="AN212" s="52">
        <v>0</v>
      </c>
      <c r="AO212" s="52">
        <v>31943.79</v>
      </c>
      <c r="AP212" s="52">
        <v>0</v>
      </c>
      <c r="AQ212" s="52">
        <v>0</v>
      </c>
      <c r="AR212" s="52">
        <v>0</v>
      </c>
      <c r="AS212" s="52">
        <f>AN212+AO212+AP212+AQ212+AR212</f>
        <v>31943.79</v>
      </c>
      <c r="AT212" s="53" t="s">
        <v>334</v>
      </c>
      <c r="AU212" s="59">
        <v>499175.08</v>
      </c>
      <c r="AV212" s="52"/>
      <c r="AW212" s="52">
        <v>0</v>
      </c>
      <c r="AX212" s="52"/>
      <c r="AY212" s="52"/>
      <c r="AZ212" s="52">
        <v>0</v>
      </c>
      <c r="BA212" s="52">
        <f t="shared" si="23"/>
        <v>499175.08</v>
      </c>
      <c r="BB212" s="53" t="s">
        <v>335</v>
      </c>
      <c r="BC212" s="53" t="s">
        <v>74</v>
      </c>
      <c r="BD212" s="55" t="s">
        <v>74</v>
      </c>
      <c r="BE212" s="55" t="s">
        <v>74</v>
      </c>
      <c r="BF212" s="55" t="s">
        <v>74</v>
      </c>
      <c r="BG212" s="55" t="s">
        <v>74</v>
      </c>
      <c r="BH212" s="52">
        <f t="shared" si="18"/>
        <v>531118.87</v>
      </c>
      <c r="BI212" s="52">
        <f t="shared" si="19"/>
        <v>9958202.3300000001</v>
      </c>
      <c r="BJ212" s="52">
        <v>9427083.4600000009</v>
      </c>
      <c r="BK212" s="56">
        <v>44228</v>
      </c>
      <c r="BL212" s="57">
        <v>9958202.3300000001</v>
      </c>
      <c r="BM212" s="47">
        <v>0</v>
      </c>
      <c r="BN212" s="9"/>
      <c r="BO212" s="9"/>
      <c r="BP212" s="9"/>
      <c r="BQ212" s="9"/>
      <c r="BR212" s="9"/>
      <c r="BS212" s="9"/>
      <c r="BT212" s="9"/>
      <c r="BU212" s="9"/>
      <c r="BV212" s="9"/>
      <c r="BW212" s="9"/>
    </row>
    <row r="213" spans="1:75" ht="409.6" hidden="1" outlineLevel="2" x14ac:dyDescent="0.25">
      <c r="A213" s="43" t="s">
        <v>275</v>
      </c>
      <c r="B213" s="110" t="s">
        <v>276</v>
      </c>
      <c r="C213" s="45">
        <v>2021</v>
      </c>
      <c r="D213" s="46" t="s">
        <v>77</v>
      </c>
      <c r="E213" s="47">
        <v>0</v>
      </c>
      <c r="F213" s="47">
        <v>0</v>
      </c>
      <c r="G213" s="47">
        <v>0</v>
      </c>
      <c r="H213" s="47">
        <v>0</v>
      </c>
      <c r="I213" s="47">
        <v>0</v>
      </c>
      <c r="J213" s="47">
        <v>0</v>
      </c>
      <c r="K213" s="47">
        <v>0</v>
      </c>
      <c r="L213" s="47">
        <v>0</v>
      </c>
      <c r="M213" s="47">
        <v>0</v>
      </c>
      <c r="N213" s="47">
        <v>0</v>
      </c>
      <c r="O213" s="47">
        <v>0</v>
      </c>
      <c r="P213" s="47">
        <v>0</v>
      </c>
      <c r="Q213" s="47">
        <v>0</v>
      </c>
      <c r="R213" s="47">
        <v>0</v>
      </c>
      <c r="S213" s="47">
        <v>0</v>
      </c>
      <c r="T213" s="47">
        <v>0</v>
      </c>
      <c r="U213" s="47">
        <v>0</v>
      </c>
      <c r="V213" s="134">
        <v>5047222.07</v>
      </c>
      <c r="W213" s="47">
        <v>0</v>
      </c>
      <c r="X213" s="47">
        <v>0</v>
      </c>
      <c r="Y213" s="48">
        <f t="shared" si="21"/>
        <v>5047222.07</v>
      </c>
      <c r="Z213" s="66">
        <v>2989938.95</v>
      </c>
      <c r="AA213" s="62">
        <v>2989938.95</v>
      </c>
      <c r="AB213" s="50">
        <v>0</v>
      </c>
      <c r="AC213" s="50">
        <v>0</v>
      </c>
      <c r="AD213" s="62">
        <v>128757.84</v>
      </c>
      <c r="AE213" s="50">
        <v>0</v>
      </c>
      <c r="AF213" s="50">
        <v>0</v>
      </c>
      <c r="AG213" s="49">
        <f t="shared" si="22"/>
        <v>3118696.79</v>
      </c>
      <c r="AH213" s="51" t="s">
        <v>104</v>
      </c>
      <c r="AI213" s="51" t="s">
        <v>74</v>
      </c>
      <c r="AJ213" s="51" t="s">
        <v>74</v>
      </c>
      <c r="AK213" s="51" t="s">
        <v>182</v>
      </c>
      <c r="AL213" s="51" t="s">
        <v>74</v>
      </c>
      <c r="AM213" s="51" t="s">
        <v>74</v>
      </c>
      <c r="AN213" s="52"/>
      <c r="AO213" s="52"/>
      <c r="AP213" s="52">
        <v>0</v>
      </c>
      <c r="AQ213" s="52">
        <v>0</v>
      </c>
      <c r="AR213" s="52"/>
      <c r="AS213" s="52">
        <f>AN213+AO213+AP213+AQ213+AR213</f>
        <v>0</v>
      </c>
      <c r="AT213" s="53" t="s">
        <v>74</v>
      </c>
      <c r="AU213" s="59">
        <v>101405.46</v>
      </c>
      <c r="AV213" s="52"/>
      <c r="AW213" s="138">
        <f>8403790.96</f>
        <v>8403790.9600000009</v>
      </c>
      <c r="AX213" s="68">
        <f>7896238.31+202325.21</f>
        <v>8098563.5199999996</v>
      </c>
      <c r="AY213" s="59"/>
      <c r="AZ213" s="52">
        <v>0</v>
      </c>
      <c r="BA213" s="52">
        <f t="shared" si="23"/>
        <v>16603759.940000001</v>
      </c>
      <c r="BB213" s="53" t="s">
        <v>336</v>
      </c>
      <c r="BC213" s="53" t="s">
        <v>74</v>
      </c>
      <c r="BD213" s="55" t="s">
        <v>337</v>
      </c>
      <c r="BE213" s="55" t="s">
        <v>338</v>
      </c>
      <c r="BF213" s="55" t="s">
        <v>74</v>
      </c>
      <c r="BG213" s="55" t="s">
        <v>74</v>
      </c>
      <c r="BH213" s="52">
        <f t="shared" si="18"/>
        <v>16603759.940000001</v>
      </c>
      <c r="BI213" s="52">
        <f t="shared" si="19"/>
        <v>18532285.220000003</v>
      </c>
      <c r="BJ213" s="52">
        <v>11093460.380000001</v>
      </c>
      <c r="BK213" s="56">
        <v>44256</v>
      </c>
      <c r="BL213" s="63">
        <f>18329960.01+202325.21</f>
        <v>18532285.220000003</v>
      </c>
      <c r="BM213" s="47">
        <v>0</v>
      </c>
      <c r="BN213" s="9"/>
      <c r="BO213" s="9"/>
      <c r="BP213" s="9"/>
      <c r="BQ213" s="9"/>
      <c r="BR213" s="9"/>
      <c r="BS213" s="9"/>
      <c r="BT213" s="9"/>
      <c r="BU213" s="9"/>
      <c r="BV213" s="9"/>
      <c r="BW213" s="9"/>
    </row>
    <row r="214" spans="1:75" ht="409.6" hidden="1" outlineLevel="2" x14ac:dyDescent="0.25">
      <c r="A214" s="43" t="s">
        <v>275</v>
      </c>
      <c r="B214" s="110" t="s">
        <v>276</v>
      </c>
      <c r="C214" s="45">
        <v>2021</v>
      </c>
      <c r="D214" s="46" t="s">
        <v>79</v>
      </c>
      <c r="E214" s="47">
        <v>0</v>
      </c>
      <c r="F214" s="47">
        <v>0</v>
      </c>
      <c r="G214" s="47">
        <v>0</v>
      </c>
      <c r="H214" s="47">
        <v>0</v>
      </c>
      <c r="I214" s="47">
        <v>0</v>
      </c>
      <c r="J214" s="47">
        <v>0</v>
      </c>
      <c r="K214" s="47">
        <v>0</v>
      </c>
      <c r="L214" s="47">
        <v>0</v>
      </c>
      <c r="M214" s="47">
        <v>0</v>
      </c>
      <c r="N214" s="47">
        <v>0</v>
      </c>
      <c r="O214" s="47">
        <v>0</v>
      </c>
      <c r="P214" s="47">
        <v>0</v>
      </c>
      <c r="Q214" s="47">
        <v>0</v>
      </c>
      <c r="R214" s="47">
        <v>0</v>
      </c>
      <c r="S214" s="47">
        <v>0</v>
      </c>
      <c r="T214" s="47">
        <v>0</v>
      </c>
      <c r="U214" s="47">
        <v>0</v>
      </c>
      <c r="V214" s="134"/>
      <c r="W214" s="47">
        <v>0</v>
      </c>
      <c r="X214" s="47">
        <v>0</v>
      </c>
      <c r="Y214" s="48">
        <f t="shared" si="21"/>
        <v>0</v>
      </c>
      <c r="Z214" s="49">
        <v>0</v>
      </c>
      <c r="AA214" s="50">
        <v>0</v>
      </c>
      <c r="AB214" s="50"/>
      <c r="AC214" s="50">
        <v>0</v>
      </c>
      <c r="AD214" s="50">
        <v>0</v>
      </c>
      <c r="AE214" s="50">
        <v>0</v>
      </c>
      <c r="AF214" s="50">
        <v>0</v>
      </c>
      <c r="AG214" s="49">
        <f t="shared" si="22"/>
        <v>0</v>
      </c>
      <c r="AH214" s="51" t="s">
        <v>74</v>
      </c>
      <c r="AI214" s="51"/>
      <c r="AJ214" s="51" t="s">
        <v>74</v>
      </c>
      <c r="AK214" s="51" t="s">
        <v>74</v>
      </c>
      <c r="AL214" s="51" t="s">
        <v>74</v>
      </c>
      <c r="AM214" s="51" t="s">
        <v>74</v>
      </c>
      <c r="AN214" s="52"/>
      <c r="AO214" s="52"/>
      <c r="AP214" s="52">
        <v>0</v>
      </c>
      <c r="AQ214" s="52">
        <v>0</v>
      </c>
      <c r="AR214" s="52"/>
      <c r="AS214" s="52">
        <f>AN214+AO214+AP214+AQ214+AR214</f>
        <v>0</v>
      </c>
      <c r="AT214" s="53" t="s">
        <v>74</v>
      </c>
      <c r="AU214" s="52">
        <v>0</v>
      </c>
      <c r="AV214" s="52"/>
      <c r="AW214" s="138"/>
      <c r="AX214" s="68">
        <f>2909140.43+273904.93+9284699.34+794462.13</f>
        <v>13262206.83</v>
      </c>
      <c r="AY214" s="59"/>
      <c r="AZ214" s="52"/>
      <c r="BA214" s="52">
        <f t="shared" si="23"/>
        <v>13262206.83</v>
      </c>
      <c r="BB214" s="54">
        <v>0</v>
      </c>
      <c r="BC214" s="53" t="s">
        <v>74</v>
      </c>
      <c r="BD214" s="55" t="s">
        <v>74</v>
      </c>
      <c r="BE214" s="51" t="s">
        <v>339</v>
      </c>
      <c r="BF214" s="55" t="s">
        <v>74</v>
      </c>
      <c r="BG214" s="55" t="s">
        <v>74</v>
      </c>
      <c r="BH214" s="52">
        <f t="shared" si="18"/>
        <v>13262206.83</v>
      </c>
      <c r="BI214" s="52">
        <f t="shared" si="19"/>
        <v>13262206.83</v>
      </c>
      <c r="BJ214" s="52">
        <v>11199047.91</v>
      </c>
      <c r="BK214" s="56">
        <v>44287</v>
      </c>
      <c r="BL214" s="63">
        <f>12467744.7+794462.13</f>
        <v>13262206.83</v>
      </c>
      <c r="BM214" s="47">
        <v>0</v>
      </c>
      <c r="BN214" s="9"/>
      <c r="BO214" s="9"/>
      <c r="BP214" s="9"/>
      <c r="BQ214" s="9"/>
      <c r="BR214" s="9"/>
      <c r="BS214" s="9"/>
      <c r="BT214" s="9"/>
      <c r="BU214" s="9"/>
      <c r="BV214" s="9"/>
      <c r="BW214" s="9"/>
    </row>
    <row r="215" spans="1:75" ht="409.6" hidden="1" outlineLevel="2" x14ac:dyDescent="0.25">
      <c r="A215" s="43" t="s">
        <v>275</v>
      </c>
      <c r="B215" s="110" t="s">
        <v>276</v>
      </c>
      <c r="C215" s="45">
        <v>2021</v>
      </c>
      <c r="D215" s="46" t="s">
        <v>81</v>
      </c>
      <c r="E215" s="47">
        <v>0</v>
      </c>
      <c r="F215" s="47">
        <v>0</v>
      </c>
      <c r="G215" s="47">
        <v>0</v>
      </c>
      <c r="H215" s="47">
        <v>0</v>
      </c>
      <c r="I215" s="47">
        <v>0</v>
      </c>
      <c r="J215" s="47">
        <v>0</v>
      </c>
      <c r="K215" s="47">
        <v>0</v>
      </c>
      <c r="L215" s="47">
        <v>0</v>
      </c>
      <c r="M215" s="47">
        <v>0</v>
      </c>
      <c r="N215" s="47">
        <v>0</v>
      </c>
      <c r="O215" s="47">
        <v>0</v>
      </c>
      <c r="P215" s="47">
        <v>0</v>
      </c>
      <c r="Q215" s="47">
        <v>0</v>
      </c>
      <c r="R215" s="47">
        <v>0</v>
      </c>
      <c r="S215" s="47">
        <v>0</v>
      </c>
      <c r="T215" s="47">
        <v>0</v>
      </c>
      <c r="U215" s="47">
        <v>0</v>
      </c>
      <c r="V215" s="134"/>
      <c r="W215" s="47">
        <v>0</v>
      </c>
      <c r="X215" s="47">
        <v>0</v>
      </c>
      <c r="Y215" s="48">
        <f t="shared" si="21"/>
        <v>0</v>
      </c>
      <c r="Z215" s="49"/>
      <c r="AA215" s="50"/>
      <c r="AB215" s="50"/>
      <c r="AC215" s="50"/>
      <c r="AD215" s="50"/>
      <c r="AE215" s="50"/>
      <c r="AF215" s="50"/>
      <c r="AG215" s="49">
        <f t="shared" si="22"/>
        <v>0</v>
      </c>
      <c r="AH215" s="51" t="s">
        <v>74</v>
      </c>
      <c r="AI215" s="51" t="s">
        <v>74</v>
      </c>
      <c r="AJ215" s="51" t="s">
        <v>74</v>
      </c>
      <c r="AK215" s="51" t="s">
        <v>74</v>
      </c>
      <c r="AL215" s="51" t="s">
        <v>74</v>
      </c>
      <c r="AM215" s="51" t="s">
        <v>74</v>
      </c>
      <c r="AN215" s="52"/>
      <c r="AO215" s="52"/>
      <c r="AP215" s="52"/>
      <c r="AQ215" s="52"/>
      <c r="AR215" s="52"/>
      <c r="AS215" s="52">
        <f>AN215+AO215+AP215+AQ215+AR215</f>
        <v>0</v>
      </c>
      <c r="AT215" s="53" t="s">
        <v>74</v>
      </c>
      <c r="AU215" s="52"/>
      <c r="AV215" s="52"/>
      <c r="AW215" s="138"/>
      <c r="AX215" s="68">
        <f>12271950.52+362031.1+276089.69+101945.45</f>
        <v>13012016.759999998</v>
      </c>
      <c r="AY215" s="59"/>
      <c r="AZ215" s="52"/>
      <c r="BA215" s="52">
        <f t="shared" si="23"/>
        <v>13012016.759999998</v>
      </c>
      <c r="BB215" s="53"/>
      <c r="BC215" s="53" t="s">
        <v>74</v>
      </c>
      <c r="BD215" s="55" t="s">
        <v>74</v>
      </c>
      <c r="BE215" s="51" t="s">
        <v>340</v>
      </c>
      <c r="BF215" s="55" t="s">
        <v>74</v>
      </c>
      <c r="BG215" s="55" t="s">
        <v>74</v>
      </c>
      <c r="BH215" s="52">
        <f t="shared" si="18"/>
        <v>13012016.759999998</v>
      </c>
      <c r="BI215" s="52">
        <f t="shared" si="19"/>
        <v>13012016.759999998</v>
      </c>
      <c r="BJ215" s="52">
        <v>12633981.619999999</v>
      </c>
      <c r="BK215" s="56">
        <v>44317</v>
      </c>
      <c r="BL215" s="63">
        <f>12633981.62+276089.69+101945.45</f>
        <v>13012016.759999998</v>
      </c>
      <c r="BM215" s="47">
        <v>0</v>
      </c>
      <c r="BN215" s="9"/>
      <c r="BO215" s="9"/>
      <c r="BP215" s="9"/>
      <c r="BQ215" s="9"/>
      <c r="BR215" s="9"/>
      <c r="BS215" s="9"/>
      <c r="BT215" s="9"/>
      <c r="BU215" s="9"/>
      <c r="BV215" s="9"/>
      <c r="BW215" s="9"/>
    </row>
    <row r="216" spans="1:75" ht="409.6" hidden="1" outlineLevel="2" x14ac:dyDescent="0.25">
      <c r="A216" s="43" t="s">
        <v>275</v>
      </c>
      <c r="B216" s="110" t="s">
        <v>276</v>
      </c>
      <c r="C216" s="45">
        <v>2021</v>
      </c>
      <c r="D216" s="46" t="s">
        <v>83</v>
      </c>
      <c r="E216" s="47">
        <v>0</v>
      </c>
      <c r="F216" s="47">
        <v>0</v>
      </c>
      <c r="G216" s="47">
        <v>0</v>
      </c>
      <c r="H216" s="47">
        <v>0</v>
      </c>
      <c r="I216" s="47">
        <v>0</v>
      </c>
      <c r="J216" s="47">
        <v>0</v>
      </c>
      <c r="K216" s="47">
        <v>0</v>
      </c>
      <c r="L216" s="47">
        <v>0</v>
      </c>
      <c r="M216" s="47">
        <v>0</v>
      </c>
      <c r="N216" s="47">
        <v>0</v>
      </c>
      <c r="O216" s="47">
        <v>0</v>
      </c>
      <c r="P216" s="47">
        <v>0</v>
      </c>
      <c r="Q216" s="47">
        <v>0</v>
      </c>
      <c r="R216" s="47">
        <v>0</v>
      </c>
      <c r="S216" s="47">
        <v>0</v>
      </c>
      <c r="T216" s="47">
        <v>0</v>
      </c>
      <c r="U216" s="47">
        <v>0</v>
      </c>
      <c r="V216" s="134"/>
      <c r="W216" s="47">
        <v>0</v>
      </c>
      <c r="X216" s="47">
        <v>0</v>
      </c>
      <c r="Y216" s="48">
        <f t="shared" si="21"/>
        <v>0</v>
      </c>
      <c r="Z216" s="49"/>
      <c r="AA216" s="50"/>
      <c r="AB216" s="50"/>
      <c r="AC216" s="50"/>
      <c r="AD216" s="50"/>
      <c r="AE216" s="50"/>
      <c r="AF216" s="50"/>
      <c r="AG216" s="49">
        <f t="shared" si="22"/>
        <v>0</v>
      </c>
      <c r="AH216" s="70" t="s">
        <v>74</v>
      </c>
      <c r="AI216" s="70" t="s">
        <v>74</v>
      </c>
      <c r="AJ216" s="70" t="s">
        <v>74</v>
      </c>
      <c r="AK216" s="70" t="s">
        <v>74</v>
      </c>
      <c r="AL216" s="70" t="s">
        <v>74</v>
      </c>
      <c r="AM216" s="70" t="s">
        <v>74</v>
      </c>
      <c r="AN216" s="52"/>
      <c r="AO216" s="52"/>
      <c r="AP216" s="52"/>
      <c r="AQ216" s="52"/>
      <c r="AR216" s="52"/>
      <c r="AS216" s="52"/>
      <c r="AT216" s="70" t="s">
        <v>74</v>
      </c>
      <c r="AU216" s="52"/>
      <c r="AV216" s="52"/>
      <c r="AW216" s="138"/>
      <c r="AX216" s="68">
        <f>102215.45+486688.48+11794748.31</f>
        <v>12383652.24</v>
      </c>
      <c r="AY216" s="59"/>
      <c r="AZ216" s="52"/>
      <c r="BA216" s="52">
        <f t="shared" si="23"/>
        <v>12383652.24</v>
      </c>
      <c r="BB216" s="52" t="s">
        <v>74</v>
      </c>
      <c r="BC216" s="52" t="s">
        <v>74</v>
      </c>
      <c r="BD216" s="52" t="s">
        <v>74</v>
      </c>
      <c r="BE216" s="51" t="s">
        <v>341</v>
      </c>
      <c r="BF216" s="52" t="s">
        <v>74</v>
      </c>
      <c r="BG216" s="52"/>
      <c r="BH216" s="52">
        <f t="shared" si="18"/>
        <v>12383652.24</v>
      </c>
      <c r="BI216" s="52">
        <f t="shared" si="19"/>
        <v>12383652.24</v>
      </c>
      <c r="BJ216" s="52">
        <f>Y216-AG216+AX216</f>
        <v>12383652.24</v>
      </c>
      <c r="BK216" s="56">
        <v>44348</v>
      </c>
      <c r="BL216" s="63">
        <f>102215.45+486688.48+11794748.31</f>
        <v>12383652.24</v>
      </c>
      <c r="BM216" s="47">
        <v>0</v>
      </c>
      <c r="BN216" s="9"/>
      <c r="BO216" s="9"/>
      <c r="BP216" s="9"/>
      <c r="BQ216" s="9"/>
      <c r="BR216" s="9"/>
      <c r="BS216" s="9"/>
      <c r="BT216" s="9"/>
      <c r="BU216" s="9"/>
      <c r="BV216" s="9"/>
      <c r="BW216" s="9"/>
    </row>
    <row r="217" spans="1:75" ht="409.6" hidden="1" outlineLevel="2" x14ac:dyDescent="0.25">
      <c r="A217" s="43" t="s">
        <v>275</v>
      </c>
      <c r="B217" s="110" t="s">
        <v>276</v>
      </c>
      <c r="C217" s="45">
        <v>2021</v>
      </c>
      <c r="D217" s="46" t="s">
        <v>84</v>
      </c>
      <c r="E217" s="47">
        <v>0</v>
      </c>
      <c r="F217" s="47">
        <v>0</v>
      </c>
      <c r="G217" s="47">
        <v>0</v>
      </c>
      <c r="H217" s="47">
        <v>0</v>
      </c>
      <c r="I217" s="47">
        <v>0</v>
      </c>
      <c r="J217" s="47">
        <v>0</v>
      </c>
      <c r="K217" s="47">
        <v>0</v>
      </c>
      <c r="L217" s="47">
        <v>0</v>
      </c>
      <c r="M217" s="47">
        <v>0</v>
      </c>
      <c r="N217" s="47">
        <v>0</v>
      </c>
      <c r="O217" s="47">
        <v>0</v>
      </c>
      <c r="P217" s="47">
        <v>0</v>
      </c>
      <c r="Q217" s="47">
        <v>0</v>
      </c>
      <c r="R217" s="47">
        <v>0</v>
      </c>
      <c r="S217" s="47">
        <v>0</v>
      </c>
      <c r="T217" s="47">
        <v>0</v>
      </c>
      <c r="U217" s="47">
        <v>0</v>
      </c>
      <c r="V217" s="134"/>
      <c r="W217" s="47">
        <v>0</v>
      </c>
      <c r="X217" s="47">
        <v>0</v>
      </c>
      <c r="Y217" s="48">
        <f t="shared" si="21"/>
        <v>0</v>
      </c>
      <c r="Z217" s="49"/>
      <c r="AA217" s="50"/>
      <c r="AB217" s="50"/>
      <c r="AC217" s="50"/>
      <c r="AD217" s="50"/>
      <c r="AE217" s="50"/>
      <c r="AF217" s="50"/>
      <c r="AG217" s="49">
        <f t="shared" si="22"/>
        <v>0</v>
      </c>
      <c r="AH217" s="70" t="s">
        <v>74</v>
      </c>
      <c r="AI217" s="70" t="s">
        <v>74</v>
      </c>
      <c r="AJ217" s="70" t="s">
        <v>74</v>
      </c>
      <c r="AK217" s="70" t="s">
        <v>74</v>
      </c>
      <c r="AL217" s="70" t="s">
        <v>74</v>
      </c>
      <c r="AM217" s="70" t="s">
        <v>74</v>
      </c>
      <c r="AN217" s="52"/>
      <c r="AO217" s="52"/>
      <c r="AP217" s="52"/>
      <c r="AQ217" s="52"/>
      <c r="AR217" s="52"/>
      <c r="AS217" s="52"/>
      <c r="AT217" s="70" t="s">
        <v>74</v>
      </c>
      <c r="AU217" s="52"/>
      <c r="AV217" s="52"/>
      <c r="AW217" s="138"/>
      <c r="AX217" s="68">
        <f>13321107.81+101000.45+509453.17</f>
        <v>13931561.43</v>
      </c>
      <c r="AY217" s="59"/>
      <c r="AZ217" s="52"/>
      <c r="BA217" s="52">
        <f t="shared" si="23"/>
        <v>13931561.43</v>
      </c>
      <c r="BB217" s="52" t="s">
        <v>74</v>
      </c>
      <c r="BC217" s="52" t="s">
        <v>74</v>
      </c>
      <c r="BD217" s="52" t="s">
        <v>74</v>
      </c>
      <c r="BE217" s="51" t="s">
        <v>342</v>
      </c>
      <c r="BF217" s="52" t="s">
        <v>74</v>
      </c>
      <c r="BG217" s="52"/>
      <c r="BH217" s="52">
        <f t="shared" si="18"/>
        <v>13931561.43</v>
      </c>
      <c r="BI217" s="52">
        <f t="shared" si="19"/>
        <v>13931561.43</v>
      </c>
      <c r="BJ217" s="52">
        <f>Y217-AG217+AX217</f>
        <v>13931561.43</v>
      </c>
      <c r="BK217" s="56">
        <v>44378</v>
      </c>
      <c r="BL217" s="63">
        <f>13321107.81+101000.45+509453.17</f>
        <v>13931561.43</v>
      </c>
      <c r="BM217" s="47">
        <v>0</v>
      </c>
      <c r="BN217" s="9"/>
      <c r="BO217" s="9"/>
      <c r="BP217" s="9"/>
      <c r="BQ217" s="9"/>
      <c r="BR217" s="9"/>
      <c r="BS217" s="9"/>
      <c r="BT217" s="9"/>
      <c r="BU217" s="9"/>
      <c r="BV217" s="9"/>
      <c r="BW217" s="9"/>
    </row>
    <row r="218" spans="1:75" ht="192" hidden="1" outlineLevel="2" x14ac:dyDescent="0.25">
      <c r="A218" s="43" t="s">
        <v>275</v>
      </c>
      <c r="B218" s="110" t="s">
        <v>276</v>
      </c>
      <c r="C218" s="45">
        <v>2021</v>
      </c>
      <c r="D218" s="46" t="s">
        <v>86</v>
      </c>
      <c r="E218" s="47">
        <v>0</v>
      </c>
      <c r="F218" s="47">
        <v>0</v>
      </c>
      <c r="G218" s="47">
        <v>0</v>
      </c>
      <c r="H218" s="47">
        <v>0</v>
      </c>
      <c r="I218" s="47">
        <v>0</v>
      </c>
      <c r="J218" s="47">
        <v>0</v>
      </c>
      <c r="K218" s="47">
        <v>0</v>
      </c>
      <c r="L218" s="47">
        <v>0</v>
      </c>
      <c r="M218" s="47">
        <v>0</v>
      </c>
      <c r="N218" s="47">
        <v>0</v>
      </c>
      <c r="O218" s="47">
        <v>0</v>
      </c>
      <c r="P218" s="47">
        <v>0</v>
      </c>
      <c r="Q218" s="47">
        <v>0</v>
      </c>
      <c r="R218" s="47">
        <v>0</v>
      </c>
      <c r="S218" s="47">
        <v>0</v>
      </c>
      <c r="T218" s="47">
        <v>0</v>
      </c>
      <c r="U218" s="47">
        <v>0</v>
      </c>
      <c r="V218" s="134"/>
      <c r="W218" s="47">
        <v>0</v>
      </c>
      <c r="X218" s="47">
        <v>0</v>
      </c>
      <c r="Y218" s="48">
        <f t="shared" si="21"/>
        <v>0</v>
      </c>
      <c r="Z218" s="49"/>
      <c r="AA218" s="50"/>
      <c r="AB218" s="50"/>
      <c r="AC218" s="50"/>
      <c r="AD218" s="50"/>
      <c r="AE218" s="50"/>
      <c r="AF218" s="50"/>
      <c r="AG218" s="49">
        <f t="shared" si="22"/>
        <v>0</v>
      </c>
      <c r="AH218" s="70" t="s">
        <v>74</v>
      </c>
      <c r="AI218" s="70" t="s">
        <v>74</v>
      </c>
      <c r="AJ218" s="70" t="s">
        <v>74</v>
      </c>
      <c r="AK218" s="70" t="s">
        <v>74</v>
      </c>
      <c r="AL218" s="70" t="s">
        <v>74</v>
      </c>
      <c r="AM218" s="70" t="s">
        <v>74</v>
      </c>
      <c r="AN218" s="52"/>
      <c r="AO218" s="52"/>
      <c r="AP218" s="52"/>
      <c r="AQ218" s="52"/>
      <c r="AR218" s="52"/>
      <c r="AS218" s="52"/>
      <c r="AT218" s="70" t="s">
        <v>74</v>
      </c>
      <c r="AU218" s="52"/>
      <c r="AV218" s="52"/>
      <c r="AW218" s="138"/>
      <c r="AX218" s="68">
        <v>13321107.810000001</v>
      </c>
      <c r="AY218" s="59"/>
      <c r="AZ218" s="52"/>
      <c r="BA218" s="52">
        <f t="shared" si="23"/>
        <v>13321107.810000001</v>
      </c>
      <c r="BB218" s="52" t="s">
        <v>74</v>
      </c>
      <c r="BC218" s="52" t="s">
        <v>74</v>
      </c>
      <c r="BD218" s="52" t="s">
        <v>74</v>
      </c>
      <c r="BE218" s="51" t="s">
        <v>343</v>
      </c>
      <c r="BF218" s="52" t="s">
        <v>74</v>
      </c>
      <c r="BG218" s="52"/>
      <c r="BH218" s="52">
        <f t="shared" si="18"/>
        <v>13321107.810000001</v>
      </c>
      <c r="BI218" s="52">
        <f t="shared" si="19"/>
        <v>13321107.810000001</v>
      </c>
      <c r="BJ218" s="52">
        <f>Y218-AG218+AX218</f>
        <v>13321107.810000001</v>
      </c>
      <c r="BK218" s="56">
        <v>44409</v>
      </c>
      <c r="BL218" s="57">
        <v>13321107.810000001</v>
      </c>
      <c r="BM218" s="47">
        <v>0</v>
      </c>
      <c r="BN218" s="9"/>
      <c r="BO218" s="9"/>
      <c r="BP218" s="9"/>
      <c r="BQ218" s="9"/>
      <c r="BR218" s="9"/>
      <c r="BS218" s="9"/>
      <c r="BT218" s="9"/>
      <c r="BU218" s="9"/>
      <c r="BV218" s="9"/>
      <c r="BW218" s="9"/>
    </row>
    <row r="219" spans="1:75" ht="141" hidden="1" outlineLevel="2" x14ac:dyDescent="0.25">
      <c r="A219" s="43" t="s">
        <v>275</v>
      </c>
      <c r="B219" s="110" t="s">
        <v>276</v>
      </c>
      <c r="C219" s="45">
        <v>2021</v>
      </c>
      <c r="D219" s="46" t="s">
        <v>88</v>
      </c>
      <c r="E219" s="47"/>
      <c r="F219" s="47"/>
      <c r="G219" s="47"/>
      <c r="H219" s="47"/>
      <c r="I219" s="47"/>
      <c r="J219" s="47"/>
      <c r="K219" s="47"/>
      <c r="L219" s="47"/>
      <c r="M219" s="47"/>
      <c r="N219" s="47"/>
      <c r="O219" s="47"/>
      <c r="P219" s="47"/>
      <c r="Q219" s="47"/>
      <c r="R219" s="47"/>
      <c r="S219" s="47"/>
      <c r="T219" s="47"/>
      <c r="U219" s="47"/>
      <c r="V219" s="134"/>
      <c r="W219" s="47"/>
      <c r="X219" s="47"/>
      <c r="Y219" s="48"/>
      <c r="Z219" s="49"/>
      <c r="AA219" s="50"/>
      <c r="AB219" s="50"/>
      <c r="AC219" s="50"/>
      <c r="AD219" s="50"/>
      <c r="AE219" s="50"/>
      <c r="AF219" s="50"/>
      <c r="AG219" s="49"/>
      <c r="AH219" s="70" t="s">
        <v>74</v>
      </c>
      <c r="AI219" s="70" t="s">
        <v>74</v>
      </c>
      <c r="AJ219" s="70" t="s">
        <v>74</v>
      </c>
      <c r="AK219" s="70" t="s">
        <v>74</v>
      </c>
      <c r="AL219" s="70" t="s">
        <v>74</v>
      </c>
      <c r="AM219" s="70" t="s">
        <v>74</v>
      </c>
      <c r="AN219" s="52"/>
      <c r="AO219" s="52"/>
      <c r="AP219" s="52"/>
      <c r="AQ219" s="52"/>
      <c r="AR219" s="52"/>
      <c r="AS219" s="52"/>
      <c r="AT219" s="70" t="s">
        <v>74</v>
      </c>
      <c r="AU219" s="52"/>
      <c r="AV219" s="52"/>
      <c r="AW219" s="138"/>
      <c r="AX219" s="68">
        <v>6564280.8799999999</v>
      </c>
      <c r="AY219" s="59"/>
      <c r="AZ219" s="52"/>
      <c r="BA219" s="52">
        <f t="shared" si="23"/>
        <v>6564280.8799999999</v>
      </c>
      <c r="BB219" s="52" t="s">
        <v>74</v>
      </c>
      <c r="BC219" s="52" t="s">
        <v>74</v>
      </c>
      <c r="BD219" s="52" t="s">
        <v>74</v>
      </c>
      <c r="BE219" s="51" t="s">
        <v>344</v>
      </c>
      <c r="BF219" s="52" t="s">
        <v>74</v>
      </c>
      <c r="BG219" s="52"/>
      <c r="BH219" s="52">
        <f t="shared" si="18"/>
        <v>6564280.8799999999</v>
      </c>
      <c r="BI219" s="52">
        <f t="shared" si="19"/>
        <v>6564280.8799999999</v>
      </c>
      <c r="BJ219" s="52">
        <f>Y219-AG219+AX219</f>
        <v>6564280.8799999999</v>
      </c>
      <c r="BK219" s="56"/>
      <c r="BL219" s="63">
        <v>6564280.8799999999</v>
      </c>
      <c r="BM219" s="47">
        <v>0</v>
      </c>
      <c r="BN219" s="9"/>
      <c r="BO219" s="9"/>
      <c r="BP219" s="9"/>
      <c r="BQ219" s="9"/>
      <c r="BR219" s="9"/>
      <c r="BS219" s="9"/>
      <c r="BT219" s="9"/>
      <c r="BU219" s="9"/>
      <c r="BV219" s="9"/>
      <c r="BW219" s="9"/>
    </row>
    <row r="220" spans="1:75" hidden="1" outlineLevel="2" x14ac:dyDescent="0.25">
      <c r="A220" s="71" t="s">
        <v>275</v>
      </c>
      <c r="B220" s="116" t="s">
        <v>276</v>
      </c>
      <c r="C220" s="73">
        <v>2021</v>
      </c>
      <c r="D220" s="74" t="s">
        <v>89</v>
      </c>
      <c r="E220" s="75"/>
      <c r="F220" s="75"/>
      <c r="G220" s="75"/>
      <c r="H220" s="75"/>
      <c r="I220" s="75"/>
      <c r="J220" s="75"/>
      <c r="K220" s="75"/>
      <c r="L220" s="75"/>
      <c r="M220" s="75"/>
      <c r="N220" s="75"/>
      <c r="O220" s="75"/>
      <c r="P220" s="75"/>
      <c r="Q220" s="75"/>
      <c r="R220" s="75"/>
      <c r="S220" s="75"/>
      <c r="T220" s="75"/>
      <c r="U220" s="75"/>
      <c r="V220" s="139"/>
      <c r="W220" s="75"/>
      <c r="X220" s="75"/>
      <c r="Y220" s="76"/>
      <c r="Z220" s="118"/>
      <c r="AA220" s="79"/>
      <c r="AB220" s="79"/>
      <c r="AC220" s="79"/>
      <c r="AD220" s="79"/>
      <c r="AE220" s="79"/>
      <c r="AF220" s="79"/>
      <c r="AG220" s="80"/>
      <c r="AH220" s="81" t="s">
        <v>74</v>
      </c>
      <c r="AI220" s="81" t="s">
        <v>74</v>
      </c>
      <c r="AJ220" s="81" t="s">
        <v>74</v>
      </c>
      <c r="AK220" s="81" t="s">
        <v>74</v>
      </c>
      <c r="AL220" s="81" t="s">
        <v>74</v>
      </c>
      <c r="AM220" s="81" t="s">
        <v>74</v>
      </c>
      <c r="AN220" s="82"/>
      <c r="AO220" s="82"/>
      <c r="AP220" s="82"/>
      <c r="AQ220" s="82"/>
      <c r="AR220" s="82"/>
      <c r="AS220" s="82"/>
      <c r="AT220" s="81" t="s">
        <v>74</v>
      </c>
      <c r="AU220" s="82"/>
      <c r="AV220" s="82"/>
      <c r="AW220" s="140"/>
      <c r="AX220" s="119"/>
      <c r="AY220" s="141"/>
      <c r="AZ220" s="82"/>
      <c r="BA220" s="82"/>
      <c r="BB220" s="82" t="s">
        <v>74</v>
      </c>
      <c r="BC220" s="82" t="s">
        <v>74</v>
      </c>
      <c r="BD220" s="82" t="s">
        <v>74</v>
      </c>
      <c r="BE220" s="82" t="s">
        <v>74</v>
      </c>
      <c r="BF220" s="82" t="s">
        <v>74</v>
      </c>
      <c r="BG220" s="82"/>
      <c r="BH220" s="82"/>
      <c r="BI220" s="82"/>
      <c r="BJ220" s="52"/>
      <c r="BK220" s="56"/>
      <c r="BL220" s="127"/>
      <c r="BM220" s="75">
        <v>0</v>
      </c>
      <c r="BN220" s="9"/>
      <c r="BO220" s="9"/>
      <c r="BP220" s="9"/>
      <c r="BQ220" s="9"/>
      <c r="BR220" s="9"/>
      <c r="BS220" s="9"/>
      <c r="BT220" s="9"/>
      <c r="BU220" s="9"/>
      <c r="BV220" s="9"/>
      <c r="BW220" s="9"/>
    </row>
    <row r="221" spans="1:75" hidden="1" outlineLevel="1" collapsed="1" x14ac:dyDescent="0.25">
      <c r="A221" s="84"/>
      <c r="B221" s="120" t="s">
        <v>345</v>
      </c>
      <c r="C221" s="86"/>
      <c r="D221" s="87"/>
      <c r="E221" s="88"/>
      <c r="F221" s="88"/>
      <c r="G221" s="88"/>
      <c r="H221" s="88"/>
      <c r="I221" s="88"/>
      <c r="J221" s="88"/>
      <c r="K221" s="88"/>
      <c r="L221" s="88"/>
      <c r="M221" s="88"/>
      <c r="N221" s="88"/>
      <c r="O221" s="88"/>
      <c r="P221" s="88"/>
      <c r="Q221" s="88"/>
      <c r="R221" s="88"/>
      <c r="S221" s="88"/>
      <c r="T221" s="88"/>
      <c r="U221" s="88"/>
      <c r="V221" s="95"/>
      <c r="W221" s="88"/>
      <c r="X221" s="88"/>
      <c r="Y221" s="89">
        <f t="shared" ref="Y221:AG221" si="24">SUBTOTAL(9,Y163:Y220)</f>
        <v>0</v>
      </c>
      <c r="Z221" s="89">
        <f t="shared" si="24"/>
        <v>0</v>
      </c>
      <c r="AA221" s="89">
        <f t="shared" si="24"/>
        <v>0</v>
      </c>
      <c r="AB221" s="89">
        <f t="shared" si="24"/>
        <v>0</v>
      </c>
      <c r="AC221" s="89">
        <f t="shared" si="24"/>
        <v>0</v>
      </c>
      <c r="AD221" s="89">
        <f t="shared" si="24"/>
        <v>0</v>
      </c>
      <c r="AE221" s="89">
        <f t="shared" si="24"/>
        <v>0</v>
      </c>
      <c r="AF221" s="89">
        <f t="shared" si="24"/>
        <v>0</v>
      </c>
      <c r="AG221" s="89">
        <f t="shared" si="24"/>
        <v>0</v>
      </c>
      <c r="AH221" s="91"/>
      <c r="AI221" s="91"/>
      <c r="AJ221" s="91"/>
      <c r="AK221" s="91"/>
      <c r="AL221" s="91"/>
      <c r="AM221" s="91"/>
      <c r="AN221" s="92">
        <f t="shared" ref="AN221:AS221" si="25">SUBTOTAL(9,AN163:AN220)</f>
        <v>0</v>
      </c>
      <c r="AO221" s="92">
        <f t="shared" si="25"/>
        <v>0</v>
      </c>
      <c r="AP221" s="92">
        <f t="shared" si="25"/>
        <v>0</v>
      </c>
      <c r="AQ221" s="92">
        <f t="shared" si="25"/>
        <v>0</v>
      </c>
      <c r="AR221" s="92">
        <f t="shared" si="25"/>
        <v>0</v>
      </c>
      <c r="AS221" s="92">
        <f t="shared" si="25"/>
        <v>0</v>
      </c>
      <c r="AT221" s="91"/>
      <c r="AU221" s="92">
        <f t="shared" ref="AU221:BA221" si="26">SUBTOTAL(9,AU163:AU220)</f>
        <v>0</v>
      </c>
      <c r="AV221" s="92">
        <f t="shared" si="26"/>
        <v>0</v>
      </c>
      <c r="AW221" s="142">
        <f t="shared" si="26"/>
        <v>0</v>
      </c>
      <c r="AX221" s="122">
        <f t="shared" si="26"/>
        <v>0</v>
      </c>
      <c r="AY221" s="143">
        <f t="shared" si="26"/>
        <v>0</v>
      </c>
      <c r="AZ221" s="92">
        <f t="shared" si="26"/>
        <v>0</v>
      </c>
      <c r="BA221" s="92">
        <f t="shared" si="26"/>
        <v>0</v>
      </c>
      <c r="BB221" s="92"/>
      <c r="BC221" s="92"/>
      <c r="BD221" s="92"/>
      <c r="BE221" s="92"/>
      <c r="BF221" s="92"/>
      <c r="BG221" s="92"/>
      <c r="BH221" s="92">
        <f>SUBTOTAL(9,BH163:BH220)</f>
        <v>0</v>
      </c>
      <c r="BI221" s="92">
        <f>SUBTOTAL(9,BI163:BI220)</f>
        <v>0</v>
      </c>
      <c r="BJ221" s="93"/>
      <c r="BK221" s="94"/>
      <c r="BL221" s="88">
        <f>SUBTOTAL(9,BL163:BL220)</f>
        <v>0</v>
      </c>
      <c r="BM221" s="88">
        <f>SUBTOTAL(9,BM163:BM220)</f>
        <v>0</v>
      </c>
      <c r="BN221" s="9"/>
      <c r="BO221" s="9"/>
      <c r="BP221" s="9"/>
      <c r="BQ221" s="9"/>
      <c r="BR221" s="9"/>
      <c r="BS221" s="9"/>
      <c r="BT221" s="9"/>
      <c r="BU221" s="9"/>
      <c r="BV221" s="9"/>
      <c r="BW221" s="9"/>
    </row>
    <row r="222" spans="1:75" ht="26.25" hidden="1" outlineLevel="2" x14ac:dyDescent="0.25">
      <c r="A222" s="96" t="s">
        <v>346</v>
      </c>
      <c r="B222" s="97" t="s">
        <v>347</v>
      </c>
      <c r="C222" s="98">
        <v>2017</v>
      </c>
      <c r="D222" s="99" t="s">
        <v>73</v>
      </c>
      <c r="E222" s="100">
        <v>0</v>
      </c>
      <c r="F222" s="100">
        <v>0</v>
      </c>
      <c r="G222" s="100">
        <v>0</v>
      </c>
      <c r="H222" s="100">
        <v>0</v>
      </c>
      <c r="I222" s="100">
        <v>0</v>
      </c>
      <c r="J222" s="100">
        <v>0</v>
      </c>
      <c r="K222" s="100">
        <v>0</v>
      </c>
      <c r="L222" s="100">
        <v>0</v>
      </c>
      <c r="M222" s="100">
        <v>0</v>
      </c>
      <c r="N222" s="100">
        <v>7300865</v>
      </c>
      <c r="O222" s="100">
        <v>0</v>
      </c>
      <c r="P222" s="100">
        <v>0</v>
      </c>
      <c r="Q222" s="100">
        <v>0</v>
      </c>
      <c r="R222" s="100">
        <v>0</v>
      </c>
      <c r="S222" s="100">
        <v>0</v>
      </c>
      <c r="T222" s="100">
        <v>0</v>
      </c>
      <c r="U222" s="100">
        <v>0</v>
      </c>
      <c r="V222" s="100">
        <v>0</v>
      </c>
      <c r="W222" s="100">
        <v>0</v>
      </c>
      <c r="X222" s="100">
        <v>0</v>
      </c>
      <c r="Y222" s="101">
        <v>7300865</v>
      </c>
      <c r="Z222" s="133">
        <v>1225862.6000000001</v>
      </c>
      <c r="AA222" s="103">
        <v>1225862.6000000001</v>
      </c>
      <c r="AB222" s="103">
        <v>0</v>
      </c>
      <c r="AC222" s="103">
        <v>0</v>
      </c>
      <c r="AD222" s="103">
        <v>0</v>
      </c>
      <c r="AE222" s="103">
        <v>0</v>
      </c>
      <c r="AF222" s="103">
        <v>0</v>
      </c>
      <c r="AG222" s="102">
        <v>1225862.6000000001</v>
      </c>
      <c r="AH222" s="104" t="s">
        <v>104</v>
      </c>
      <c r="AI222" s="104" t="s">
        <v>74</v>
      </c>
      <c r="AJ222" s="104" t="s">
        <v>74</v>
      </c>
      <c r="AK222" s="104" t="s">
        <v>74</v>
      </c>
      <c r="AL222" s="104" t="s">
        <v>74</v>
      </c>
      <c r="AM222" s="104" t="s">
        <v>74</v>
      </c>
      <c r="AN222" s="105">
        <v>0</v>
      </c>
      <c r="AO222" s="105">
        <v>0</v>
      </c>
      <c r="AP222" s="105">
        <v>0</v>
      </c>
      <c r="AQ222" s="105">
        <v>0</v>
      </c>
      <c r="AR222" s="105">
        <v>0</v>
      </c>
      <c r="AS222" s="105">
        <v>0</v>
      </c>
      <c r="AT222" s="144" t="s">
        <v>74</v>
      </c>
      <c r="AU222" s="105">
        <v>0</v>
      </c>
      <c r="AV222" s="105"/>
      <c r="AW222" s="105">
        <v>0</v>
      </c>
      <c r="AX222" s="105"/>
      <c r="AY222" s="105"/>
      <c r="AZ222" s="105">
        <v>0</v>
      </c>
      <c r="BA222" s="105">
        <v>0</v>
      </c>
      <c r="BB222" s="107" t="s">
        <v>74</v>
      </c>
      <c r="BC222" s="106" t="s">
        <v>74</v>
      </c>
      <c r="BD222" s="108" t="s">
        <v>74</v>
      </c>
      <c r="BE222" s="108" t="s">
        <v>74</v>
      </c>
      <c r="BF222" s="108" t="s">
        <v>74</v>
      </c>
      <c r="BG222" s="108" t="s">
        <v>74</v>
      </c>
      <c r="BH222" s="105">
        <v>0</v>
      </c>
      <c r="BI222" s="105">
        <v>6075002.4000000004</v>
      </c>
      <c r="BJ222" s="52">
        <v>6075002.4000000004</v>
      </c>
      <c r="BK222" s="56">
        <v>42736</v>
      </c>
      <c r="BL222" s="109">
        <v>6075002.4000000004</v>
      </c>
      <c r="BM222" s="100">
        <v>0</v>
      </c>
      <c r="BN222" s="9"/>
      <c r="BO222" s="9"/>
      <c r="BP222" s="9"/>
      <c r="BQ222" s="9"/>
      <c r="BR222" s="9"/>
      <c r="BS222" s="9"/>
      <c r="BT222" s="9"/>
      <c r="BU222" s="9"/>
      <c r="BV222" s="9"/>
      <c r="BW222" s="9"/>
    </row>
    <row r="223" spans="1:75" ht="26.25" hidden="1" outlineLevel="2" x14ac:dyDescent="0.25">
      <c r="A223" s="43" t="s">
        <v>346</v>
      </c>
      <c r="B223" s="110" t="s">
        <v>347</v>
      </c>
      <c r="C223" s="45">
        <v>2017</v>
      </c>
      <c r="D223" s="46" t="s">
        <v>75</v>
      </c>
      <c r="E223" s="47">
        <v>0</v>
      </c>
      <c r="F223" s="47">
        <v>0</v>
      </c>
      <c r="G223" s="47">
        <v>0</v>
      </c>
      <c r="H223" s="47">
        <v>0</v>
      </c>
      <c r="I223" s="47">
        <v>0</v>
      </c>
      <c r="J223" s="47">
        <v>0</v>
      </c>
      <c r="K223" s="47">
        <v>0</v>
      </c>
      <c r="L223" s="47">
        <v>0</v>
      </c>
      <c r="M223" s="47">
        <v>0</v>
      </c>
      <c r="N223" s="47">
        <v>7300865</v>
      </c>
      <c r="O223" s="47">
        <v>0</v>
      </c>
      <c r="P223" s="47">
        <v>0</v>
      </c>
      <c r="Q223" s="47">
        <v>0</v>
      </c>
      <c r="R223" s="47">
        <v>0</v>
      </c>
      <c r="S223" s="47">
        <v>0</v>
      </c>
      <c r="T223" s="47">
        <v>0</v>
      </c>
      <c r="U223" s="47">
        <v>0</v>
      </c>
      <c r="V223" s="47">
        <v>0</v>
      </c>
      <c r="W223" s="47">
        <v>0</v>
      </c>
      <c r="X223" s="47">
        <v>0</v>
      </c>
      <c r="Y223" s="48">
        <v>7300865</v>
      </c>
      <c r="Z223" s="58">
        <v>1132492.03</v>
      </c>
      <c r="AA223" s="50">
        <v>1132492.03</v>
      </c>
      <c r="AB223" s="50">
        <v>0</v>
      </c>
      <c r="AC223" s="50">
        <v>0</v>
      </c>
      <c r="AD223" s="50">
        <v>0</v>
      </c>
      <c r="AE223" s="50">
        <v>0</v>
      </c>
      <c r="AF223" s="50">
        <v>0</v>
      </c>
      <c r="AG223" s="49">
        <v>1132492.03</v>
      </c>
      <c r="AH223" s="51" t="s">
        <v>104</v>
      </c>
      <c r="AI223" s="51" t="s">
        <v>74</v>
      </c>
      <c r="AJ223" s="51" t="s">
        <v>74</v>
      </c>
      <c r="AK223" s="51" t="s">
        <v>74</v>
      </c>
      <c r="AL223" s="51" t="s">
        <v>74</v>
      </c>
      <c r="AM223" s="51" t="s">
        <v>74</v>
      </c>
      <c r="AN223" s="52">
        <v>0</v>
      </c>
      <c r="AO223" s="52">
        <v>0</v>
      </c>
      <c r="AP223" s="52">
        <v>0</v>
      </c>
      <c r="AQ223" s="52">
        <v>0</v>
      </c>
      <c r="AR223" s="52">
        <v>0</v>
      </c>
      <c r="AS223" s="52">
        <v>0</v>
      </c>
      <c r="AT223" s="70" t="s">
        <v>74</v>
      </c>
      <c r="AU223" s="52">
        <v>0</v>
      </c>
      <c r="AV223" s="52"/>
      <c r="AW223" s="52">
        <v>0</v>
      </c>
      <c r="AX223" s="52"/>
      <c r="AY223" s="52"/>
      <c r="AZ223" s="52">
        <v>0</v>
      </c>
      <c r="BA223" s="52">
        <v>0</v>
      </c>
      <c r="BB223" s="54" t="s">
        <v>74</v>
      </c>
      <c r="BC223" s="53" t="s">
        <v>74</v>
      </c>
      <c r="BD223" s="55" t="s">
        <v>74</v>
      </c>
      <c r="BE223" s="55" t="s">
        <v>74</v>
      </c>
      <c r="BF223" s="55" t="s">
        <v>74</v>
      </c>
      <c r="BG223" s="55" t="s">
        <v>74</v>
      </c>
      <c r="BH223" s="52">
        <v>0</v>
      </c>
      <c r="BI223" s="52">
        <v>6168372.9699999997</v>
      </c>
      <c r="BJ223" s="52">
        <v>6168372.9699999997</v>
      </c>
      <c r="BK223" s="56">
        <v>42767</v>
      </c>
      <c r="BL223" s="57">
        <v>6168372.9699999997</v>
      </c>
      <c r="BM223" s="47">
        <v>0</v>
      </c>
      <c r="BN223" s="9"/>
      <c r="BO223" s="9"/>
      <c r="BP223" s="9"/>
      <c r="BQ223" s="9"/>
      <c r="BR223" s="9"/>
      <c r="BS223" s="9"/>
      <c r="BT223" s="9"/>
      <c r="BU223" s="9"/>
      <c r="BV223" s="9"/>
      <c r="BW223" s="9"/>
    </row>
    <row r="224" spans="1:75" ht="26.25" hidden="1" outlineLevel="2" x14ac:dyDescent="0.25">
      <c r="A224" s="43" t="s">
        <v>346</v>
      </c>
      <c r="B224" s="110" t="s">
        <v>347</v>
      </c>
      <c r="C224" s="45">
        <v>2017</v>
      </c>
      <c r="D224" s="46" t="s">
        <v>77</v>
      </c>
      <c r="E224" s="47">
        <v>0</v>
      </c>
      <c r="F224" s="47">
        <v>0</v>
      </c>
      <c r="G224" s="47">
        <v>0</v>
      </c>
      <c r="H224" s="47">
        <v>0</v>
      </c>
      <c r="I224" s="47">
        <v>0</v>
      </c>
      <c r="J224" s="47">
        <v>0</v>
      </c>
      <c r="K224" s="47">
        <v>0</v>
      </c>
      <c r="L224" s="47">
        <v>0</v>
      </c>
      <c r="M224" s="47">
        <v>0</v>
      </c>
      <c r="N224" s="47">
        <v>7300865</v>
      </c>
      <c r="O224" s="47">
        <v>0</v>
      </c>
      <c r="P224" s="47">
        <v>0</v>
      </c>
      <c r="Q224" s="47">
        <v>0</v>
      </c>
      <c r="R224" s="47">
        <v>0</v>
      </c>
      <c r="S224" s="47">
        <v>0</v>
      </c>
      <c r="T224" s="47">
        <v>0</v>
      </c>
      <c r="U224" s="47">
        <v>0</v>
      </c>
      <c r="V224" s="47">
        <v>0</v>
      </c>
      <c r="W224" s="47">
        <v>0</v>
      </c>
      <c r="X224" s="47">
        <v>0</v>
      </c>
      <c r="Y224" s="48">
        <v>7300865</v>
      </c>
      <c r="Z224" s="58">
        <v>1025894.33</v>
      </c>
      <c r="AA224" s="50">
        <v>1025894.33</v>
      </c>
      <c r="AB224" s="50">
        <v>0</v>
      </c>
      <c r="AC224" s="50">
        <v>0</v>
      </c>
      <c r="AD224" s="50">
        <v>0</v>
      </c>
      <c r="AE224" s="50">
        <v>0</v>
      </c>
      <c r="AF224" s="50">
        <v>0</v>
      </c>
      <c r="AG224" s="49">
        <v>1025894.33</v>
      </c>
      <c r="AH224" s="51" t="s">
        <v>104</v>
      </c>
      <c r="AI224" s="51" t="s">
        <v>74</v>
      </c>
      <c r="AJ224" s="51" t="s">
        <v>74</v>
      </c>
      <c r="AK224" s="51" t="s">
        <v>74</v>
      </c>
      <c r="AL224" s="51" t="s">
        <v>74</v>
      </c>
      <c r="AM224" s="51" t="s">
        <v>74</v>
      </c>
      <c r="AN224" s="52">
        <v>0</v>
      </c>
      <c r="AO224" s="52">
        <v>0</v>
      </c>
      <c r="AP224" s="52">
        <v>0</v>
      </c>
      <c r="AQ224" s="52">
        <v>0</v>
      </c>
      <c r="AR224" s="52">
        <v>0</v>
      </c>
      <c r="AS224" s="52">
        <v>0</v>
      </c>
      <c r="AT224" s="70" t="s">
        <v>74</v>
      </c>
      <c r="AU224" s="52">
        <v>0</v>
      </c>
      <c r="AV224" s="52"/>
      <c r="AW224" s="52">
        <v>0</v>
      </c>
      <c r="AX224" s="52"/>
      <c r="AY224" s="52"/>
      <c r="AZ224" s="52">
        <v>0</v>
      </c>
      <c r="BA224" s="52">
        <v>0</v>
      </c>
      <c r="BB224" s="54" t="s">
        <v>74</v>
      </c>
      <c r="BC224" s="53" t="s">
        <v>74</v>
      </c>
      <c r="BD224" s="55" t="s">
        <v>74</v>
      </c>
      <c r="BE224" s="55" t="s">
        <v>74</v>
      </c>
      <c r="BF224" s="55" t="s">
        <v>74</v>
      </c>
      <c r="BG224" s="55" t="s">
        <v>74</v>
      </c>
      <c r="BH224" s="52">
        <v>0</v>
      </c>
      <c r="BI224" s="52">
        <v>6274970.6699999999</v>
      </c>
      <c r="BJ224" s="52">
        <v>6274970.6699999999</v>
      </c>
      <c r="BK224" s="56">
        <v>42795</v>
      </c>
      <c r="BL224" s="57">
        <v>6274970.6699999999</v>
      </c>
      <c r="BM224" s="47">
        <v>0</v>
      </c>
      <c r="BN224" s="9"/>
      <c r="BO224" s="9"/>
      <c r="BP224" s="9"/>
      <c r="BQ224" s="9"/>
      <c r="BR224" s="9"/>
      <c r="BS224" s="9"/>
      <c r="BT224" s="9"/>
      <c r="BU224" s="9"/>
      <c r="BV224" s="9"/>
      <c r="BW224" s="9"/>
    </row>
    <row r="225" spans="1:75" ht="68.25" hidden="1" customHeight="1" outlineLevel="2" x14ac:dyDescent="0.25">
      <c r="A225" s="43" t="s">
        <v>346</v>
      </c>
      <c r="B225" s="110" t="s">
        <v>347</v>
      </c>
      <c r="C225" s="45">
        <v>2017</v>
      </c>
      <c r="D225" s="46" t="s">
        <v>79</v>
      </c>
      <c r="E225" s="47">
        <v>0</v>
      </c>
      <c r="F225" s="47">
        <v>0</v>
      </c>
      <c r="G225" s="47">
        <v>0</v>
      </c>
      <c r="H225" s="47">
        <v>0</v>
      </c>
      <c r="I225" s="47">
        <v>0</v>
      </c>
      <c r="J225" s="47">
        <v>0</v>
      </c>
      <c r="K225" s="47">
        <v>0</v>
      </c>
      <c r="L225" s="47">
        <v>0</v>
      </c>
      <c r="M225" s="47">
        <v>0</v>
      </c>
      <c r="N225" s="47">
        <v>7300865</v>
      </c>
      <c r="O225" s="47">
        <v>0</v>
      </c>
      <c r="P225" s="47">
        <v>0</v>
      </c>
      <c r="Q225" s="47">
        <v>0</v>
      </c>
      <c r="R225" s="47">
        <v>0</v>
      </c>
      <c r="S225" s="47">
        <v>0</v>
      </c>
      <c r="T225" s="47">
        <v>0</v>
      </c>
      <c r="U225" s="47">
        <v>0</v>
      </c>
      <c r="V225" s="47">
        <v>0</v>
      </c>
      <c r="W225" s="47">
        <v>0</v>
      </c>
      <c r="X225" s="47">
        <v>0</v>
      </c>
      <c r="Y225" s="48">
        <v>7300865</v>
      </c>
      <c r="Z225" s="58">
        <v>993075.88</v>
      </c>
      <c r="AA225" s="50">
        <v>993075.88</v>
      </c>
      <c r="AB225" s="50">
        <v>0</v>
      </c>
      <c r="AC225" s="50">
        <v>0</v>
      </c>
      <c r="AD225" s="50">
        <v>0</v>
      </c>
      <c r="AE225" s="50">
        <v>0</v>
      </c>
      <c r="AF225" s="50">
        <v>0</v>
      </c>
      <c r="AG225" s="49">
        <v>993075.88</v>
      </c>
      <c r="AH225" s="51" t="s">
        <v>278</v>
      </c>
      <c r="AI225" s="51" t="s">
        <v>74</v>
      </c>
      <c r="AJ225" s="51" t="s">
        <v>74</v>
      </c>
      <c r="AK225" s="51" t="s">
        <v>74</v>
      </c>
      <c r="AL225" s="51" t="s">
        <v>74</v>
      </c>
      <c r="AM225" s="51" t="s">
        <v>74</v>
      </c>
      <c r="AN225" s="52">
        <v>0</v>
      </c>
      <c r="AO225" s="52">
        <v>0</v>
      </c>
      <c r="AP225" s="52"/>
      <c r="AQ225" s="52">
        <v>0</v>
      </c>
      <c r="AR225" s="52">
        <v>0</v>
      </c>
      <c r="AS225" s="52">
        <v>0</v>
      </c>
      <c r="AT225" s="70" t="s">
        <v>74</v>
      </c>
      <c r="AU225" s="52">
        <v>0</v>
      </c>
      <c r="AV225" s="52"/>
      <c r="AW225" s="52">
        <v>23172.58</v>
      </c>
      <c r="AX225" s="52"/>
      <c r="AY225" s="52"/>
      <c r="AZ225" s="52">
        <v>0</v>
      </c>
      <c r="BA225" s="52">
        <v>23172.58</v>
      </c>
      <c r="BB225" s="54" t="s">
        <v>74</v>
      </c>
      <c r="BC225" s="53" t="s">
        <v>74</v>
      </c>
      <c r="BD225" s="55" t="s">
        <v>348</v>
      </c>
      <c r="BE225" s="55" t="s">
        <v>74</v>
      </c>
      <c r="BF225" s="55" t="s">
        <v>74</v>
      </c>
      <c r="BG225" s="55" t="s">
        <v>74</v>
      </c>
      <c r="BH225" s="52">
        <v>23172.58</v>
      </c>
      <c r="BI225" s="52">
        <v>6330961.7000000002</v>
      </c>
      <c r="BJ225" s="52">
        <v>6307789.1200000001</v>
      </c>
      <c r="BK225" s="56">
        <v>42826</v>
      </c>
      <c r="BL225" s="57">
        <v>6330961.7000000002</v>
      </c>
      <c r="BM225" s="47">
        <v>0</v>
      </c>
      <c r="BN225" s="9"/>
      <c r="BO225" s="9"/>
      <c r="BP225" s="9"/>
      <c r="BQ225" s="9"/>
      <c r="BR225" s="9"/>
      <c r="BS225" s="9"/>
      <c r="BT225" s="9"/>
      <c r="BU225" s="9"/>
      <c r="BV225" s="9"/>
      <c r="BW225" s="9"/>
    </row>
    <row r="226" spans="1:75" ht="75" hidden="1" customHeight="1" outlineLevel="2" x14ac:dyDescent="0.25">
      <c r="A226" s="43" t="s">
        <v>346</v>
      </c>
      <c r="B226" s="110" t="s">
        <v>347</v>
      </c>
      <c r="C226" s="45">
        <v>2017</v>
      </c>
      <c r="D226" s="46" t="s">
        <v>81</v>
      </c>
      <c r="E226" s="47">
        <v>0</v>
      </c>
      <c r="F226" s="47">
        <v>0</v>
      </c>
      <c r="G226" s="47">
        <v>0</v>
      </c>
      <c r="H226" s="47">
        <v>0</v>
      </c>
      <c r="I226" s="47">
        <v>0</v>
      </c>
      <c r="J226" s="47">
        <v>0</v>
      </c>
      <c r="K226" s="47">
        <v>0</v>
      </c>
      <c r="L226" s="47">
        <v>0</v>
      </c>
      <c r="M226" s="47">
        <v>0</v>
      </c>
      <c r="N226" s="47">
        <v>7300865</v>
      </c>
      <c r="O226" s="47">
        <v>0</v>
      </c>
      <c r="P226" s="47">
        <v>0</v>
      </c>
      <c r="Q226" s="47">
        <v>0</v>
      </c>
      <c r="R226" s="47">
        <v>0</v>
      </c>
      <c r="S226" s="47">
        <v>0</v>
      </c>
      <c r="T226" s="47">
        <v>0</v>
      </c>
      <c r="U226" s="47">
        <v>0</v>
      </c>
      <c r="V226" s="47">
        <v>0</v>
      </c>
      <c r="W226" s="47">
        <v>0</v>
      </c>
      <c r="X226" s="47">
        <v>0</v>
      </c>
      <c r="Y226" s="48">
        <v>7300865</v>
      </c>
      <c r="Z226" s="58">
        <v>969118.9</v>
      </c>
      <c r="AA226" s="50">
        <v>969118.9</v>
      </c>
      <c r="AB226" s="50">
        <v>0</v>
      </c>
      <c r="AC226" s="50">
        <v>0</v>
      </c>
      <c r="AD226" s="50">
        <v>0</v>
      </c>
      <c r="AE226" s="50">
        <v>0</v>
      </c>
      <c r="AF226" s="50">
        <v>0</v>
      </c>
      <c r="AG226" s="49">
        <v>969118.9</v>
      </c>
      <c r="AH226" s="51" t="s">
        <v>104</v>
      </c>
      <c r="AI226" s="51" t="s">
        <v>74</v>
      </c>
      <c r="AJ226" s="51" t="s">
        <v>74</v>
      </c>
      <c r="AK226" s="51" t="s">
        <v>74</v>
      </c>
      <c r="AL226" s="51" t="s">
        <v>74</v>
      </c>
      <c r="AM226" s="51" t="s">
        <v>74</v>
      </c>
      <c r="AN226" s="52">
        <v>0</v>
      </c>
      <c r="AO226" s="52">
        <v>0</v>
      </c>
      <c r="AP226" s="52"/>
      <c r="AQ226" s="52">
        <v>0</v>
      </c>
      <c r="AR226" s="52">
        <v>0</v>
      </c>
      <c r="AS226" s="52">
        <v>0</v>
      </c>
      <c r="AT226" s="70" t="s">
        <v>74</v>
      </c>
      <c r="AU226" s="52">
        <v>0</v>
      </c>
      <c r="AV226" s="52"/>
      <c r="AW226" s="52">
        <v>33532.519999999997</v>
      </c>
      <c r="AX226" s="52"/>
      <c r="AY226" s="52"/>
      <c r="AZ226" s="52">
        <v>0</v>
      </c>
      <c r="BA226" s="52">
        <v>33532.519999999997</v>
      </c>
      <c r="BB226" s="54" t="s">
        <v>74</v>
      </c>
      <c r="BC226" s="53" t="s">
        <v>74</v>
      </c>
      <c r="BD226" s="55" t="s">
        <v>349</v>
      </c>
      <c r="BE226" s="55" t="s">
        <v>74</v>
      </c>
      <c r="BF226" s="55" t="s">
        <v>74</v>
      </c>
      <c r="BG226" s="55" t="s">
        <v>74</v>
      </c>
      <c r="BH226" s="52">
        <v>33532.519999999997</v>
      </c>
      <c r="BI226" s="52">
        <v>6365278.6200000001</v>
      </c>
      <c r="BJ226" s="52">
        <v>6331746.0999999996</v>
      </c>
      <c r="BK226" s="56">
        <v>42856</v>
      </c>
      <c r="BL226" s="57">
        <v>6365278.6200000001</v>
      </c>
      <c r="BM226" s="47">
        <v>0</v>
      </c>
      <c r="BN226" s="9"/>
      <c r="BO226" s="9"/>
      <c r="BP226" s="9"/>
      <c r="BQ226" s="9"/>
      <c r="BR226" s="9"/>
      <c r="BS226" s="9"/>
      <c r="BT226" s="9"/>
      <c r="BU226" s="9"/>
      <c r="BV226" s="9"/>
      <c r="BW226" s="9"/>
    </row>
    <row r="227" spans="1:75" ht="70.5" hidden="1" customHeight="1" outlineLevel="2" x14ac:dyDescent="0.25">
      <c r="A227" s="43" t="s">
        <v>346</v>
      </c>
      <c r="B227" s="110" t="s">
        <v>347</v>
      </c>
      <c r="C227" s="45">
        <v>2017</v>
      </c>
      <c r="D227" s="46" t="s">
        <v>83</v>
      </c>
      <c r="E227" s="47">
        <v>0</v>
      </c>
      <c r="F227" s="47">
        <v>0</v>
      </c>
      <c r="G227" s="47">
        <v>0</v>
      </c>
      <c r="H227" s="47">
        <v>0</v>
      </c>
      <c r="I227" s="47">
        <v>0</v>
      </c>
      <c r="J227" s="47">
        <v>0</v>
      </c>
      <c r="K227" s="47">
        <v>0</v>
      </c>
      <c r="L227" s="47">
        <v>0</v>
      </c>
      <c r="M227" s="47">
        <v>0</v>
      </c>
      <c r="N227" s="47">
        <v>6814140.6699999999</v>
      </c>
      <c r="O227" s="47">
        <v>654480.16</v>
      </c>
      <c r="P227" s="47">
        <v>0</v>
      </c>
      <c r="Q227" s="47">
        <v>0</v>
      </c>
      <c r="R227" s="47">
        <v>0</v>
      </c>
      <c r="S227" s="47">
        <v>0</v>
      </c>
      <c r="T227" s="47">
        <v>0</v>
      </c>
      <c r="U227" s="47">
        <v>0</v>
      </c>
      <c r="V227" s="47">
        <v>0</v>
      </c>
      <c r="W227" s="47">
        <v>0</v>
      </c>
      <c r="X227" s="47">
        <v>0</v>
      </c>
      <c r="Y227" s="48">
        <v>7468620.8300000001</v>
      </c>
      <c r="Z227" s="58">
        <v>1146531.44</v>
      </c>
      <c r="AA227" s="50">
        <v>1146531.44</v>
      </c>
      <c r="AB227" s="50">
        <v>0</v>
      </c>
      <c r="AC227" s="50">
        <v>0</v>
      </c>
      <c r="AD227" s="50">
        <v>0</v>
      </c>
      <c r="AE227" s="50">
        <v>0</v>
      </c>
      <c r="AF227" s="50">
        <v>0</v>
      </c>
      <c r="AG227" s="49">
        <v>1146531.44</v>
      </c>
      <c r="AH227" s="51" t="s">
        <v>278</v>
      </c>
      <c r="AI227" s="51" t="s">
        <v>74</v>
      </c>
      <c r="AJ227" s="51" t="s">
        <v>74</v>
      </c>
      <c r="AK227" s="51" t="s">
        <v>74</v>
      </c>
      <c r="AL227" s="51" t="s">
        <v>74</v>
      </c>
      <c r="AM227" s="51" t="s">
        <v>74</v>
      </c>
      <c r="AN227" s="52">
        <v>0</v>
      </c>
      <c r="AO227" s="52">
        <v>0</v>
      </c>
      <c r="AP227" s="52"/>
      <c r="AQ227" s="52">
        <v>0</v>
      </c>
      <c r="AR227" s="52">
        <v>0</v>
      </c>
      <c r="AS227" s="52">
        <v>0</v>
      </c>
      <c r="AT227" s="70" t="s">
        <v>74</v>
      </c>
      <c r="AU227" s="52">
        <v>0</v>
      </c>
      <c r="AV227" s="52"/>
      <c r="AW227" s="52">
        <v>54848.28</v>
      </c>
      <c r="AX227" s="52"/>
      <c r="AY227" s="52"/>
      <c r="AZ227" s="52">
        <v>0</v>
      </c>
      <c r="BA227" s="52">
        <v>54848.28</v>
      </c>
      <c r="BB227" s="54" t="s">
        <v>74</v>
      </c>
      <c r="BC227" s="53" t="s">
        <v>74</v>
      </c>
      <c r="BD227" s="55" t="s">
        <v>350</v>
      </c>
      <c r="BE227" s="55" t="s">
        <v>74</v>
      </c>
      <c r="BF227" s="55" t="s">
        <v>74</v>
      </c>
      <c r="BG227" s="55" t="s">
        <v>74</v>
      </c>
      <c r="BH227" s="52">
        <v>54848.28</v>
      </c>
      <c r="BI227" s="52">
        <v>6376937.6699999999</v>
      </c>
      <c r="BJ227" s="52">
        <v>6322089.3899999997</v>
      </c>
      <c r="BK227" s="56">
        <v>42887</v>
      </c>
      <c r="BL227" s="57">
        <v>6376937.6699999999</v>
      </c>
      <c r="BM227" s="47">
        <v>0</v>
      </c>
      <c r="BN227" s="9"/>
      <c r="BO227" s="9"/>
      <c r="BP227" s="9"/>
      <c r="BQ227" s="9"/>
      <c r="BR227" s="9"/>
      <c r="BS227" s="9"/>
      <c r="BT227" s="9"/>
      <c r="BU227" s="9"/>
      <c r="BV227" s="9"/>
      <c r="BW227" s="9"/>
    </row>
    <row r="228" spans="1:75" ht="75.75" hidden="1" customHeight="1" outlineLevel="2" x14ac:dyDescent="0.25">
      <c r="A228" s="43" t="s">
        <v>346</v>
      </c>
      <c r="B228" s="110" t="s">
        <v>347</v>
      </c>
      <c r="C228" s="45">
        <v>2017</v>
      </c>
      <c r="D228" s="46" t="s">
        <v>84</v>
      </c>
      <c r="E228" s="47">
        <v>0</v>
      </c>
      <c r="F228" s="47">
        <v>0</v>
      </c>
      <c r="G228" s="47">
        <v>0</v>
      </c>
      <c r="H228" s="47">
        <v>0</v>
      </c>
      <c r="I228" s="47">
        <v>0</v>
      </c>
      <c r="J228" s="47">
        <v>0</v>
      </c>
      <c r="K228" s="47">
        <v>0</v>
      </c>
      <c r="L228" s="47">
        <v>0</v>
      </c>
      <c r="M228" s="47">
        <v>0</v>
      </c>
      <c r="N228" s="47">
        <v>0</v>
      </c>
      <c r="O228" s="47">
        <v>9817202.3800000008</v>
      </c>
      <c r="P228" s="47">
        <v>0</v>
      </c>
      <c r="Q228" s="47">
        <v>0</v>
      </c>
      <c r="R228" s="47">
        <v>0</v>
      </c>
      <c r="S228" s="47">
        <v>0</v>
      </c>
      <c r="T228" s="47">
        <v>0</v>
      </c>
      <c r="U228" s="47">
        <v>0</v>
      </c>
      <c r="V228" s="47">
        <v>0</v>
      </c>
      <c r="W228" s="47">
        <v>0</v>
      </c>
      <c r="X228" s="47">
        <v>0</v>
      </c>
      <c r="Y228" s="48">
        <v>9817202.3800000008</v>
      </c>
      <c r="Z228" s="58">
        <v>874040.67</v>
      </c>
      <c r="AA228" s="50">
        <v>874040.67</v>
      </c>
      <c r="AB228" s="50">
        <v>0</v>
      </c>
      <c r="AC228" s="50">
        <v>0</v>
      </c>
      <c r="AD228" s="50">
        <v>0</v>
      </c>
      <c r="AE228" s="50">
        <v>0</v>
      </c>
      <c r="AF228" s="50">
        <v>147706.07</v>
      </c>
      <c r="AG228" s="49">
        <v>1021746.74</v>
      </c>
      <c r="AH228" s="51" t="s">
        <v>104</v>
      </c>
      <c r="AI228" s="51" t="s">
        <v>74</v>
      </c>
      <c r="AJ228" s="51" t="s">
        <v>74</v>
      </c>
      <c r="AK228" s="51" t="s">
        <v>74</v>
      </c>
      <c r="AL228" s="51" t="s">
        <v>74</v>
      </c>
      <c r="AM228" s="51" t="s">
        <v>351</v>
      </c>
      <c r="AN228" s="52">
        <v>0</v>
      </c>
      <c r="AO228" s="52">
        <v>0</v>
      </c>
      <c r="AP228" s="52"/>
      <c r="AQ228" s="52">
        <v>0</v>
      </c>
      <c r="AR228" s="52">
        <v>0</v>
      </c>
      <c r="AS228" s="52">
        <v>0</v>
      </c>
      <c r="AT228" s="70" t="s">
        <v>74</v>
      </c>
      <c r="AU228" s="52">
        <v>0</v>
      </c>
      <c r="AV228" s="52"/>
      <c r="AW228" s="52">
        <v>55467.199999999997</v>
      </c>
      <c r="AX228" s="52"/>
      <c r="AY228" s="52"/>
      <c r="AZ228" s="52">
        <v>0</v>
      </c>
      <c r="BA228" s="52">
        <v>55467.199999999997</v>
      </c>
      <c r="BB228" s="54" t="s">
        <v>74</v>
      </c>
      <c r="BC228" s="53" t="s">
        <v>74</v>
      </c>
      <c r="BD228" s="55" t="s">
        <v>352</v>
      </c>
      <c r="BE228" s="55" t="s">
        <v>74</v>
      </c>
      <c r="BF228" s="55" t="s">
        <v>74</v>
      </c>
      <c r="BG228" s="55" t="s">
        <v>74</v>
      </c>
      <c r="BH228" s="52">
        <v>55467.199999999997</v>
      </c>
      <c r="BI228" s="52">
        <v>8850922.8399999999</v>
      </c>
      <c r="BJ228" s="52">
        <v>8795455.6400000006</v>
      </c>
      <c r="BK228" s="56">
        <v>42917</v>
      </c>
      <c r="BL228" s="57">
        <v>8850922.8399999999</v>
      </c>
      <c r="BM228" s="47">
        <v>0</v>
      </c>
      <c r="BN228" s="9"/>
      <c r="BO228" s="9"/>
      <c r="BP228" s="9"/>
      <c r="BQ228" s="9"/>
      <c r="BR228" s="9"/>
      <c r="BS228" s="9"/>
      <c r="BT228" s="9"/>
      <c r="BU228" s="9"/>
      <c r="BV228" s="9"/>
      <c r="BW228" s="9"/>
    </row>
    <row r="229" spans="1:75" ht="26.25" hidden="1" outlineLevel="2" x14ac:dyDescent="0.25">
      <c r="A229" s="43" t="s">
        <v>346</v>
      </c>
      <c r="B229" s="110" t="s">
        <v>347</v>
      </c>
      <c r="C229" s="45">
        <v>2017</v>
      </c>
      <c r="D229" s="46" t="s">
        <v>86</v>
      </c>
      <c r="E229" s="47">
        <v>0</v>
      </c>
      <c r="F229" s="47">
        <v>0</v>
      </c>
      <c r="G229" s="47">
        <v>0</v>
      </c>
      <c r="H229" s="47">
        <v>0</v>
      </c>
      <c r="I229" s="47">
        <v>0</v>
      </c>
      <c r="J229" s="47">
        <v>0</v>
      </c>
      <c r="K229" s="47">
        <v>0</v>
      </c>
      <c r="L229" s="47">
        <v>0</v>
      </c>
      <c r="M229" s="47">
        <v>0</v>
      </c>
      <c r="N229" s="47">
        <v>0</v>
      </c>
      <c r="O229" s="47">
        <v>9817202.3800000008</v>
      </c>
      <c r="P229" s="47">
        <v>0</v>
      </c>
      <c r="Q229" s="47">
        <v>0</v>
      </c>
      <c r="R229" s="47">
        <v>0</v>
      </c>
      <c r="S229" s="47">
        <v>0</v>
      </c>
      <c r="T229" s="47">
        <v>0</v>
      </c>
      <c r="U229" s="47">
        <v>0</v>
      </c>
      <c r="V229" s="47">
        <v>0</v>
      </c>
      <c r="W229" s="47">
        <v>0</v>
      </c>
      <c r="X229" s="47">
        <v>0</v>
      </c>
      <c r="Y229" s="48">
        <v>9817202.3800000008</v>
      </c>
      <c r="Z229" s="58">
        <v>3411122.31</v>
      </c>
      <c r="AA229" s="50">
        <v>3411122.31</v>
      </c>
      <c r="AB229" s="50">
        <v>0</v>
      </c>
      <c r="AC229" s="50">
        <v>0</v>
      </c>
      <c r="AD229" s="50">
        <v>0</v>
      </c>
      <c r="AE229" s="50">
        <v>0</v>
      </c>
      <c r="AF229" s="50">
        <v>0</v>
      </c>
      <c r="AG229" s="49">
        <v>3411122.31</v>
      </c>
      <c r="AH229" s="51" t="s">
        <v>104</v>
      </c>
      <c r="AI229" s="51" t="s">
        <v>74</v>
      </c>
      <c r="AJ229" s="51" t="s">
        <v>74</v>
      </c>
      <c r="AK229" s="51" t="s">
        <v>74</v>
      </c>
      <c r="AL229" s="51" t="s">
        <v>74</v>
      </c>
      <c r="AM229" s="51" t="s">
        <v>74</v>
      </c>
      <c r="AN229" s="52">
        <v>0</v>
      </c>
      <c r="AO229" s="52">
        <v>0</v>
      </c>
      <c r="AP229" s="52">
        <v>0</v>
      </c>
      <c r="AQ229" s="52">
        <v>0</v>
      </c>
      <c r="AR229" s="52">
        <v>0</v>
      </c>
      <c r="AS229" s="52">
        <v>0</v>
      </c>
      <c r="AT229" s="70" t="s">
        <v>74</v>
      </c>
      <c r="AU229" s="52">
        <v>0</v>
      </c>
      <c r="AV229" s="52"/>
      <c r="AW229" s="52">
        <v>0</v>
      </c>
      <c r="AX229" s="52"/>
      <c r="AY229" s="52"/>
      <c r="AZ229" s="52">
        <v>0</v>
      </c>
      <c r="BA229" s="52">
        <v>0</v>
      </c>
      <c r="BB229" s="54" t="s">
        <v>74</v>
      </c>
      <c r="BC229" s="53" t="s">
        <v>74</v>
      </c>
      <c r="BD229" s="55" t="s">
        <v>74</v>
      </c>
      <c r="BE229" s="55" t="s">
        <v>74</v>
      </c>
      <c r="BF229" s="55" t="s">
        <v>74</v>
      </c>
      <c r="BG229" s="55" t="s">
        <v>74</v>
      </c>
      <c r="BH229" s="52">
        <v>0</v>
      </c>
      <c r="BI229" s="52">
        <v>6406080.0700000003</v>
      </c>
      <c r="BJ229" s="52">
        <v>6406080.0700000003</v>
      </c>
      <c r="BK229" s="56">
        <v>42948</v>
      </c>
      <c r="BL229" s="57">
        <v>6406080.0700000003</v>
      </c>
      <c r="BM229" s="47">
        <v>0</v>
      </c>
      <c r="BN229" s="9"/>
      <c r="BO229" s="9"/>
      <c r="BP229" s="9"/>
      <c r="BQ229" s="9"/>
      <c r="BR229" s="9"/>
      <c r="BS229" s="9"/>
      <c r="BT229" s="9"/>
      <c r="BU229" s="9"/>
      <c r="BV229" s="9"/>
      <c r="BW229" s="9"/>
    </row>
    <row r="230" spans="1:75" ht="128.25" hidden="1" outlineLevel="2" x14ac:dyDescent="0.25">
      <c r="A230" s="43" t="s">
        <v>346</v>
      </c>
      <c r="B230" s="110" t="s">
        <v>347</v>
      </c>
      <c r="C230" s="45">
        <v>2017</v>
      </c>
      <c r="D230" s="46" t="s">
        <v>88</v>
      </c>
      <c r="E230" s="47">
        <v>0</v>
      </c>
      <c r="F230" s="47">
        <v>0</v>
      </c>
      <c r="G230" s="47">
        <v>0</v>
      </c>
      <c r="H230" s="47">
        <v>0</v>
      </c>
      <c r="I230" s="47">
        <v>0</v>
      </c>
      <c r="J230" s="47">
        <v>0</v>
      </c>
      <c r="K230" s="47">
        <v>0</v>
      </c>
      <c r="L230" s="47">
        <v>0</v>
      </c>
      <c r="M230" s="47">
        <v>0</v>
      </c>
      <c r="N230" s="47">
        <v>0</v>
      </c>
      <c r="O230" s="47">
        <v>9817202.3800000008</v>
      </c>
      <c r="P230" s="47">
        <v>0</v>
      </c>
      <c r="Q230" s="47">
        <v>0</v>
      </c>
      <c r="R230" s="47">
        <v>0</v>
      </c>
      <c r="S230" s="47">
        <v>0</v>
      </c>
      <c r="T230" s="47">
        <v>0</v>
      </c>
      <c r="U230" s="47">
        <v>0</v>
      </c>
      <c r="V230" s="47">
        <v>0</v>
      </c>
      <c r="W230" s="47">
        <v>0</v>
      </c>
      <c r="X230" s="47">
        <v>0</v>
      </c>
      <c r="Y230" s="48">
        <v>9817202.3800000008</v>
      </c>
      <c r="Z230" s="58">
        <v>3411122.31</v>
      </c>
      <c r="AA230" s="50">
        <v>3411122.31</v>
      </c>
      <c r="AB230" s="50">
        <v>0</v>
      </c>
      <c r="AC230" s="50">
        <v>0</v>
      </c>
      <c r="AD230" s="50">
        <v>0</v>
      </c>
      <c r="AE230" s="50">
        <v>0</v>
      </c>
      <c r="AF230" s="50">
        <v>0</v>
      </c>
      <c r="AG230" s="49">
        <v>3411122.31</v>
      </c>
      <c r="AH230" s="51" t="s">
        <v>278</v>
      </c>
      <c r="AI230" s="51" t="s">
        <v>74</v>
      </c>
      <c r="AJ230" s="51" t="s">
        <v>74</v>
      </c>
      <c r="AK230" s="51" t="s">
        <v>74</v>
      </c>
      <c r="AL230" s="51" t="s">
        <v>74</v>
      </c>
      <c r="AM230" s="51" t="s">
        <v>74</v>
      </c>
      <c r="AN230" s="52">
        <v>0</v>
      </c>
      <c r="AO230" s="52">
        <v>0</v>
      </c>
      <c r="AP230" s="52">
        <v>0</v>
      </c>
      <c r="AQ230" s="52">
        <v>0</v>
      </c>
      <c r="AR230" s="52">
        <v>0</v>
      </c>
      <c r="AS230" s="52">
        <v>0</v>
      </c>
      <c r="AT230" s="70" t="s">
        <v>74</v>
      </c>
      <c r="AU230" s="52">
        <v>0</v>
      </c>
      <c r="AV230" s="52"/>
      <c r="AW230" s="52">
        <v>0</v>
      </c>
      <c r="AX230" s="52"/>
      <c r="AY230" s="52"/>
      <c r="AZ230" s="52">
        <v>0</v>
      </c>
      <c r="BA230" s="52">
        <v>0</v>
      </c>
      <c r="BB230" s="54" t="s">
        <v>74</v>
      </c>
      <c r="BC230" s="53" t="s">
        <v>74</v>
      </c>
      <c r="BD230" s="55" t="s">
        <v>74</v>
      </c>
      <c r="BE230" s="55" t="s">
        <v>74</v>
      </c>
      <c r="BF230" s="55" t="s">
        <v>74</v>
      </c>
      <c r="BG230" s="55" t="s">
        <v>74</v>
      </c>
      <c r="BH230" s="52">
        <v>0</v>
      </c>
      <c r="BI230" s="52">
        <v>6406080.0700000003</v>
      </c>
      <c r="BJ230" s="52">
        <v>6406080.0700000003</v>
      </c>
      <c r="BK230" s="56">
        <v>42979</v>
      </c>
      <c r="BL230" s="57">
        <v>6406080.0700000003</v>
      </c>
      <c r="BM230" s="47">
        <v>0</v>
      </c>
      <c r="BN230" s="9"/>
      <c r="BO230" s="9"/>
      <c r="BP230" s="9"/>
      <c r="BQ230" s="9"/>
      <c r="BR230" s="9"/>
      <c r="BS230" s="9"/>
      <c r="BT230" s="9"/>
      <c r="BU230" s="9"/>
      <c r="BV230" s="9"/>
      <c r="BW230" s="9"/>
    </row>
    <row r="231" spans="1:75" ht="26.25" hidden="1" outlineLevel="2" x14ac:dyDescent="0.25">
      <c r="A231" s="43" t="s">
        <v>346</v>
      </c>
      <c r="B231" s="110" t="s">
        <v>347</v>
      </c>
      <c r="C231" s="45">
        <v>2017</v>
      </c>
      <c r="D231" s="46" t="s">
        <v>89</v>
      </c>
      <c r="E231" s="47">
        <v>0</v>
      </c>
      <c r="F231" s="47">
        <v>0</v>
      </c>
      <c r="G231" s="47">
        <v>0</v>
      </c>
      <c r="H231" s="47">
        <v>0</v>
      </c>
      <c r="I231" s="47">
        <v>0</v>
      </c>
      <c r="J231" s="47">
        <v>0</v>
      </c>
      <c r="K231" s="47">
        <v>0</v>
      </c>
      <c r="L231" s="47">
        <v>0</v>
      </c>
      <c r="M231" s="47">
        <v>0</v>
      </c>
      <c r="N231" s="47">
        <v>0</v>
      </c>
      <c r="O231" s="47">
        <v>9817202.3800000008</v>
      </c>
      <c r="P231" s="47">
        <v>0</v>
      </c>
      <c r="Q231" s="47">
        <v>0</v>
      </c>
      <c r="R231" s="47">
        <v>0</v>
      </c>
      <c r="S231" s="47">
        <v>0</v>
      </c>
      <c r="T231" s="47">
        <v>0</v>
      </c>
      <c r="U231" s="47">
        <v>0</v>
      </c>
      <c r="V231" s="47">
        <v>0</v>
      </c>
      <c r="W231" s="47">
        <v>0</v>
      </c>
      <c r="X231" s="47">
        <v>0</v>
      </c>
      <c r="Y231" s="48">
        <v>9817202.3800000008</v>
      </c>
      <c r="Z231" s="58">
        <v>3405545.06</v>
      </c>
      <c r="AA231" s="50">
        <v>3405545.06</v>
      </c>
      <c r="AB231" s="50">
        <v>0</v>
      </c>
      <c r="AC231" s="50">
        <v>0</v>
      </c>
      <c r="AD231" s="50">
        <v>0</v>
      </c>
      <c r="AE231" s="50">
        <v>0</v>
      </c>
      <c r="AF231" s="50">
        <v>0</v>
      </c>
      <c r="AG231" s="49">
        <v>3405545.06</v>
      </c>
      <c r="AH231" s="51" t="s">
        <v>104</v>
      </c>
      <c r="AI231" s="51" t="s">
        <v>74</v>
      </c>
      <c r="AJ231" s="51" t="s">
        <v>74</v>
      </c>
      <c r="AK231" s="51" t="s">
        <v>74</v>
      </c>
      <c r="AL231" s="51" t="s">
        <v>74</v>
      </c>
      <c r="AM231" s="51" t="s">
        <v>74</v>
      </c>
      <c r="AN231" s="52">
        <v>0</v>
      </c>
      <c r="AO231" s="52">
        <v>0</v>
      </c>
      <c r="AP231" s="52">
        <v>0</v>
      </c>
      <c r="AQ231" s="52">
        <v>0</v>
      </c>
      <c r="AR231" s="52">
        <v>0</v>
      </c>
      <c r="AS231" s="52">
        <v>0</v>
      </c>
      <c r="AT231" s="70" t="s">
        <v>74</v>
      </c>
      <c r="AU231" s="52">
        <v>0</v>
      </c>
      <c r="AV231" s="52"/>
      <c r="AW231" s="52">
        <v>0</v>
      </c>
      <c r="AX231" s="52"/>
      <c r="AY231" s="52"/>
      <c r="AZ231" s="52">
        <v>0</v>
      </c>
      <c r="BA231" s="52">
        <v>0</v>
      </c>
      <c r="BB231" s="54" t="s">
        <v>74</v>
      </c>
      <c r="BC231" s="53" t="s">
        <v>74</v>
      </c>
      <c r="BD231" s="55" t="s">
        <v>74</v>
      </c>
      <c r="BE231" s="55" t="s">
        <v>74</v>
      </c>
      <c r="BF231" s="55" t="s">
        <v>74</v>
      </c>
      <c r="BG231" s="55" t="s">
        <v>74</v>
      </c>
      <c r="BH231" s="52">
        <v>0</v>
      </c>
      <c r="BI231" s="52">
        <v>6411657.3200000003</v>
      </c>
      <c r="BJ231" s="52">
        <v>6411657.3200000003</v>
      </c>
      <c r="BK231" s="56">
        <v>43009</v>
      </c>
      <c r="BL231" s="57">
        <v>6411657.3200000003</v>
      </c>
      <c r="BM231" s="47">
        <v>0</v>
      </c>
      <c r="BN231" s="9"/>
      <c r="BO231" s="9"/>
      <c r="BP231" s="9"/>
      <c r="BQ231" s="9"/>
      <c r="BR231" s="9"/>
      <c r="BS231" s="9"/>
      <c r="BT231" s="9"/>
      <c r="BU231" s="9"/>
      <c r="BV231" s="9"/>
      <c r="BW231" s="9"/>
    </row>
    <row r="232" spans="1:75" ht="128.25" hidden="1" outlineLevel="2" x14ac:dyDescent="0.25">
      <c r="A232" s="43" t="s">
        <v>346</v>
      </c>
      <c r="B232" s="110" t="s">
        <v>347</v>
      </c>
      <c r="C232" s="45">
        <v>2017</v>
      </c>
      <c r="D232" s="46" t="s">
        <v>90</v>
      </c>
      <c r="E232" s="47">
        <v>0</v>
      </c>
      <c r="F232" s="47">
        <v>0</v>
      </c>
      <c r="G232" s="47">
        <v>0</v>
      </c>
      <c r="H232" s="47">
        <v>0</v>
      </c>
      <c r="I232" s="47">
        <v>0</v>
      </c>
      <c r="J232" s="47">
        <v>0</v>
      </c>
      <c r="K232" s="47">
        <v>0</v>
      </c>
      <c r="L232" s="47">
        <v>0</v>
      </c>
      <c r="M232" s="47">
        <v>0</v>
      </c>
      <c r="N232" s="47">
        <v>0</v>
      </c>
      <c r="O232" s="47">
        <v>9817202.3800000008</v>
      </c>
      <c r="P232" s="47">
        <v>0</v>
      </c>
      <c r="Q232" s="47">
        <v>0</v>
      </c>
      <c r="R232" s="47">
        <v>0</v>
      </c>
      <c r="S232" s="47">
        <v>0</v>
      </c>
      <c r="T232" s="47">
        <v>0</v>
      </c>
      <c r="U232" s="47">
        <v>0</v>
      </c>
      <c r="V232" s="47">
        <v>0</v>
      </c>
      <c r="W232" s="47">
        <v>0</v>
      </c>
      <c r="X232" s="47">
        <v>0</v>
      </c>
      <c r="Y232" s="48">
        <v>9817202.3800000008</v>
      </c>
      <c r="Z232" s="58">
        <v>4484399.7699999996</v>
      </c>
      <c r="AA232" s="50">
        <v>4484399.7699999996</v>
      </c>
      <c r="AB232" s="50">
        <v>0</v>
      </c>
      <c r="AC232" s="50">
        <v>0</v>
      </c>
      <c r="AD232" s="50">
        <v>46338.38</v>
      </c>
      <c r="AE232" s="50">
        <v>0</v>
      </c>
      <c r="AF232" s="50">
        <v>0</v>
      </c>
      <c r="AG232" s="49">
        <v>4530738.1500000004</v>
      </c>
      <c r="AH232" s="51" t="s">
        <v>278</v>
      </c>
      <c r="AI232" s="51" t="s">
        <v>74</v>
      </c>
      <c r="AJ232" s="51" t="s">
        <v>74</v>
      </c>
      <c r="AK232" s="51" t="s">
        <v>353</v>
      </c>
      <c r="AL232" s="51" t="s">
        <v>74</v>
      </c>
      <c r="AM232" s="51" t="s">
        <v>74</v>
      </c>
      <c r="AN232" s="52">
        <v>0</v>
      </c>
      <c r="AO232" s="52">
        <v>0</v>
      </c>
      <c r="AP232" s="52">
        <v>0</v>
      </c>
      <c r="AQ232" s="52">
        <v>0</v>
      </c>
      <c r="AR232" s="52">
        <v>0</v>
      </c>
      <c r="AS232" s="52">
        <v>0</v>
      </c>
      <c r="AT232" s="70" t="s">
        <v>74</v>
      </c>
      <c r="AU232" s="52">
        <v>0</v>
      </c>
      <c r="AV232" s="52"/>
      <c r="AW232" s="52">
        <v>0</v>
      </c>
      <c r="AX232" s="52"/>
      <c r="AY232" s="52"/>
      <c r="AZ232" s="52">
        <v>0</v>
      </c>
      <c r="BA232" s="52">
        <v>0</v>
      </c>
      <c r="BB232" s="54" t="s">
        <v>74</v>
      </c>
      <c r="BC232" s="53" t="s">
        <v>74</v>
      </c>
      <c r="BD232" s="55" t="s">
        <v>74</v>
      </c>
      <c r="BE232" s="55" t="s">
        <v>74</v>
      </c>
      <c r="BF232" s="55" t="s">
        <v>74</v>
      </c>
      <c r="BG232" s="55" t="s">
        <v>74</v>
      </c>
      <c r="BH232" s="52">
        <v>0</v>
      </c>
      <c r="BI232" s="52">
        <v>5286464.2300000004</v>
      </c>
      <c r="BJ232" s="52">
        <v>5286464.2300000004</v>
      </c>
      <c r="BK232" s="56">
        <v>43040</v>
      </c>
      <c r="BL232" s="57">
        <v>5286464.2300000004</v>
      </c>
      <c r="BM232" s="47">
        <v>0</v>
      </c>
      <c r="BN232" s="9"/>
      <c r="BO232" s="9"/>
      <c r="BP232" s="9"/>
      <c r="BQ232" s="9"/>
      <c r="BR232" s="9"/>
      <c r="BS232" s="9"/>
      <c r="BT232" s="9"/>
      <c r="BU232" s="9"/>
      <c r="BV232" s="9"/>
      <c r="BW232" s="9"/>
    </row>
    <row r="233" spans="1:75" ht="139.5" hidden="1" customHeight="1" outlineLevel="2" x14ac:dyDescent="0.25">
      <c r="A233" s="43" t="s">
        <v>346</v>
      </c>
      <c r="B233" s="110" t="s">
        <v>347</v>
      </c>
      <c r="C233" s="45">
        <v>2017</v>
      </c>
      <c r="D233" s="46" t="s">
        <v>93</v>
      </c>
      <c r="E233" s="47">
        <v>0</v>
      </c>
      <c r="F233" s="47">
        <v>0</v>
      </c>
      <c r="G233" s="47">
        <v>0</v>
      </c>
      <c r="H233" s="47">
        <v>0</v>
      </c>
      <c r="I233" s="47">
        <v>0</v>
      </c>
      <c r="J233" s="47">
        <v>0</v>
      </c>
      <c r="K233" s="47">
        <v>0</v>
      </c>
      <c r="L233" s="47">
        <v>0</v>
      </c>
      <c r="M233" s="47">
        <v>0</v>
      </c>
      <c r="N233" s="47">
        <v>0</v>
      </c>
      <c r="O233" s="47">
        <v>9817202.3800000008</v>
      </c>
      <c r="P233" s="47">
        <v>0</v>
      </c>
      <c r="Q233" s="47">
        <v>0</v>
      </c>
      <c r="R233" s="47">
        <v>0</v>
      </c>
      <c r="S233" s="47">
        <v>0</v>
      </c>
      <c r="T233" s="47">
        <v>0</v>
      </c>
      <c r="U233" s="47">
        <v>0</v>
      </c>
      <c r="V233" s="47">
        <v>0</v>
      </c>
      <c r="W233" s="47">
        <v>0</v>
      </c>
      <c r="X233" s="47">
        <v>0</v>
      </c>
      <c r="Y233" s="48">
        <v>9817202.3800000008</v>
      </c>
      <c r="Z233" s="58">
        <v>3090908.39</v>
      </c>
      <c r="AA233" s="50">
        <v>3090908.39</v>
      </c>
      <c r="AB233" s="50">
        <v>0</v>
      </c>
      <c r="AC233" s="50">
        <v>0</v>
      </c>
      <c r="AD233" s="50">
        <v>65346.57</v>
      </c>
      <c r="AE233" s="50">
        <v>0</v>
      </c>
      <c r="AF233" s="50">
        <v>111000</v>
      </c>
      <c r="AG233" s="49">
        <v>3267254.96</v>
      </c>
      <c r="AH233" s="51" t="s">
        <v>104</v>
      </c>
      <c r="AI233" s="51" t="s">
        <v>74</v>
      </c>
      <c r="AJ233" s="51" t="s">
        <v>74</v>
      </c>
      <c r="AK233" s="51" t="s">
        <v>354</v>
      </c>
      <c r="AL233" s="51" t="s">
        <v>74</v>
      </c>
      <c r="AM233" s="51" t="s">
        <v>355</v>
      </c>
      <c r="AN233" s="52">
        <v>0</v>
      </c>
      <c r="AO233" s="52">
        <v>0</v>
      </c>
      <c r="AP233" s="52"/>
      <c r="AQ233" s="52">
        <v>0</v>
      </c>
      <c r="AR233" s="52">
        <v>0</v>
      </c>
      <c r="AS233" s="52">
        <v>0</v>
      </c>
      <c r="AT233" s="70" t="s">
        <v>74</v>
      </c>
      <c r="AU233" s="52">
        <v>0</v>
      </c>
      <c r="AV233" s="52"/>
      <c r="AW233" s="52">
        <v>497050</v>
      </c>
      <c r="AX233" s="52"/>
      <c r="AY233" s="52"/>
      <c r="AZ233" s="52">
        <v>0</v>
      </c>
      <c r="BA233" s="52">
        <v>497050</v>
      </c>
      <c r="BB233" s="54" t="s">
        <v>74</v>
      </c>
      <c r="BC233" s="53" t="s">
        <v>74</v>
      </c>
      <c r="BD233" s="55" t="s">
        <v>356</v>
      </c>
      <c r="BE233" s="55" t="s">
        <v>74</v>
      </c>
      <c r="BF233" s="55" t="s">
        <v>74</v>
      </c>
      <c r="BG233" s="55" t="s">
        <v>74</v>
      </c>
      <c r="BH233" s="52">
        <v>497050</v>
      </c>
      <c r="BI233" s="52">
        <v>7046997.4199999999</v>
      </c>
      <c r="BJ233" s="52">
        <v>6660947.4199999999</v>
      </c>
      <c r="BK233" s="56">
        <v>43070</v>
      </c>
      <c r="BL233" s="57">
        <v>7046997.4199999999</v>
      </c>
      <c r="BM233" s="47">
        <v>0</v>
      </c>
      <c r="BN233" s="9"/>
      <c r="BO233" s="9"/>
      <c r="BP233" s="9"/>
      <c r="BQ233" s="9"/>
      <c r="BR233" s="9"/>
      <c r="BS233" s="9"/>
      <c r="BT233" s="9"/>
      <c r="BU233" s="9"/>
      <c r="BV233" s="9"/>
      <c r="BW233" s="9"/>
    </row>
    <row r="234" spans="1:75" ht="26.25" hidden="1" outlineLevel="2" x14ac:dyDescent="0.25">
      <c r="A234" s="43" t="s">
        <v>346</v>
      </c>
      <c r="B234" s="110" t="s">
        <v>347</v>
      </c>
      <c r="C234" s="45">
        <v>2018</v>
      </c>
      <c r="D234" s="46" t="s">
        <v>73</v>
      </c>
      <c r="E234" s="47">
        <v>0</v>
      </c>
      <c r="F234" s="47">
        <v>0</v>
      </c>
      <c r="G234" s="47">
        <v>0</v>
      </c>
      <c r="H234" s="47">
        <v>0</v>
      </c>
      <c r="I234" s="47">
        <v>0</v>
      </c>
      <c r="J234" s="47">
        <v>0</v>
      </c>
      <c r="K234" s="47">
        <v>0</v>
      </c>
      <c r="L234" s="47">
        <v>0</v>
      </c>
      <c r="M234" s="47">
        <v>0</v>
      </c>
      <c r="N234" s="47">
        <v>0</v>
      </c>
      <c r="O234" s="47">
        <v>9817202.3800000008</v>
      </c>
      <c r="P234" s="47">
        <v>0</v>
      </c>
      <c r="Q234" s="47">
        <v>0</v>
      </c>
      <c r="R234" s="47">
        <v>0</v>
      </c>
      <c r="S234" s="47">
        <v>0</v>
      </c>
      <c r="T234" s="47">
        <v>0</v>
      </c>
      <c r="U234" s="47">
        <v>0</v>
      </c>
      <c r="V234" s="47">
        <v>0</v>
      </c>
      <c r="W234" s="47">
        <v>0</v>
      </c>
      <c r="X234" s="47">
        <v>0</v>
      </c>
      <c r="Y234" s="48">
        <v>9817202.3800000008</v>
      </c>
      <c r="Z234" s="58">
        <v>3300663.59</v>
      </c>
      <c r="AA234" s="50">
        <v>3300663.59</v>
      </c>
      <c r="AB234" s="50">
        <v>0</v>
      </c>
      <c r="AC234" s="50">
        <v>0</v>
      </c>
      <c r="AD234" s="50">
        <v>46746.35</v>
      </c>
      <c r="AE234" s="50">
        <v>0</v>
      </c>
      <c r="AF234" s="50">
        <v>0</v>
      </c>
      <c r="AG234" s="49">
        <v>3347409.94</v>
      </c>
      <c r="AH234" s="51" t="s">
        <v>104</v>
      </c>
      <c r="AI234" s="51" t="s">
        <v>74</v>
      </c>
      <c r="AJ234" s="51" t="s">
        <v>74</v>
      </c>
      <c r="AK234" s="51" t="s">
        <v>97</v>
      </c>
      <c r="AL234" s="51" t="s">
        <v>74</v>
      </c>
      <c r="AM234" s="51" t="s">
        <v>74</v>
      </c>
      <c r="AN234" s="52">
        <v>0</v>
      </c>
      <c r="AO234" s="52">
        <v>0</v>
      </c>
      <c r="AP234" s="52">
        <v>0</v>
      </c>
      <c r="AQ234" s="52">
        <v>0</v>
      </c>
      <c r="AR234" s="52">
        <v>0</v>
      </c>
      <c r="AS234" s="52">
        <v>0</v>
      </c>
      <c r="AT234" s="70" t="s">
        <v>74</v>
      </c>
      <c r="AU234" s="52">
        <v>0</v>
      </c>
      <c r="AV234" s="52"/>
      <c r="AW234" s="52">
        <v>0</v>
      </c>
      <c r="AX234" s="52"/>
      <c r="AY234" s="52"/>
      <c r="AZ234" s="52">
        <v>0</v>
      </c>
      <c r="BA234" s="52">
        <v>0</v>
      </c>
      <c r="BB234" s="54" t="s">
        <v>74</v>
      </c>
      <c r="BC234" s="53" t="s">
        <v>74</v>
      </c>
      <c r="BD234" s="55" t="s">
        <v>74</v>
      </c>
      <c r="BE234" s="55" t="s">
        <v>74</v>
      </c>
      <c r="BF234" s="55" t="s">
        <v>74</v>
      </c>
      <c r="BG234" s="55" t="s">
        <v>74</v>
      </c>
      <c r="BH234" s="52">
        <v>0</v>
      </c>
      <c r="BI234" s="52">
        <v>6469792.4400000004</v>
      </c>
      <c r="BJ234" s="52">
        <v>6469792.4400000004</v>
      </c>
      <c r="BK234" s="56">
        <v>43101</v>
      </c>
      <c r="BL234" s="57">
        <v>6469792.4400000004</v>
      </c>
      <c r="BM234" s="47">
        <v>0</v>
      </c>
      <c r="BN234" s="9"/>
      <c r="BO234" s="9"/>
      <c r="BP234" s="9"/>
      <c r="BQ234" s="9"/>
      <c r="BR234" s="9"/>
      <c r="BS234" s="9"/>
      <c r="BT234" s="9"/>
      <c r="BU234" s="9"/>
      <c r="BV234" s="9"/>
      <c r="BW234" s="9"/>
    </row>
    <row r="235" spans="1:75" ht="86.25" hidden="1" customHeight="1" outlineLevel="2" x14ac:dyDescent="0.25">
      <c r="A235" s="43" t="s">
        <v>346</v>
      </c>
      <c r="B235" s="110" t="s">
        <v>347</v>
      </c>
      <c r="C235" s="45">
        <v>2018</v>
      </c>
      <c r="D235" s="46" t="s">
        <v>75</v>
      </c>
      <c r="E235" s="47">
        <v>0</v>
      </c>
      <c r="F235" s="47">
        <v>0</v>
      </c>
      <c r="G235" s="47">
        <v>0</v>
      </c>
      <c r="H235" s="47">
        <v>0</v>
      </c>
      <c r="I235" s="47">
        <v>0</v>
      </c>
      <c r="J235" s="47">
        <v>0</v>
      </c>
      <c r="K235" s="47">
        <v>0</v>
      </c>
      <c r="L235" s="47">
        <v>0</v>
      </c>
      <c r="M235" s="47">
        <v>0</v>
      </c>
      <c r="N235" s="47">
        <v>0</v>
      </c>
      <c r="O235" s="47">
        <v>9817202.3800000008</v>
      </c>
      <c r="P235" s="47">
        <v>0</v>
      </c>
      <c r="Q235" s="47">
        <v>0</v>
      </c>
      <c r="R235" s="47">
        <v>0</v>
      </c>
      <c r="S235" s="47">
        <v>0</v>
      </c>
      <c r="T235" s="47">
        <v>0</v>
      </c>
      <c r="U235" s="47">
        <v>0</v>
      </c>
      <c r="V235" s="47">
        <v>0</v>
      </c>
      <c r="W235" s="47">
        <v>0</v>
      </c>
      <c r="X235" s="47">
        <v>0</v>
      </c>
      <c r="Y235" s="48">
        <v>9817202.3800000008</v>
      </c>
      <c r="Z235" s="58">
        <v>3268056.73</v>
      </c>
      <c r="AA235" s="50">
        <v>3268056.73</v>
      </c>
      <c r="AB235" s="50">
        <v>0</v>
      </c>
      <c r="AC235" s="50">
        <v>0</v>
      </c>
      <c r="AD235" s="50">
        <v>45908.09</v>
      </c>
      <c r="AE235" s="50">
        <v>0</v>
      </c>
      <c r="AF235" s="50">
        <v>35500</v>
      </c>
      <c r="AG235" s="49">
        <v>3349464.82</v>
      </c>
      <c r="AH235" s="51" t="s">
        <v>104</v>
      </c>
      <c r="AI235" s="51" t="s">
        <v>74</v>
      </c>
      <c r="AJ235" s="51" t="s">
        <v>74</v>
      </c>
      <c r="AK235" s="51" t="s">
        <v>99</v>
      </c>
      <c r="AL235" s="51" t="s">
        <v>74</v>
      </c>
      <c r="AM235" s="51" t="s">
        <v>357</v>
      </c>
      <c r="AN235" s="52">
        <v>0</v>
      </c>
      <c r="AO235" s="52">
        <v>0</v>
      </c>
      <c r="AP235" s="52">
        <v>0</v>
      </c>
      <c r="AQ235" s="52">
        <v>0</v>
      </c>
      <c r="AR235" s="52">
        <v>0</v>
      </c>
      <c r="AS235" s="52">
        <v>0</v>
      </c>
      <c r="AT235" s="70" t="s">
        <v>74</v>
      </c>
      <c r="AU235" s="52">
        <v>0</v>
      </c>
      <c r="AV235" s="52"/>
      <c r="AW235" s="52">
        <v>35500</v>
      </c>
      <c r="AX235" s="52"/>
      <c r="AY235" s="52"/>
      <c r="AZ235" s="52">
        <v>0</v>
      </c>
      <c r="BA235" s="52">
        <v>35500</v>
      </c>
      <c r="BB235" s="54" t="s">
        <v>74</v>
      </c>
      <c r="BC235" s="53" t="s">
        <v>74</v>
      </c>
      <c r="BD235" s="55" t="s">
        <v>358</v>
      </c>
      <c r="BE235" s="55" t="s">
        <v>74</v>
      </c>
      <c r="BF235" s="55" t="s">
        <v>74</v>
      </c>
      <c r="BG235" s="55" t="s">
        <v>74</v>
      </c>
      <c r="BH235" s="52">
        <v>35500</v>
      </c>
      <c r="BI235" s="52">
        <v>6503237.5599999996</v>
      </c>
      <c r="BJ235" s="52">
        <v>6503237.5599999996</v>
      </c>
      <c r="BK235" s="56">
        <v>43132</v>
      </c>
      <c r="BL235" s="57">
        <v>6503237.5599999996</v>
      </c>
      <c r="BM235" s="47">
        <v>0</v>
      </c>
      <c r="BN235" s="9"/>
      <c r="BO235" s="9"/>
      <c r="BP235" s="9"/>
      <c r="BQ235" s="9"/>
      <c r="BR235" s="9"/>
      <c r="BS235" s="9"/>
      <c r="BT235" s="9"/>
      <c r="BU235" s="9"/>
      <c r="BV235" s="9"/>
      <c r="BW235" s="9"/>
    </row>
    <row r="236" spans="1:75" ht="26.25" hidden="1" outlineLevel="2" x14ac:dyDescent="0.25">
      <c r="A236" s="43" t="s">
        <v>346</v>
      </c>
      <c r="B236" s="110" t="s">
        <v>347</v>
      </c>
      <c r="C236" s="45">
        <v>2018</v>
      </c>
      <c r="D236" s="46" t="s">
        <v>77</v>
      </c>
      <c r="E236" s="47">
        <v>0</v>
      </c>
      <c r="F236" s="47">
        <v>0</v>
      </c>
      <c r="G236" s="47">
        <v>0</v>
      </c>
      <c r="H236" s="47">
        <v>0</v>
      </c>
      <c r="I236" s="47">
        <v>0</v>
      </c>
      <c r="J236" s="47">
        <v>0</v>
      </c>
      <c r="K236" s="47">
        <v>0</v>
      </c>
      <c r="L236" s="47">
        <v>0</v>
      </c>
      <c r="M236" s="47">
        <v>0</v>
      </c>
      <c r="N236" s="47">
        <v>0</v>
      </c>
      <c r="O236" s="47">
        <v>9817202.3800000008</v>
      </c>
      <c r="P236" s="47">
        <v>0</v>
      </c>
      <c r="Q236" s="47">
        <v>0</v>
      </c>
      <c r="R236" s="47">
        <v>0</v>
      </c>
      <c r="S236" s="47">
        <v>0</v>
      </c>
      <c r="T236" s="47">
        <v>0</v>
      </c>
      <c r="U236" s="47">
        <v>0</v>
      </c>
      <c r="V236" s="47">
        <v>0</v>
      </c>
      <c r="W236" s="47">
        <v>0</v>
      </c>
      <c r="X236" s="47">
        <v>0</v>
      </c>
      <c r="Y236" s="48">
        <v>9817202.3800000008</v>
      </c>
      <c r="Z236" s="58">
        <v>3146161.01</v>
      </c>
      <c r="AA236" s="50">
        <v>3146161.01</v>
      </c>
      <c r="AB236" s="50">
        <v>0</v>
      </c>
      <c r="AC236" s="50">
        <v>0</v>
      </c>
      <c r="AD236" s="50">
        <v>47290.04</v>
      </c>
      <c r="AE236" s="50">
        <v>0</v>
      </c>
      <c r="AF236" s="50">
        <v>0</v>
      </c>
      <c r="AG236" s="49">
        <v>3193451.05</v>
      </c>
      <c r="AH236" s="51" t="s">
        <v>104</v>
      </c>
      <c r="AI236" s="51" t="s">
        <v>74</v>
      </c>
      <c r="AJ236" s="51" t="s">
        <v>74</v>
      </c>
      <c r="AK236" s="51" t="s">
        <v>102</v>
      </c>
      <c r="AL236" s="51" t="s">
        <v>74</v>
      </c>
      <c r="AM236" s="51" t="s">
        <v>74</v>
      </c>
      <c r="AN236" s="52">
        <v>0</v>
      </c>
      <c r="AO236" s="52">
        <v>0</v>
      </c>
      <c r="AP236" s="52">
        <v>0</v>
      </c>
      <c r="AQ236" s="52">
        <v>0</v>
      </c>
      <c r="AR236" s="52">
        <v>0</v>
      </c>
      <c r="AS236" s="52">
        <v>0</v>
      </c>
      <c r="AT236" s="70" t="s">
        <v>74</v>
      </c>
      <c r="AU236" s="52">
        <v>0</v>
      </c>
      <c r="AV236" s="52"/>
      <c r="AW236" s="52">
        <v>0</v>
      </c>
      <c r="AX236" s="52"/>
      <c r="AY236" s="52"/>
      <c r="AZ236" s="52">
        <v>0</v>
      </c>
      <c r="BA236" s="52">
        <v>0</v>
      </c>
      <c r="BB236" s="54" t="s">
        <v>74</v>
      </c>
      <c r="BC236" s="53" t="s">
        <v>74</v>
      </c>
      <c r="BD236" s="55" t="s">
        <v>74</v>
      </c>
      <c r="BE236" s="55" t="s">
        <v>74</v>
      </c>
      <c r="BF236" s="55" t="s">
        <v>74</v>
      </c>
      <c r="BG236" s="55" t="s">
        <v>74</v>
      </c>
      <c r="BH236" s="52">
        <v>0</v>
      </c>
      <c r="BI236" s="52">
        <v>6623751.3300000001</v>
      </c>
      <c r="BJ236" s="52">
        <v>6623751.3300000001</v>
      </c>
      <c r="BK236" s="56">
        <v>43160</v>
      </c>
      <c r="BL236" s="57">
        <v>6623751.3300000001</v>
      </c>
      <c r="BM236" s="47">
        <v>0</v>
      </c>
      <c r="BN236" s="9"/>
      <c r="BO236" s="9"/>
      <c r="BP236" s="9"/>
      <c r="BQ236" s="9"/>
      <c r="BR236" s="9"/>
      <c r="BS236" s="9"/>
      <c r="BT236" s="9"/>
      <c r="BU236" s="9"/>
      <c r="BV236" s="9"/>
      <c r="BW236" s="9"/>
    </row>
    <row r="237" spans="1:75" ht="26.25" hidden="1" outlineLevel="2" x14ac:dyDescent="0.25">
      <c r="A237" s="43" t="s">
        <v>346</v>
      </c>
      <c r="B237" s="110" t="s">
        <v>347</v>
      </c>
      <c r="C237" s="45">
        <v>2018</v>
      </c>
      <c r="D237" s="46" t="s">
        <v>79</v>
      </c>
      <c r="E237" s="47">
        <v>0</v>
      </c>
      <c r="F237" s="47">
        <v>0</v>
      </c>
      <c r="G237" s="47">
        <v>0</v>
      </c>
      <c r="H237" s="47">
        <v>0</v>
      </c>
      <c r="I237" s="47">
        <v>0</v>
      </c>
      <c r="J237" s="47">
        <v>0</v>
      </c>
      <c r="K237" s="47">
        <v>0</v>
      </c>
      <c r="L237" s="47">
        <v>0</v>
      </c>
      <c r="M237" s="47">
        <v>0</v>
      </c>
      <c r="N237" s="47">
        <v>0</v>
      </c>
      <c r="O237" s="47">
        <v>9817202.3800000008</v>
      </c>
      <c r="P237" s="47">
        <v>0</v>
      </c>
      <c r="Q237" s="47">
        <v>0</v>
      </c>
      <c r="R237" s="47">
        <v>0</v>
      </c>
      <c r="S237" s="47">
        <v>0</v>
      </c>
      <c r="T237" s="47">
        <v>0</v>
      </c>
      <c r="U237" s="47">
        <v>0</v>
      </c>
      <c r="V237" s="47">
        <v>0</v>
      </c>
      <c r="W237" s="47">
        <v>0</v>
      </c>
      <c r="X237" s="47">
        <v>0</v>
      </c>
      <c r="Y237" s="48">
        <v>9817202.3800000008</v>
      </c>
      <c r="Z237" s="58">
        <v>3246192.38</v>
      </c>
      <c r="AA237" s="50">
        <v>3246192.38</v>
      </c>
      <c r="AB237" s="50">
        <v>0</v>
      </c>
      <c r="AC237" s="50">
        <v>0</v>
      </c>
      <c r="AD237" s="50">
        <v>48761.65</v>
      </c>
      <c r="AE237" s="50">
        <v>0</v>
      </c>
      <c r="AF237" s="50">
        <v>0</v>
      </c>
      <c r="AG237" s="49">
        <v>3294954.03</v>
      </c>
      <c r="AH237" s="51" t="s">
        <v>104</v>
      </c>
      <c r="AI237" s="51" t="s">
        <v>74</v>
      </c>
      <c r="AJ237" s="51" t="s">
        <v>74</v>
      </c>
      <c r="AK237" s="51" t="s">
        <v>106</v>
      </c>
      <c r="AL237" s="51" t="s">
        <v>74</v>
      </c>
      <c r="AM237" s="51" t="s">
        <v>74</v>
      </c>
      <c r="AN237" s="52">
        <v>0</v>
      </c>
      <c r="AO237" s="52">
        <v>0</v>
      </c>
      <c r="AP237" s="52">
        <v>0</v>
      </c>
      <c r="AQ237" s="52">
        <v>0</v>
      </c>
      <c r="AR237" s="52">
        <v>0</v>
      </c>
      <c r="AS237" s="52">
        <v>0</v>
      </c>
      <c r="AT237" s="70" t="s">
        <v>74</v>
      </c>
      <c r="AU237" s="52">
        <v>0</v>
      </c>
      <c r="AV237" s="52"/>
      <c r="AW237" s="52">
        <v>0</v>
      </c>
      <c r="AX237" s="52"/>
      <c r="AY237" s="52"/>
      <c r="AZ237" s="52">
        <v>0</v>
      </c>
      <c r="BA237" s="52">
        <v>0</v>
      </c>
      <c r="BB237" s="54" t="s">
        <v>74</v>
      </c>
      <c r="BC237" s="53" t="s">
        <v>74</v>
      </c>
      <c r="BD237" s="55" t="s">
        <v>74</v>
      </c>
      <c r="BE237" s="55" t="s">
        <v>74</v>
      </c>
      <c r="BF237" s="55" t="s">
        <v>74</v>
      </c>
      <c r="BG237" s="55" t="s">
        <v>74</v>
      </c>
      <c r="BH237" s="52">
        <v>0</v>
      </c>
      <c r="BI237" s="52">
        <v>6522248.3499999996</v>
      </c>
      <c r="BJ237" s="52">
        <v>6522248.3499999996</v>
      </c>
      <c r="BK237" s="56">
        <v>43191</v>
      </c>
      <c r="BL237" s="57">
        <v>6522248.3499999996</v>
      </c>
      <c r="BM237" s="47">
        <v>0</v>
      </c>
      <c r="BN237" s="9"/>
      <c r="BO237" s="9"/>
      <c r="BP237" s="9"/>
      <c r="BQ237" s="9"/>
      <c r="BR237" s="9"/>
      <c r="BS237" s="9"/>
      <c r="BT237" s="9"/>
      <c r="BU237" s="9"/>
      <c r="BV237" s="9"/>
      <c r="BW237" s="9"/>
    </row>
    <row r="238" spans="1:75" ht="26.25" hidden="1" outlineLevel="2" x14ac:dyDescent="0.25">
      <c r="A238" s="43" t="s">
        <v>346</v>
      </c>
      <c r="B238" s="110" t="s">
        <v>347</v>
      </c>
      <c r="C238" s="45">
        <v>2018</v>
      </c>
      <c r="D238" s="46" t="s">
        <v>81</v>
      </c>
      <c r="E238" s="47">
        <v>0</v>
      </c>
      <c r="F238" s="47">
        <v>0</v>
      </c>
      <c r="G238" s="47">
        <v>0</v>
      </c>
      <c r="H238" s="47">
        <v>0</v>
      </c>
      <c r="I238" s="47">
        <v>0</v>
      </c>
      <c r="J238" s="47">
        <v>0</v>
      </c>
      <c r="K238" s="47">
        <v>0</v>
      </c>
      <c r="L238" s="47">
        <v>0</v>
      </c>
      <c r="M238" s="47">
        <v>0</v>
      </c>
      <c r="N238" s="47">
        <v>0</v>
      </c>
      <c r="O238" s="47">
        <v>9817202.3800000008</v>
      </c>
      <c r="P238" s="47">
        <v>240228.64</v>
      </c>
      <c r="Q238" s="47">
        <v>0</v>
      </c>
      <c r="R238" s="47">
        <v>0</v>
      </c>
      <c r="S238" s="47">
        <v>0</v>
      </c>
      <c r="T238" s="47">
        <v>0</v>
      </c>
      <c r="U238" s="47">
        <v>0</v>
      </c>
      <c r="V238" s="47">
        <v>0</v>
      </c>
      <c r="W238" s="47">
        <v>0</v>
      </c>
      <c r="X238" s="47">
        <v>0</v>
      </c>
      <c r="Y238" s="48">
        <v>10057431.02</v>
      </c>
      <c r="Z238" s="58">
        <v>3123334.35</v>
      </c>
      <c r="AA238" s="50">
        <v>3123334.35</v>
      </c>
      <c r="AB238" s="50">
        <v>0</v>
      </c>
      <c r="AC238" s="50">
        <v>0</v>
      </c>
      <c r="AD238" s="50">
        <v>47459.41</v>
      </c>
      <c r="AE238" s="50">
        <v>0</v>
      </c>
      <c r="AF238" s="50">
        <v>0</v>
      </c>
      <c r="AG238" s="49">
        <v>3170793.76</v>
      </c>
      <c r="AH238" s="51" t="s">
        <v>104</v>
      </c>
      <c r="AI238" s="51" t="s">
        <v>74</v>
      </c>
      <c r="AJ238" s="51" t="s">
        <v>74</v>
      </c>
      <c r="AK238" s="51" t="s">
        <v>197</v>
      </c>
      <c r="AL238" s="51" t="s">
        <v>74</v>
      </c>
      <c r="AM238" s="51" t="s">
        <v>74</v>
      </c>
      <c r="AN238" s="52">
        <v>0</v>
      </c>
      <c r="AO238" s="52">
        <v>0</v>
      </c>
      <c r="AP238" s="52">
        <v>0</v>
      </c>
      <c r="AQ238" s="52">
        <v>0</v>
      </c>
      <c r="AR238" s="52">
        <v>0</v>
      </c>
      <c r="AS238" s="52">
        <v>0</v>
      </c>
      <c r="AT238" s="70" t="s">
        <v>74</v>
      </c>
      <c r="AU238" s="52">
        <v>0</v>
      </c>
      <c r="AV238" s="52"/>
      <c r="AW238" s="52">
        <v>0</v>
      </c>
      <c r="AX238" s="52"/>
      <c r="AY238" s="52"/>
      <c r="AZ238" s="52">
        <v>0</v>
      </c>
      <c r="BA238" s="52">
        <v>0</v>
      </c>
      <c r="BB238" s="54" t="s">
        <v>74</v>
      </c>
      <c r="BC238" s="53" t="s">
        <v>74</v>
      </c>
      <c r="BD238" s="55" t="s">
        <v>74</v>
      </c>
      <c r="BE238" s="55" t="s">
        <v>74</v>
      </c>
      <c r="BF238" s="55" t="s">
        <v>74</v>
      </c>
      <c r="BG238" s="55" t="s">
        <v>74</v>
      </c>
      <c r="BH238" s="52">
        <v>0</v>
      </c>
      <c r="BI238" s="52">
        <v>6886637.2599999998</v>
      </c>
      <c r="BJ238" s="52">
        <v>6886637.2599999998</v>
      </c>
      <c r="BK238" s="56">
        <v>43221</v>
      </c>
      <c r="BL238" s="57">
        <v>6886637.2599999998</v>
      </c>
      <c r="BM238" s="47">
        <v>0</v>
      </c>
      <c r="BN238" s="9"/>
      <c r="BO238" s="9"/>
      <c r="BP238" s="9"/>
      <c r="BQ238" s="9"/>
      <c r="BR238" s="9"/>
      <c r="BS238" s="9"/>
      <c r="BT238" s="9"/>
      <c r="BU238" s="9"/>
      <c r="BV238" s="9"/>
      <c r="BW238" s="9"/>
    </row>
    <row r="239" spans="1:75" ht="63" hidden="1" customHeight="1" outlineLevel="2" x14ac:dyDescent="0.25">
      <c r="A239" s="43" t="s">
        <v>346</v>
      </c>
      <c r="B239" s="110" t="s">
        <v>347</v>
      </c>
      <c r="C239" s="45">
        <v>2018</v>
      </c>
      <c r="D239" s="46" t="s">
        <v>83</v>
      </c>
      <c r="E239" s="47">
        <v>0</v>
      </c>
      <c r="F239" s="47">
        <v>0</v>
      </c>
      <c r="G239" s="47">
        <v>0</v>
      </c>
      <c r="H239" s="47">
        <v>0</v>
      </c>
      <c r="I239" s="47">
        <v>0</v>
      </c>
      <c r="J239" s="47">
        <v>0</v>
      </c>
      <c r="K239" s="47">
        <v>0</v>
      </c>
      <c r="L239" s="47">
        <v>0</v>
      </c>
      <c r="M239" s="47">
        <v>0</v>
      </c>
      <c r="N239" s="47">
        <v>0</v>
      </c>
      <c r="O239" s="47">
        <v>9162722.2200000007</v>
      </c>
      <c r="P239" s="47">
        <v>1057924.33</v>
      </c>
      <c r="Q239" s="47">
        <v>0</v>
      </c>
      <c r="R239" s="47">
        <v>0</v>
      </c>
      <c r="S239" s="47">
        <v>0</v>
      </c>
      <c r="T239" s="47">
        <v>0</v>
      </c>
      <c r="U239" s="47">
        <v>0</v>
      </c>
      <c r="V239" s="47">
        <v>0</v>
      </c>
      <c r="W239" s="47">
        <v>0</v>
      </c>
      <c r="X239" s="47">
        <v>0</v>
      </c>
      <c r="Y239" s="48">
        <v>10220646.550000001</v>
      </c>
      <c r="Z239" s="58">
        <v>3123787.04</v>
      </c>
      <c r="AA239" s="50">
        <v>3123787.04</v>
      </c>
      <c r="AB239" s="50">
        <v>0</v>
      </c>
      <c r="AC239" s="50">
        <v>0</v>
      </c>
      <c r="AD239" s="50">
        <v>44091.17</v>
      </c>
      <c r="AE239" s="50">
        <v>0</v>
      </c>
      <c r="AF239" s="50">
        <v>0</v>
      </c>
      <c r="AG239" s="49">
        <v>3167878.21</v>
      </c>
      <c r="AH239" s="51" t="s">
        <v>104</v>
      </c>
      <c r="AI239" s="51" t="s">
        <v>74</v>
      </c>
      <c r="AJ239" s="51" t="s">
        <v>74</v>
      </c>
      <c r="AK239" s="51" t="s">
        <v>112</v>
      </c>
      <c r="AL239" s="51" t="s">
        <v>74</v>
      </c>
      <c r="AM239" s="51" t="s">
        <v>74</v>
      </c>
      <c r="AN239" s="52">
        <v>0</v>
      </c>
      <c r="AO239" s="52">
        <v>0</v>
      </c>
      <c r="AP239" s="52"/>
      <c r="AQ239" s="52">
        <v>0</v>
      </c>
      <c r="AR239" s="52">
        <v>0</v>
      </c>
      <c r="AS239" s="52">
        <v>0</v>
      </c>
      <c r="AT239" s="70" t="s">
        <v>74</v>
      </c>
      <c r="AU239" s="52">
        <v>150971.03</v>
      </c>
      <c r="AV239" s="52"/>
      <c r="AW239" s="52">
        <v>0</v>
      </c>
      <c r="AX239" s="52"/>
      <c r="AY239" s="52"/>
      <c r="AZ239" s="52">
        <v>0</v>
      </c>
      <c r="BA239" s="52">
        <v>150971.03</v>
      </c>
      <c r="BB239" s="55" t="s">
        <v>359</v>
      </c>
      <c r="BC239" s="51" t="s">
        <v>74</v>
      </c>
      <c r="BD239" s="54" t="s">
        <v>74</v>
      </c>
      <c r="BE239" s="54" t="s">
        <v>74</v>
      </c>
      <c r="BF239" s="54" t="s">
        <v>74</v>
      </c>
      <c r="BG239" s="54" t="s">
        <v>74</v>
      </c>
      <c r="BH239" s="52">
        <v>150971.03</v>
      </c>
      <c r="BI239" s="52">
        <v>7203739.3700000001</v>
      </c>
      <c r="BJ239" s="52">
        <v>7052768.3399999999</v>
      </c>
      <c r="BK239" s="56">
        <v>43252</v>
      </c>
      <c r="BL239" s="57">
        <v>7203739.3700000001</v>
      </c>
      <c r="BM239" s="47">
        <v>0</v>
      </c>
      <c r="BN239" s="9"/>
      <c r="BO239" s="9"/>
      <c r="BP239" s="9"/>
      <c r="BQ239" s="9"/>
      <c r="BR239" s="9"/>
      <c r="BS239" s="9"/>
      <c r="BT239" s="9"/>
      <c r="BU239" s="9"/>
      <c r="BV239" s="9"/>
      <c r="BW239" s="9"/>
    </row>
    <row r="240" spans="1:75" ht="166.5" hidden="1" outlineLevel="2" x14ac:dyDescent="0.25">
      <c r="A240" s="43" t="s">
        <v>346</v>
      </c>
      <c r="B240" s="110" t="s">
        <v>347</v>
      </c>
      <c r="C240" s="45">
        <v>2018</v>
      </c>
      <c r="D240" s="46" t="s">
        <v>84</v>
      </c>
      <c r="E240" s="47">
        <v>0</v>
      </c>
      <c r="F240" s="47">
        <v>0</v>
      </c>
      <c r="G240" s="47">
        <v>0</v>
      </c>
      <c r="H240" s="47">
        <v>0</v>
      </c>
      <c r="I240" s="47">
        <v>0</v>
      </c>
      <c r="J240" s="47">
        <v>0</v>
      </c>
      <c r="K240" s="47">
        <v>0</v>
      </c>
      <c r="L240" s="47">
        <v>0</v>
      </c>
      <c r="M240" s="47">
        <v>0</v>
      </c>
      <c r="N240" s="47">
        <v>0</v>
      </c>
      <c r="O240" s="47">
        <v>0</v>
      </c>
      <c r="P240" s="47">
        <v>16015285.630000001</v>
      </c>
      <c r="Q240" s="47">
        <v>0</v>
      </c>
      <c r="R240" s="47">
        <v>0</v>
      </c>
      <c r="S240" s="47">
        <v>0</v>
      </c>
      <c r="T240" s="47">
        <v>0</v>
      </c>
      <c r="U240" s="47">
        <v>0</v>
      </c>
      <c r="V240" s="47">
        <v>0</v>
      </c>
      <c r="W240" s="47">
        <v>0</v>
      </c>
      <c r="X240" s="47">
        <v>0</v>
      </c>
      <c r="Y240" s="48">
        <v>16015285.630000001</v>
      </c>
      <c r="Z240" s="58">
        <v>3002059.57</v>
      </c>
      <c r="AA240" s="50">
        <v>3002059.57</v>
      </c>
      <c r="AB240" s="50">
        <v>0</v>
      </c>
      <c r="AC240" s="50">
        <v>0</v>
      </c>
      <c r="AD240" s="50">
        <v>40619.879999999997</v>
      </c>
      <c r="AE240" s="50">
        <v>0</v>
      </c>
      <c r="AF240" s="50">
        <v>3509621.57</v>
      </c>
      <c r="AG240" s="49">
        <v>6552301.0199999996</v>
      </c>
      <c r="AH240" s="51" t="s">
        <v>104</v>
      </c>
      <c r="AI240" s="51" t="s">
        <v>74</v>
      </c>
      <c r="AJ240" s="51" t="s">
        <v>74</v>
      </c>
      <c r="AK240" s="51" t="s">
        <v>115</v>
      </c>
      <c r="AL240" s="51" t="s">
        <v>74</v>
      </c>
      <c r="AM240" s="51" t="s">
        <v>360</v>
      </c>
      <c r="AN240" s="52">
        <v>0</v>
      </c>
      <c r="AO240" s="52">
        <v>0</v>
      </c>
      <c r="AP240" s="52">
        <v>0</v>
      </c>
      <c r="AQ240" s="52">
        <v>0</v>
      </c>
      <c r="AR240" s="52">
        <v>0</v>
      </c>
      <c r="AS240" s="52">
        <v>0</v>
      </c>
      <c r="AT240" s="70" t="s">
        <v>74</v>
      </c>
      <c r="AU240" s="52">
        <v>0</v>
      </c>
      <c r="AV240" s="52"/>
      <c r="AW240" s="52">
        <v>0</v>
      </c>
      <c r="AX240" s="52"/>
      <c r="AY240" s="52"/>
      <c r="AZ240" s="52">
        <v>0</v>
      </c>
      <c r="BA240" s="52">
        <v>0</v>
      </c>
      <c r="BB240" s="54" t="s">
        <v>74</v>
      </c>
      <c r="BC240" s="53" t="s">
        <v>74</v>
      </c>
      <c r="BD240" s="55" t="s">
        <v>74</v>
      </c>
      <c r="BE240" s="55" t="s">
        <v>74</v>
      </c>
      <c r="BF240" s="55" t="s">
        <v>74</v>
      </c>
      <c r="BG240" s="55" t="s">
        <v>74</v>
      </c>
      <c r="BH240" s="52">
        <v>0</v>
      </c>
      <c r="BI240" s="52">
        <v>9462984.6099999994</v>
      </c>
      <c r="BJ240" s="52">
        <v>9462984.6099999994</v>
      </c>
      <c r="BK240" s="56">
        <v>43282</v>
      </c>
      <c r="BL240" s="57">
        <v>9462984.6099999994</v>
      </c>
      <c r="BM240" s="47">
        <v>0</v>
      </c>
      <c r="BN240" s="9"/>
      <c r="BO240" s="9"/>
      <c r="BP240" s="9"/>
      <c r="BQ240" s="9"/>
      <c r="BR240" s="9"/>
      <c r="BS240" s="9"/>
      <c r="BT240" s="9"/>
      <c r="BU240" s="9"/>
      <c r="BV240" s="9"/>
      <c r="BW240" s="9"/>
    </row>
    <row r="241" spans="1:75" ht="26.25" hidden="1" outlineLevel="2" x14ac:dyDescent="0.25">
      <c r="A241" s="43" t="s">
        <v>346</v>
      </c>
      <c r="B241" s="110" t="s">
        <v>347</v>
      </c>
      <c r="C241" s="45">
        <v>2018</v>
      </c>
      <c r="D241" s="46" t="s">
        <v>86</v>
      </c>
      <c r="E241" s="47">
        <v>0</v>
      </c>
      <c r="F241" s="47">
        <v>0</v>
      </c>
      <c r="G241" s="47">
        <v>0</v>
      </c>
      <c r="H241" s="47">
        <v>0</v>
      </c>
      <c r="I241" s="47">
        <v>0</v>
      </c>
      <c r="J241" s="47">
        <v>0</v>
      </c>
      <c r="K241" s="47">
        <v>0</v>
      </c>
      <c r="L241" s="47">
        <v>0</v>
      </c>
      <c r="M241" s="47">
        <v>0</v>
      </c>
      <c r="N241" s="47">
        <v>0</v>
      </c>
      <c r="O241" s="47">
        <v>0</v>
      </c>
      <c r="P241" s="47">
        <v>12505664.060000001</v>
      </c>
      <c r="Q241" s="47">
        <v>0</v>
      </c>
      <c r="R241" s="47">
        <v>0</v>
      </c>
      <c r="S241" s="47">
        <v>0</v>
      </c>
      <c r="T241" s="47">
        <v>0</v>
      </c>
      <c r="U241" s="47">
        <v>0</v>
      </c>
      <c r="V241" s="47">
        <v>0</v>
      </c>
      <c r="W241" s="47">
        <v>0</v>
      </c>
      <c r="X241" s="47">
        <v>0</v>
      </c>
      <c r="Y241" s="48">
        <v>12505664.060000001</v>
      </c>
      <c r="Z241" s="58">
        <v>3054431.06</v>
      </c>
      <c r="AA241" s="50">
        <v>3054431.06</v>
      </c>
      <c r="AB241" s="50">
        <v>0</v>
      </c>
      <c r="AC241" s="50">
        <v>0</v>
      </c>
      <c r="AD241" s="50">
        <v>35838.11</v>
      </c>
      <c r="AE241" s="50">
        <v>0</v>
      </c>
      <c r="AF241" s="50">
        <v>0</v>
      </c>
      <c r="AG241" s="49">
        <v>3090269.17</v>
      </c>
      <c r="AH241" s="51" t="s">
        <v>104</v>
      </c>
      <c r="AI241" s="51" t="s">
        <v>74</v>
      </c>
      <c r="AJ241" s="51" t="s">
        <v>74</v>
      </c>
      <c r="AK241" s="51" t="s">
        <v>118</v>
      </c>
      <c r="AL241" s="51" t="s">
        <v>74</v>
      </c>
      <c r="AM241" s="51" t="s">
        <v>74</v>
      </c>
      <c r="AN241" s="52">
        <v>0</v>
      </c>
      <c r="AO241" s="52">
        <v>0</v>
      </c>
      <c r="AP241" s="52">
        <v>0</v>
      </c>
      <c r="AQ241" s="52">
        <v>0</v>
      </c>
      <c r="AR241" s="52">
        <v>0</v>
      </c>
      <c r="AS241" s="52">
        <v>0</v>
      </c>
      <c r="AT241" s="70" t="s">
        <v>74</v>
      </c>
      <c r="AU241" s="52">
        <v>0</v>
      </c>
      <c r="AV241" s="52"/>
      <c r="AW241" s="52">
        <v>0</v>
      </c>
      <c r="AX241" s="52"/>
      <c r="AY241" s="52"/>
      <c r="AZ241" s="52">
        <v>0</v>
      </c>
      <c r="BA241" s="52">
        <v>0</v>
      </c>
      <c r="BB241" s="54" t="s">
        <v>74</v>
      </c>
      <c r="BC241" s="53" t="s">
        <v>74</v>
      </c>
      <c r="BD241" s="55" t="s">
        <v>74</v>
      </c>
      <c r="BE241" s="55" t="s">
        <v>74</v>
      </c>
      <c r="BF241" s="55" t="s">
        <v>74</v>
      </c>
      <c r="BG241" s="55" t="s">
        <v>74</v>
      </c>
      <c r="BH241" s="52">
        <v>0</v>
      </c>
      <c r="BI241" s="52">
        <v>9415394.8900000006</v>
      </c>
      <c r="BJ241" s="52">
        <v>9415394.8900000006</v>
      </c>
      <c r="BK241" s="56">
        <v>43313</v>
      </c>
      <c r="BL241" s="57">
        <v>9415394.8900000006</v>
      </c>
      <c r="BM241" s="47">
        <v>0</v>
      </c>
      <c r="BN241" s="9"/>
      <c r="BO241" s="9"/>
      <c r="BP241" s="9"/>
      <c r="BQ241" s="9"/>
      <c r="BR241" s="9"/>
      <c r="BS241" s="9"/>
      <c r="BT241" s="9"/>
      <c r="BU241" s="9"/>
      <c r="BV241" s="9"/>
      <c r="BW241" s="9"/>
    </row>
    <row r="242" spans="1:75" ht="39" hidden="1" outlineLevel="2" x14ac:dyDescent="0.25">
      <c r="A242" s="43" t="s">
        <v>346</v>
      </c>
      <c r="B242" s="110" t="s">
        <v>347</v>
      </c>
      <c r="C242" s="45">
        <v>2018</v>
      </c>
      <c r="D242" s="46" t="s">
        <v>88</v>
      </c>
      <c r="E242" s="47">
        <v>0</v>
      </c>
      <c r="F242" s="47">
        <v>0</v>
      </c>
      <c r="G242" s="47">
        <v>0</v>
      </c>
      <c r="H242" s="47">
        <v>0</v>
      </c>
      <c r="I242" s="47">
        <v>0</v>
      </c>
      <c r="J242" s="47">
        <v>0</v>
      </c>
      <c r="K242" s="47">
        <v>0</v>
      </c>
      <c r="L242" s="47">
        <v>0</v>
      </c>
      <c r="M242" s="47">
        <v>0</v>
      </c>
      <c r="N242" s="47">
        <v>0</v>
      </c>
      <c r="O242" s="47">
        <v>0</v>
      </c>
      <c r="P242" s="47">
        <v>12505664.060000001</v>
      </c>
      <c r="Q242" s="47">
        <v>0</v>
      </c>
      <c r="R242" s="47">
        <v>0</v>
      </c>
      <c r="S242" s="47">
        <v>0</v>
      </c>
      <c r="T242" s="47">
        <v>0</v>
      </c>
      <c r="U242" s="47">
        <v>0</v>
      </c>
      <c r="V242" s="47">
        <v>0</v>
      </c>
      <c r="W242" s="47">
        <v>0</v>
      </c>
      <c r="X242" s="47">
        <v>0</v>
      </c>
      <c r="Y242" s="48">
        <v>12505664.060000001</v>
      </c>
      <c r="Z242" s="58">
        <v>3032919.15</v>
      </c>
      <c r="AA242" s="50">
        <v>3032919.15</v>
      </c>
      <c r="AB242" s="50">
        <v>0</v>
      </c>
      <c r="AC242" s="50">
        <v>0</v>
      </c>
      <c r="AD242" s="50">
        <v>43378.84</v>
      </c>
      <c r="AE242" s="50">
        <v>240228.64</v>
      </c>
      <c r="AF242" s="50">
        <v>0</v>
      </c>
      <c r="AG242" s="49">
        <v>3316526.63</v>
      </c>
      <c r="AH242" s="51" t="s">
        <v>104</v>
      </c>
      <c r="AI242" s="51" t="s">
        <v>74</v>
      </c>
      <c r="AJ242" s="51" t="s">
        <v>74</v>
      </c>
      <c r="AK242" s="51" t="s">
        <v>121</v>
      </c>
      <c r="AL242" s="51" t="s">
        <v>361</v>
      </c>
      <c r="AM242" s="51" t="s">
        <v>74</v>
      </c>
      <c r="AN242" s="52">
        <v>0</v>
      </c>
      <c r="AO242" s="52">
        <v>0</v>
      </c>
      <c r="AP242" s="52">
        <v>0</v>
      </c>
      <c r="AQ242" s="52">
        <v>0</v>
      </c>
      <c r="AR242" s="52">
        <v>0</v>
      </c>
      <c r="AS242" s="52">
        <v>0</v>
      </c>
      <c r="AT242" s="70" t="s">
        <v>74</v>
      </c>
      <c r="AU242" s="52">
        <v>0</v>
      </c>
      <c r="AV242" s="52"/>
      <c r="AW242" s="52">
        <v>0</v>
      </c>
      <c r="AX242" s="52"/>
      <c r="AY242" s="52"/>
      <c r="AZ242" s="52">
        <v>0</v>
      </c>
      <c r="BA242" s="52">
        <v>0</v>
      </c>
      <c r="BB242" s="54" t="s">
        <v>74</v>
      </c>
      <c r="BC242" s="53" t="s">
        <v>74</v>
      </c>
      <c r="BD242" s="55" t="s">
        <v>74</v>
      </c>
      <c r="BE242" s="55" t="s">
        <v>74</v>
      </c>
      <c r="BF242" s="55" t="s">
        <v>74</v>
      </c>
      <c r="BG242" s="55" t="s">
        <v>74</v>
      </c>
      <c r="BH242" s="52">
        <v>0</v>
      </c>
      <c r="BI242" s="52">
        <v>9189137.4299999997</v>
      </c>
      <c r="BJ242" s="52">
        <v>9189137.4299999997</v>
      </c>
      <c r="BK242" s="56">
        <v>43344</v>
      </c>
      <c r="BL242" s="57">
        <v>9189137.4340000004</v>
      </c>
      <c r="BM242" s="47">
        <v>0</v>
      </c>
      <c r="BN242" s="9"/>
      <c r="BO242" s="9"/>
      <c r="BP242" s="9"/>
      <c r="BQ242" s="9"/>
      <c r="BR242" s="9"/>
      <c r="BS242" s="9"/>
      <c r="BT242" s="9"/>
      <c r="BU242" s="9"/>
      <c r="BV242" s="9"/>
      <c r="BW242" s="9"/>
    </row>
    <row r="243" spans="1:75" ht="153.75" hidden="1" outlineLevel="2" x14ac:dyDescent="0.25">
      <c r="A243" s="43" t="s">
        <v>346</v>
      </c>
      <c r="B243" s="110" t="s">
        <v>347</v>
      </c>
      <c r="C243" s="45">
        <v>2018</v>
      </c>
      <c r="D243" s="46" t="s">
        <v>89</v>
      </c>
      <c r="E243" s="47">
        <v>0</v>
      </c>
      <c r="F243" s="47">
        <v>0</v>
      </c>
      <c r="G243" s="47">
        <v>0</v>
      </c>
      <c r="H243" s="47">
        <v>0</v>
      </c>
      <c r="I243" s="47">
        <v>0</v>
      </c>
      <c r="J243" s="47">
        <v>0</v>
      </c>
      <c r="K243" s="47">
        <v>0</v>
      </c>
      <c r="L243" s="47">
        <v>0</v>
      </c>
      <c r="M243" s="47">
        <v>0</v>
      </c>
      <c r="N243" s="47">
        <v>0</v>
      </c>
      <c r="O243" s="47">
        <v>0</v>
      </c>
      <c r="P243" s="47">
        <v>12505664.060000001</v>
      </c>
      <c r="Q243" s="47">
        <v>0</v>
      </c>
      <c r="R243" s="47">
        <v>0</v>
      </c>
      <c r="S243" s="47">
        <v>0</v>
      </c>
      <c r="T243" s="47">
        <v>0</v>
      </c>
      <c r="U243" s="47">
        <v>0</v>
      </c>
      <c r="V243" s="47">
        <v>0</v>
      </c>
      <c r="W243" s="47">
        <v>0</v>
      </c>
      <c r="X243" s="47">
        <v>0</v>
      </c>
      <c r="Y243" s="48">
        <v>12505664.060000001</v>
      </c>
      <c r="Z243" s="58">
        <v>3062772.79</v>
      </c>
      <c r="AA243" s="50">
        <v>3062772.79</v>
      </c>
      <c r="AB243" s="50">
        <v>0</v>
      </c>
      <c r="AC243" s="50">
        <v>0</v>
      </c>
      <c r="AD243" s="50">
        <v>52273.74</v>
      </c>
      <c r="AE243" s="50">
        <v>1557124.39</v>
      </c>
      <c r="AF243" s="50">
        <v>2994919.26</v>
      </c>
      <c r="AG243" s="49">
        <v>7667090.1799999997</v>
      </c>
      <c r="AH243" s="51" t="s">
        <v>104</v>
      </c>
      <c r="AI243" s="51" t="s">
        <v>74</v>
      </c>
      <c r="AJ243" s="51" t="s">
        <v>74</v>
      </c>
      <c r="AK243" s="51" t="s">
        <v>124</v>
      </c>
      <c r="AL243" s="51" t="s">
        <v>362</v>
      </c>
      <c r="AM243" s="51" t="s">
        <v>363</v>
      </c>
      <c r="AN243" s="52">
        <v>0</v>
      </c>
      <c r="AO243" s="52">
        <v>0</v>
      </c>
      <c r="AP243" s="52">
        <v>0</v>
      </c>
      <c r="AQ243" s="52">
        <v>0</v>
      </c>
      <c r="AR243" s="52">
        <v>0</v>
      </c>
      <c r="AS243" s="52">
        <v>0</v>
      </c>
      <c r="AT243" s="70" t="s">
        <v>74</v>
      </c>
      <c r="AU243" s="52">
        <v>0</v>
      </c>
      <c r="AV243" s="52"/>
      <c r="AW243" s="52">
        <v>0</v>
      </c>
      <c r="AX243" s="52"/>
      <c r="AY243" s="52"/>
      <c r="AZ243" s="52">
        <v>0</v>
      </c>
      <c r="BA243" s="52">
        <v>0</v>
      </c>
      <c r="BB243" s="54" t="s">
        <v>74</v>
      </c>
      <c r="BC243" s="53" t="s">
        <v>74</v>
      </c>
      <c r="BD243" s="55" t="s">
        <v>74</v>
      </c>
      <c r="BE243" s="55" t="s">
        <v>74</v>
      </c>
      <c r="BF243" s="55" t="s">
        <v>74</v>
      </c>
      <c r="BG243" s="55" t="s">
        <v>74</v>
      </c>
      <c r="BH243" s="52">
        <v>0</v>
      </c>
      <c r="BI243" s="52">
        <v>4838573.88</v>
      </c>
      <c r="BJ243" s="52">
        <v>4838573.88</v>
      </c>
      <c r="BK243" s="56">
        <v>43374</v>
      </c>
      <c r="BL243" s="57">
        <v>4838573.88</v>
      </c>
      <c r="BM243" s="47">
        <v>0</v>
      </c>
      <c r="BN243" s="9"/>
      <c r="BO243" s="9"/>
      <c r="BP243" s="9"/>
      <c r="BQ243" s="9"/>
      <c r="BR243" s="9"/>
      <c r="BS243" s="9"/>
      <c r="BT243" s="9"/>
      <c r="BU243" s="9"/>
      <c r="BV243" s="9"/>
      <c r="BW243" s="9"/>
    </row>
    <row r="244" spans="1:75" ht="153.75" hidden="1" outlineLevel="2" x14ac:dyDescent="0.25">
      <c r="A244" s="43" t="s">
        <v>346</v>
      </c>
      <c r="B244" s="110" t="s">
        <v>347</v>
      </c>
      <c r="C244" s="45">
        <v>2018</v>
      </c>
      <c r="D244" s="46" t="s">
        <v>90</v>
      </c>
      <c r="E244" s="47">
        <v>0</v>
      </c>
      <c r="F244" s="47">
        <v>0</v>
      </c>
      <c r="G244" s="47">
        <v>0</v>
      </c>
      <c r="H244" s="47">
        <v>0</v>
      </c>
      <c r="I244" s="47">
        <v>0</v>
      </c>
      <c r="J244" s="47">
        <v>0</v>
      </c>
      <c r="K244" s="47">
        <v>0</v>
      </c>
      <c r="L244" s="47">
        <v>0</v>
      </c>
      <c r="M244" s="47">
        <v>0</v>
      </c>
      <c r="N244" s="47">
        <v>0</v>
      </c>
      <c r="O244" s="47">
        <v>0</v>
      </c>
      <c r="P244" s="47">
        <v>12505664.060000001</v>
      </c>
      <c r="Q244" s="47">
        <v>0</v>
      </c>
      <c r="R244" s="47">
        <v>0</v>
      </c>
      <c r="S244" s="47">
        <v>0</v>
      </c>
      <c r="T244" s="47">
        <v>0</v>
      </c>
      <c r="U244" s="47">
        <v>0</v>
      </c>
      <c r="V244" s="47">
        <v>0</v>
      </c>
      <c r="W244" s="47">
        <v>0</v>
      </c>
      <c r="X244" s="47">
        <v>0</v>
      </c>
      <c r="Y244" s="48">
        <v>12505664.060000001</v>
      </c>
      <c r="Z244" s="58">
        <v>2994960.98</v>
      </c>
      <c r="AA244" s="50">
        <v>2994960.98</v>
      </c>
      <c r="AB244" s="50">
        <v>0</v>
      </c>
      <c r="AC244" s="50">
        <v>0</v>
      </c>
      <c r="AD244" s="50">
        <v>56583.199999999997</v>
      </c>
      <c r="AE244" s="50">
        <v>240228.64</v>
      </c>
      <c r="AF244" s="50">
        <v>9213891.2400000002</v>
      </c>
      <c r="AG244" s="49">
        <v>12505664.060000001</v>
      </c>
      <c r="AH244" s="51" t="s">
        <v>104</v>
      </c>
      <c r="AI244" s="51" t="s">
        <v>74</v>
      </c>
      <c r="AJ244" s="51" t="s">
        <v>74</v>
      </c>
      <c r="AK244" s="51" t="s">
        <v>126</v>
      </c>
      <c r="AL244" s="51" t="s">
        <v>364</v>
      </c>
      <c r="AM244" s="51" t="s">
        <v>365</v>
      </c>
      <c r="AN244" s="52">
        <v>0</v>
      </c>
      <c r="AO244" s="52">
        <v>0</v>
      </c>
      <c r="AP244" s="52">
        <v>0</v>
      </c>
      <c r="AQ244" s="52">
        <v>0</v>
      </c>
      <c r="AR244" s="52">
        <v>0</v>
      </c>
      <c r="AS244" s="52">
        <v>0</v>
      </c>
      <c r="AT244" s="70" t="s">
        <v>74</v>
      </c>
      <c r="AU244" s="52">
        <v>0</v>
      </c>
      <c r="AV244" s="52"/>
      <c r="AW244" s="52">
        <v>0</v>
      </c>
      <c r="AX244" s="52"/>
      <c r="AY244" s="52"/>
      <c r="AZ244" s="52">
        <v>0</v>
      </c>
      <c r="BA244" s="52">
        <v>0</v>
      </c>
      <c r="BB244" s="54" t="s">
        <v>74</v>
      </c>
      <c r="BC244" s="53" t="s">
        <v>74</v>
      </c>
      <c r="BD244" s="55" t="s">
        <v>74</v>
      </c>
      <c r="BE244" s="55" t="s">
        <v>74</v>
      </c>
      <c r="BF244" s="55" t="s">
        <v>74</v>
      </c>
      <c r="BG244" s="55" t="s">
        <v>74</v>
      </c>
      <c r="BH244" s="52">
        <v>0</v>
      </c>
      <c r="BI244" s="52">
        <v>0</v>
      </c>
      <c r="BJ244" s="52">
        <v>0</v>
      </c>
      <c r="BK244" s="56">
        <v>43405</v>
      </c>
      <c r="BL244" s="57"/>
      <c r="BM244" s="47">
        <v>0</v>
      </c>
      <c r="BN244" s="9"/>
      <c r="BO244" s="9"/>
      <c r="BP244" s="9"/>
      <c r="BQ244" s="9"/>
      <c r="BR244" s="9"/>
      <c r="BS244" s="9"/>
      <c r="BT244" s="9"/>
      <c r="BU244" s="9"/>
      <c r="BV244" s="9"/>
      <c r="BW244" s="9"/>
    </row>
    <row r="245" spans="1:75" ht="332.25" hidden="1" outlineLevel="2" x14ac:dyDescent="0.25">
      <c r="A245" s="43" t="s">
        <v>346</v>
      </c>
      <c r="B245" s="110" t="s">
        <v>347</v>
      </c>
      <c r="C245" s="45">
        <v>2018</v>
      </c>
      <c r="D245" s="46" t="s">
        <v>93</v>
      </c>
      <c r="E245" s="47">
        <v>0</v>
      </c>
      <c r="F245" s="47">
        <v>0</v>
      </c>
      <c r="G245" s="47">
        <v>0</v>
      </c>
      <c r="H245" s="47">
        <v>0</v>
      </c>
      <c r="I245" s="47">
        <v>0</v>
      </c>
      <c r="J245" s="47">
        <v>0</v>
      </c>
      <c r="K245" s="47">
        <v>0</v>
      </c>
      <c r="L245" s="47">
        <v>0</v>
      </c>
      <c r="M245" s="47">
        <v>0</v>
      </c>
      <c r="N245" s="47">
        <v>0</v>
      </c>
      <c r="O245" s="47">
        <v>0</v>
      </c>
      <c r="P245" s="47">
        <v>12505664.060000001</v>
      </c>
      <c r="Q245" s="47">
        <v>0</v>
      </c>
      <c r="R245" s="47">
        <v>0</v>
      </c>
      <c r="S245" s="47">
        <v>0</v>
      </c>
      <c r="T245" s="47">
        <v>0</v>
      </c>
      <c r="U245" s="47">
        <v>0</v>
      </c>
      <c r="V245" s="47">
        <v>0</v>
      </c>
      <c r="W245" s="47">
        <v>0</v>
      </c>
      <c r="X245" s="47">
        <v>0</v>
      </c>
      <c r="Y245" s="48">
        <v>12505664.060000001</v>
      </c>
      <c r="Z245" s="58">
        <v>3045100.9</v>
      </c>
      <c r="AA245" s="50">
        <v>3045100.9</v>
      </c>
      <c r="AB245" s="50">
        <v>0</v>
      </c>
      <c r="AC245" s="50">
        <v>0</v>
      </c>
      <c r="AD245" s="50">
        <v>59136.9</v>
      </c>
      <c r="AE245" s="50">
        <v>2185232.48</v>
      </c>
      <c r="AF245" s="50">
        <v>392164.81</v>
      </c>
      <c r="AG245" s="49">
        <v>5681635.0899999999</v>
      </c>
      <c r="AH245" s="51" t="s">
        <v>104</v>
      </c>
      <c r="AI245" s="51" t="s">
        <v>74</v>
      </c>
      <c r="AJ245" s="51" t="s">
        <v>74</v>
      </c>
      <c r="AK245" s="51" t="s">
        <v>128</v>
      </c>
      <c r="AL245" s="51" t="s">
        <v>366</v>
      </c>
      <c r="AM245" s="51" t="s">
        <v>367</v>
      </c>
      <c r="AN245" s="52">
        <v>0</v>
      </c>
      <c r="AO245" s="52">
        <v>0</v>
      </c>
      <c r="AP245" s="52">
        <v>0</v>
      </c>
      <c r="AQ245" s="52">
        <v>0</v>
      </c>
      <c r="AR245" s="52">
        <v>0</v>
      </c>
      <c r="AS245" s="52">
        <v>0</v>
      </c>
      <c r="AT245" s="70" t="s">
        <v>74</v>
      </c>
      <c r="AU245" s="52">
        <v>0</v>
      </c>
      <c r="AV245" s="52"/>
      <c r="AW245" s="52">
        <v>0</v>
      </c>
      <c r="AX245" s="52"/>
      <c r="AY245" s="52"/>
      <c r="AZ245" s="52">
        <v>0</v>
      </c>
      <c r="BA245" s="52">
        <v>0</v>
      </c>
      <c r="BB245" s="54" t="s">
        <v>74</v>
      </c>
      <c r="BC245" s="53" t="s">
        <v>74</v>
      </c>
      <c r="BD245" s="55" t="s">
        <v>74</v>
      </c>
      <c r="BE245" s="55" t="s">
        <v>74</v>
      </c>
      <c r="BF245" s="55" t="s">
        <v>74</v>
      </c>
      <c r="BG245" s="55" t="s">
        <v>74</v>
      </c>
      <c r="BH245" s="52">
        <v>0</v>
      </c>
      <c r="BI245" s="52">
        <v>6824028.9699999997</v>
      </c>
      <c r="BJ245" s="52">
        <v>6824028.9699999997</v>
      </c>
      <c r="BK245" s="56">
        <v>43435</v>
      </c>
      <c r="BL245" s="57">
        <v>6824028.9699999997</v>
      </c>
      <c r="BM245" s="47">
        <v>0</v>
      </c>
      <c r="BN245" s="9"/>
      <c r="BO245" s="9"/>
      <c r="BP245" s="9"/>
      <c r="BQ245" s="9"/>
      <c r="BR245" s="9"/>
      <c r="BS245" s="9"/>
      <c r="BT245" s="9"/>
      <c r="BU245" s="9"/>
      <c r="BV245" s="9"/>
      <c r="BW245" s="9"/>
    </row>
    <row r="246" spans="1:75" ht="26.25" hidden="1" outlineLevel="2" x14ac:dyDescent="0.25">
      <c r="A246" s="43" t="s">
        <v>346</v>
      </c>
      <c r="B246" s="110" t="s">
        <v>347</v>
      </c>
      <c r="C246" s="45">
        <v>2019</v>
      </c>
      <c r="D246" s="46" t="s">
        <v>73</v>
      </c>
      <c r="E246" s="47">
        <v>0</v>
      </c>
      <c r="F246" s="47">
        <v>0</v>
      </c>
      <c r="G246" s="47">
        <v>0</v>
      </c>
      <c r="H246" s="47">
        <v>0</v>
      </c>
      <c r="I246" s="47">
        <v>0</v>
      </c>
      <c r="J246" s="47">
        <v>0</v>
      </c>
      <c r="K246" s="47">
        <v>0</v>
      </c>
      <c r="L246" s="47">
        <v>0</v>
      </c>
      <c r="M246" s="47">
        <v>0</v>
      </c>
      <c r="N246" s="47">
        <v>0</v>
      </c>
      <c r="O246" s="47">
        <v>0</v>
      </c>
      <c r="P246" s="47">
        <v>12265435.42</v>
      </c>
      <c r="Q246" s="47">
        <v>0</v>
      </c>
      <c r="R246" s="47">
        <v>0</v>
      </c>
      <c r="S246" s="47">
        <v>0</v>
      </c>
      <c r="T246" s="47">
        <v>0</v>
      </c>
      <c r="U246" s="47">
        <v>0</v>
      </c>
      <c r="V246" s="47">
        <v>0</v>
      </c>
      <c r="W246" s="47">
        <v>0</v>
      </c>
      <c r="X246" s="47">
        <v>0</v>
      </c>
      <c r="Y246" s="48">
        <v>12265435.42</v>
      </c>
      <c r="Z246" s="58">
        <v>3075155.97</v>
      </c>
      <c r="AA246" s="50">
        <v>3075155.97</v>
      </c>
      <c r="AB246" s="50">
        <v>0</v>
      </c>
      <c r="AC246" s="50">
        <v>0</v>
      </c>
      <c r="AD246" s="50">
        <v>49354.86</v>
      </c>
      <c r="AE246" s="50">
        <v>0</v>
      </c>
      <c r="AF246" s="50">
        <v>0</v>
      </c>
      <c r="AG246" s="49">
        <v>3124510.83</v>
      </c>
      <c r="AH246" s="51" t="s">
        <v>104</v>
      </c>
      <c r="AI246" s="51" t="s">
        <v>74</v>
      </c>
      <c r="AJ246" s="51" t="s">
        <v>74</v>
      </c>
      <c r="AK246" s="51" t="s">
        <v>254</v>
      </c>
      <c r="AL246" s="51" t="s">
        <v>74</v>
      </c>
      <c r="AM246" s="51" t="s">
        <v>74</v>
      </c>
      <c r="AN246" s="52">
        <v>0</v>
      </c>
      <c r="AO246" s="52">
        <v>0</v>
      </c>
      <c r="AP246" s="52">
        <v>0</v>
      </c>
      <c r="AQ246" s="52">
        <v>0</v>
      </c>
      <c r="AR246" s="52">
        <v>0</v>
      </c>
      <c r="AS246" s="52">
        <v>0</v>
      </c>
      <c r="AT246" s="70" t="s">
        <v>74</v>
      </c>
      <c r="AU246" s="52">
        <v>0</v>
      </c>
      <c r="AV246" s="52"/>
      <c r="AW246" s="52">
        <v>0</v>
      </c>
      <c r="AX246" s="52"/>
      <c r="AY246" s="52"/>
      <c r="AZ246" s="52">
        <v>0</v>
      </c>
      <c r="BA246" s="52">
        <v>0</v>
      </c>
      <c r="BB246" s="54" t="s">
        <v>74</v>
      </c>
      <c r="BC246" s="53" t="s">
        <v>74</v>
      </c>
      <c r="BD246" s="55" t="s">
        <v>74</v>
      </c>
      <c r="BE246" s="55" t="s">
        <v>74</v>
      </c>
      <c r="BF246" s="55" t="s">
        <v>74</v>
      </c>
      <c r="BG246" s="55" t="s">
        <v>74</v>
      </c>
      <c r="BH246" s="52">
        <v>0</v>
      </c>
      <c r="BI246" s="52">
        <v>9140924.5899999999</v>
      </c>
      <c r="BJ246" s="52">
        <v>9140924.5899999999</v>
      </c>
      <c r="BK246" s="56">
        <v>43466</v>
      </c>
      <c r="BL246" s="57">
        <v>9140924.5899999999</v>
      </c>
      <c r="BM246" s="47">
        <v>0</v>
      </c>
      <c r="BN246" s="9"/>
      <c r="BO246" s="9"/>
      <c r="BP246" s="9"/>
      <c r="BQ246" s="9"/>
      <c r="BR246" s="9"/>
      <c r="BS246" s="9"/>
      <c r="BT246" s="9"/>
      <c r="BU246" s="9"/>
      <c r="BV246" s="9"/>
      <c r="BW246" s="9"/>
    </row>
    <row r="247" spans="1:75" ht="26.25" hidden="1" outlineLevel="2" x14ac:dyDescent="0.25">
      <c r="A247" s="43" t="s">
        <v>346</v>
      </c>
      <c r="B247" s="110" t="s">
        <v>347</v>
      </c>
      <c r="C247" s="45">
        <v>2019</v>
      </c>
      <c r="D247" s="46" t="s">
        <v>75</v>
      </c>
      <c r="E247" s="47">
        <v>0</v>
      </c>
      <c r="F247" s="47">
        <v>0</v>
      </c>
      <c r="G247" s="47">
        <v>0</v>
      </c>
      <c r="H247" s="47">
        <v>0</v>
      </c>
      <c r="I247" s="47">
        <v>0</v>
      </c>
      <c r="J247" s="47">
        <v>0</v>
      </c>
      <c r="K247" s="47">
        <v>0</v>
      </c>
      <c r="L247" s="47">
        <v>0</v>
      </c>
      <c r="M247" s="47">
        <v>0</v>
      </c>
      <c r="N247" s="47">
        <v>0</v>
      </c>
      <c r="O247" s="47">
        <v>0</v>
      </c>
      <c r="P247" s="47">
        <v>12265435.42</v>
      </c>
      <c r="Q247" s="47">
        <v>0</v>
      </c>
      <c r="R247" s="47">
        <v>0</v>
      </c>
      <c r="S247" s="47">
        <v>0</v>
      </c>
      <c r="T247" s="47">
        <v>0</v>
      </c>
      <c r="U247" s="47">
        <v>0</v>
      </c>
      <c r="V247" s="47">
        <v>0</v>
      </c>
      <c r="W247" s="47">
        <v>0</v>
      </c>
      <c r="X247" s="47">
        <v>0</v>
      </c>
      <c r="Y247" s="48">
        <v>12265435.42</v>
      </c>
      <c r="Z247" s="58">
        <v>3062309.97</v>
      </c>
      <c r="AA247" s="50">
        <v>3062309.97</v>
      </c>
      <c r="AB247" s="50">
        <v>0</v>
      </c>
      <c r="AC247" s="50">
        <v>0</v>
      </c>
      <c r="AD247" s="50">
        <v>0</v>
      </c>
      <c r="AE247" s="50">
        <v>0</v>
      </c>
      <c r="AF247" s="50">
        <v>0</v>
      </c>
      <c r="AG247" s="49">
        <v>3062309.97</v>
      </c>
      <c r="AH247" s="51" t="s">
        <v>104</v>
      </c>
      <c r="AI247" s="51" t="s">
        <v>74</v>
      </c>
      <c r="AJ247" s="51" t="s">
        <v>74</v>
      </c>
      <c r="AK247" s="51" t="s">
        <v>74</v>
      </c>
      <c r="AL247" s="51" t="s">
        <v>74</v>
      </c>
      <c r="AM247" s="51" t="s">
        <v>74</v>
      </c>
      <c r="AN247" s="52">
        <v>0</v>
      </c>
      <c r="AO247" s="52">
        <v>0</v>
      </c>
      <c r="AP247" s="52">
        <v>0</v>
      </c>
      <c r="AQ247" s="52">
        <v>0</v>
      </c>
      <c r="AR247" s="52">
        <v>0</v>
      </c>
      <c r="AS247" s="52">
        <v>0</v>
      </c>
      <c r="AT247" s="70" t="s">
        <v>74</v>
      </c>
      <c r="AU247" s="52">
        <v>0</v>
      </c>
      <c r="AV247" s="52"/>
      <c r="AW247" s="52">
        <v>0</v>
      </c>
      <c r="AX247" s="52"/>
      <c r="AY247" s="52"/>
      <c r="AZ247" s="52">
        <v>0</v>
      </c>
      <c r="BA247" s="52">
        <v>0</v>
      </c>
      <c r="BB247" s="54" t="s">
        <v>74</v>
      </c>
      <c r="BC247" s="53" t="s">
        <v>74</v>
      </c>
      <c r="BD247" s="55" t="s">
        <v>74</v>
      </c>
      <c r="BE247" s="55" t="s">
        <v>74</v>
      </c>
      <c r="BF247" s="55" t="s">
        <v>74</v>
      </c>
      <c r="BG247" s="55" t="s">
        <v>74</v>
      </c>
      <c r="BH247" s="52">
        <v>0</v>
      </c>
      <c r="BI247" s="52">
        <v>9203125.4499999993</v>
      </c>
      <c r="BJ247" s="52">
        <v>9203125.4499999993</v>
      </c>
      <c r="BK247" s="56">
        <v>43497</v>
      </c>
      <c r="BL247" s="57">
        <v>9203125.4499999993</v>
      </c>
      <c r="BM247" s="47">
        <v>0</v>
      </c>
      <c r="BN247" s="9"/>
      <c r="BO247" s="9"/>
      <c r="BP247" s="9"/>
      <c r="BQ247" s="9"/>
      <c r="BR247" s="9"/>
      <c r="BS247" s="9"/>
      <c r="BT247" s="9"/>
      <c r="BU247" s="9"/>
      <c r="BV247" s="9"/>
      <c r="BW247" s="9"/>
    </row>
    <row r="248" spans="1:75" ht="26.25" hidden="1" outlineLevel="2" x14ac:dyDescent="0.25">
      <c r="A248" s="43" t="s">
        <v>346</v>
      </c>
      <c r="B248" s="110" t="s">
        <v>347</v>
      </c>
      <c r="C248" s="45">
        <v>2019</v>
      </c>
      <c r="D248" s="46" t="s">
        <v>77</v>
      </c>
      <c r="E248" s="47">
        <v>0</v>
      </c>
      <c r="F248" s="47">
        <v>0</v>
      </c>
      <c r="G248" s="47">
        <v>0</v>
      </c>
      <c r="H248" s="47">
        <v>0</v>
      </c>
      <c r="I248" s="47">
        <v>0</v>
      </c>
      <c r="J248" s="47">
        <v>0</v>
      </c>
      <c r="K248" s="47">
        <v>0</v>
      </c>
      <c r="L248" s="47">
        <v>0</v>
      </c>
      <c r="M248" s="47">
        <v>0</v>
      </c>
      <c r="N248" s="47">
        <v>0</v>
      </c>
      <c r="O248" s="47">
        <v>0</v>
      </c>
      <c r="P248" s="47">
        <v>12265435.42</v>
      </c>
      <c r="Q248" s="47">
        <v>0</v>
      </c>
      <c r="R248" s="47">
        <v>0</v>
      </c>
      <c r="S248" s="47">
        <v>0</v>
      </c>
      <c r="T248" s="47">
        <v>0</v>
      </c>
      <c r="U248" s="47">
        <v>0</v>
      </c>
      <c r="V248" s="47">
        <v>0</v>
      </c>
      <c r="W248" s="47">
        <v>0</v>
      </c>
      <c r="X248" s="47">
        <v>0</v>
      </c>
      <c r="Y248" s="48">
        <v>12265435.42</v>
      </c>
      <c r="Z248" s="58">
        <v>3072594.61</v>
      </c>
      <c r="AA248" s="50">
        <v>3072594.61</v>
      </c>
      <c r="AB248" s="50">
        <v>0</v>
      </c>
      <c r="AC248" s="50">
        <v>0</v>
      </c>
      <c r="AD248" s="50">
        <v>62256.1</v>
      </c>
      <c r="AE248" s="50">
        <v>0</v>
      </c>
      <c r="AF248" s="50">
        <v>0</v>
      </c>
      <c r="AG248" s="49">
        <v>3134850.71</v>
      </c>
      <c r="AH248" s="51" t="s">
        <v>104</v>
      </c>
      <c r="AI248" s="51" t="s">
        <v>74</v>
      </c>
      <c r="AJ248" s="51" t="s">
        <v>74</v>
      </c>
      <c r="AK248" s="51" t="s">
        <v>134</v>
      </c>
      <c r="AL248" s="51" t="s">
        <v>74</v>
      </c>
      <c r="AM248" s="51" t="s">
        <v>74</v>
      </c>
      <c r="AN248" s="52">
        <v>0</v>
      </c>
      <c r="AO248" s="52">
        <v>0</v>
      </c>
      <c r="AP248" s="52">
        <v>0</v>
      </c>
      <c r="AQ248" s="52">
        <v>0</v>
      </c>
      <c r="AR248" s="52">
        <v>0</v>
      </c>
      <c r="AS248" s="52">
        <v>0</v>
      </c>
      <c r="AT248" s="70" t="s">
        <v>74</v>
      </c>
      <c r="AU248" s="52">
        <v>0</v>
      </c>
      <c r="AV248" s="52"/>
      <c r="AW248" s="52">
        <v>0</v>
      </c>
      <c r="AX248" s="52"/>
      <c r="AY248" s="52"/>
      <c r="AZ248" s="52">
        <v>0</v>
      </c>
      <c r="BA248" s="52">
        <v>0</v>
      </c>
      <c r="BB248" s="54" t="s">
        <v>74</v>
      </c>
      <c r="BC248" s="53" t="s">
        <v>74</v>
      </c>
      <c r="BD248" s="55" t="s">
        <v>74</v>
      </c>
      <c r="BE248" s="55" t="s">
        <v>74</v>
      </c>
      <c r="BF248" s="55" t="s">
        <v>74</v>
      </c>
      <c r="BG248" s="55" t="s">
        <v>74</v>
      </c>
      <c r="BH248" s="52">
        <v>0</v>
      </c>
      <c r="BI248" s="52">
        <v>9130584.7100000009</v>
      </c>
      <c r="BJ248" s="52">
        <v>9130584.7100000009</v>
      </c>
      <c r="BK248" s="56">
        <v>43525</v>
      </c>
      <c r="BL248" s="57">
        <v>9130584.7100000009</v>
      </c>
      <c r="BM248" s="47">
        <v>0</v>
      </c>
      <c r="BN248" s="9"/>
      <c r="BO248" s="9"/>
      <c r="BP248" s="9"/>
      <c r="BQ248" s="9"/>
      <c r="BR248" s="9"/>
      <c r="BS248" s="9"/>
      <c r="BT248" s="9"/>
      <c r="BU248" s="9"/>
      <c r="BV248" s="9"/>
      <c r="BW248" s="9"/>
    </row>
    <row r="249" spans="1:75" ht="26.25" hidden="1" outlineLevel="2" x14ac:dyDescent="0.25">
      <c r="A249" s="43" t="s">
        <v>346</v>
      </c>
      <c r="B249" s="110" t="s">
        <v>347</v>
      </c>
      <c r="C249" s="45">
        <v>2019</v>
      </c>
      <c r="D249" s="46" t="s">
        <v>79</v>
      </c>
      <c r="E249" s="47">
        <v>0</v>
      </c>
      <c r="F249" s="47">
        <v>0</v>
      </c>
      <c r="G249" s="47">
        <v>0</v>
      </c>
      <c r="H249" s="47">
        <v>0</v>
      </c>
      <c r="I249" s="47">
        <v>0</v>
      </c>
      <c r="J249" s="47">
        <v>0</v>
      </c>
      <c r="K249" s="47">
        <v>0</v>
      </c>
      <c r="L249" s="47">
        <v>0</v>
      </c>
      <c r="M249" s="47">
        <v>0</v>
      </c>
      <c r="N249" s="47">
        <v>0</v>
      </c>
      <c r="O249" s="47">
        <v>0</v>
      </c>
      <c r="P249" s="47">
        <v>12265435.42</v>
      </c>
      <c r="Q249" s="47">
        <v>0</v>
      </c>
      <c r="R249" s="47">
        <v>0</v>
      </c>
      <c r="S249" s="47">
        <v>0</v>
      </c>
      <c r="T249" s="47">
        <v>0</v>
      </c>
      <c r="U249" s="47">
        <v>0</v>
      </c>
      <c r="V249" s="47">
        <v>0</v>
      </c>
      <c r="W249" s="47">
        <v>0</v>
      </c>
      <c r="X249" s="47">
        <v>0</v>
      </c>
      <c r="Y249" s="48">
        <v>12265435.42</v>
      </c>
      <c r="Z249" s="58">
        <v>3085465.18</v>
      </c>
      <c r="AA249" s="50">
        <v>3085465.18</v>
      </c>
      <c r="AB249" s="50">
        <v>0</v>
      </c>
      <c r="AC249" s="50">
        <v>0</v>
      </c>
      <c r="AD249" s="50">
        <v>60414.39</v>
      </c>
      <c r="AE249" s="50">
        <v>0</v>
      </c>
      <c r="AF249" s="50">
        <v>0</v>
      </c>
      <c r="AG249" s="49">
        <v>3145879.57</v>
      </c>
      <c r="AH249" s="51" t="s">
        <v>104</v>
      </c>
      <c r="AI249" s="51" t="s">
        <v>74</v>
      </c>
      <c r="AJ249" s="51" t="s">
        <v>74</v>
      </c>
      <c r="AK249" s="51" t="s">
        <v>259</v>
      </c>
      <c r="AL249" s="51" t="s">
        <v>74</v>
      </c>
      <c r="AM249" s="51" t="s">
        <v>74</v>
      </c>
      <c r="AN249" s="52">
        <v>0</v>
      </c>
      <c r="AO249" s="52">
        <v>0</v>
      </c>
      <c r="AP249" s="52">
        <v>0</v>
      </c>
      <c r="AQ249" s="52">
        <v>0</v>
      </c>
      <c r="AR249" s="52">
        <v>0</v>
      </c>
      <c r="AS249" s="52">
        <v>0</v>
      </c>
      <c r="AT249" s="70" t="s">
        <v>74</v>
      </c>
      <c r="AU249" s="52">
        <v>0</v>
      </c>
      <c r="AV249" s="52"/>
      <c r="AW249" s="52">
        <v>0</v>
      </c>
      <c r="AX249" s="52"/>
      <c r="AY249" s="52"/>
      <c r="AZ249" s="52">
        <v>0</v>
      </c>
      <c r="BA249" s="52">
        <v>0</v>
      </c>
      <c r="BB249" s="54" t="s">
        <v>74</v>
      </c>
      <c r="BC249" s="53" t="s">
        <v>74</v>
      </c>
      <c r="BD249" s="55" t="s">
        <v>74</v>
      </c>
      <c r="BE249" s="55" t="s">
        <v>74</v>
      </c>
      <c r="BF249" s="55" t="s">
        <v>74</v>
      </c>
      <c r="BG249" s="55" t="s">
        <v>74</v>
      </c>
      <c r="BH249" s="52">
        <v>0</v>
      </c>
      <c r="BI249" s="52">
        <v>9119555.8499999996</v>
      </c>
      <c r="BJ249" s="52">
        <v>9119555.8499999996</v>
      </c>
      <c r="BK249" s="56">
        <v>43556</v>
      </c>
      <c r="BL249" s="57">
        <v>9119555.8499999996</v>
      </c>
      <c r="BM249" s="47">
        <v>0</v>
      </c>
      <c r="BN249" s="9"/>
      <c r="BO249" s="9"/>
      <c r="BP249" s="9"/>
      <c r="BQ249" s="9"/>
      <c r="BR249" s="9"/>
      <c r="BS249" s="9"/>
      <c r="BT249" s="9"/>
      <c r="BU249" s="9"/>
      <c r="BV249" s="9"/>
      <c r="BW249" s="9"/>
    </row>
    <row r="250" spans="1:75" ht="26.25" hidden="1" outlineLevel="2" x14ac:dyDescent="0.25">
      <c r="A250" s="43" t="s">
        <v>346</v>
      </c>
      <c r="B250" s="110" t="s">
        <v>347</v>
      </c>
      <c r="C250" s="45">
        <v>2019</v>
      </c>
      <c r="D250" s="46" t="s">
        <v>81</v>
      </c>
      <c r="E250" s="47">
        <v>0</v>
      </c>
      <c r="F250" s="47">
        <v>0</v>
      </c>
      <c r="G250" s="47">
        <v>0</v>
      </c>
      <c r="H250" s="47">
        <v>0</v>
      </c>
      <c r="I250" s="47">
        <v>0</v>
      </c>
      <c r="J250" s="47">
        <v>0</v>
      </c>
      <c r="K250" s="47">
        <v>0</v>
      </c>
      <c r="L250" s="47">
        <v>0</v>
      </c>
      <c r="M250" s="47">
        <v>0</v>
      </c>
      <c r="N250" s="47">
        <v>0</v>
      </c>
      <c r="O250" s="47">
        <v>0</v>
      </c>
      <c r="P250" s="47">
        <v>12265435.42</v>
      </c>
      <c r="Q250" s="47">
        <v>0</v>
      </c>
      <c r="R250" s="47">
        <v>0</v>
      </c>
      <c r="S250" s="47">
        <v>0</v>
      </c>
      <c r="T250" s="47">
        <v>0</v>
      </c>
      <c r="U250" s="47">
        <v>0</v>
      </c>
      <c r="V250" s="47">
        <v>0</v>
      </c>
      <c r="W250" s="47">
        <v>0</v>
      </c>
      <c r="X250" s="47">
        <v>0</v>
      </c>
      <c r="Y250" s="48">
        <v>12265435.42</v>
      </c>
      <c r="Z250" s="58">
        <v>2918852.15</v>
      </c>
      <c r="AA250" s="50">
        <v>2918852.15</v>
      </c>
      <c r="AB250" s="50">
        <v>0</v>
      </c>
      <c r="AC250" s="50">
        <v>0</v>
      </c>
      <c r="AD250" s="50">
        <v>56538.46</v>
      </c>
      <c r="AE250" s="50">
        <v>0</v>
      </c>
      <c r="AF250" s="50">
        <v>0</v>
      </c>
      <c r="AG250" s="49">
        <v>2975390.61</v>
      </c>
      <c r="AH250" s="51" t="s">
        <v>104</v>
      </c>
      <c r="AI250" s="51" t="s">
        <v>74</v>
      </c>
      <c r="AJ250" s="51" t="s">
        <v>74</v>
      </c>
      <c r="AK250" s="51" t="s">
        <v>136</v>
      </c>
      <c r="AL250" s="51" t="s">
        <v>74</v>
      </c>
      <c r="AM250" s="51" t="s">
        <v>74</v>
      </c>
      <c r="AN250" s="52">
        <v>0</v>
      </c>
      <c r="AO250" s="52">
        <v>0</v>
      </c>
      <c r="AP250" s="52">
        <v>0</v>
      </c>
      <c r="AQ250" s="52">
        <v>0</v>
      </c>
      <c r="AR250" s="52">
        <v>0</v>
      </c>
      <c r="AS250" s="52">
        <v>0</v>
      </c>
      <c r="AT250" s="70" t="s">
        <v>74</v>
      </c>
      <c r="AU250" s="52">
        <v>0</v>
      </c>
      <c r="AV250" s="52"/>
      <c r="AW250" s="52">
        <v>0</v>
      </c>
      <c r="AX250" s="52"/>
      <c r="AY250" s="52"/>
      <c r="AZ250" s="52">
        <v>0</v>
      </c>
      <c r="BA250" s="52">
        <v>0</v>
      </c>
      <c r="BB250" s="54" t="s">
        <v>74</v>
      </c>
      <c r="BC250" s="53" t="s">
        <v>74</v>
      </c>
      <c r="BD250" s="55" t="s">
        <v>74</v>
      </c>
      <c r="BE250" s="55" t="s">
        <v>74</v>
      </c>
      <c r="BF250" s="55" t="s">
        <v>74</v>
      </c>
      <c r="BG250" s="55" t="s">
        <v>74</v>
      </c>
      <c r="BH250" s="52">
        <v>0</v>
      </c>
      <c r="BI250" s="52">
        <v>9290044.8100000005</v>
      </c>
      <c r="BJ250" s="52">
        <v>9290044.8100000005</v>
      </c>
      <c r="BK250" s="56">
        <v>43586</v>
      </c>
      <c r="BL250" s="57">
        <v>9290044.8100000005</v>
      </c>
      <c r="BM250" s="47">
        <v>0</v>
      </c>
      <c r="BN250" s="9"/>
      <c r="BO250" s="9"/>
      <c r="BP250" s="9"/>
      <c r="BQ250" s="9"/>
      <c r="BR250" s="9"/>
      <c r="BS250" s="9"/>
      <c r="BT250" s="9"/>
      <c r="BU250" s="9"/>
      <c r="BV250" s="9"/>
      <c r="BW250" s="9"/>
    </row>
    <row r="251" spans="1:75" ht="64.5" hidden="1" outlineLevel="2" x14ac:dyDescent="0.25">
      <c r="A251" s="43" t="s">
        <v>346</v>
      </c>
      <c r="B251" s="110" t="s">
        <v>347</v>
      </c>
      <c r="C251" s="45">
        <v>2019</v>
      </c>
      <c r="D251" s="46" t="s">
        <v>83</v>
      </c>
      <c r="E251" s="47">
        <v>0</v>
      </c>
      <c r="F251" s="47">
        <v>0</v>
      </c>
      <c r="G251" s="47">
        <v>0</v>
      </c>
      <c r="H251" s="47">
        <v>0</v>
      </c>
      <c r="I251" s="47">
        <v>0</v>
      </c>
      <c r="J251" s="47">
        <v>0</v>
      </c>
      <c r="K251" s="47">
        <v>0</v>
      </c>
      <c r="L251" s="47">
        <v>0</v>
      </c>
      <c r="M251" s="47">
        <v>0</v>
      </c>
      <c r="N251" s="47">
        <v>0</v>
      </c>
      <c r="O251" s="47">
        <v>0</v>
      </c>
      <c r="P251" s="47">
        <v>11447739.73</v>
      </c>
      <c r="Q251" s="47">
        <v>691539.4</v>
      </c>
      <c r="R251" s="47">
        <v>0</v>
      </c>
      <c r="S251" s="47">
        <v>0</v>
      </c>
      <c r="T251" s="47">
        <v>0</v>
      </c>
      <c r="U251" s="47">
        <v>0</v>
      </c>
      <c r="V251" s="47">
        <v>0</v>
      </c>
      <c r="W251" s="47">
        <v>0</v>
      </c>
      <c r="X251" s="47">
        <v>0</v>
      </c>
      <c r="Y251" s="48">
        <v>12139279.130000001</v>
      </c>
      <c r="Z251" s="58">
        <v>2945970.37</v>
      </c>
      <c r="AA251" s="50">
        <v>2945970.37</v>
      </c>
      <c r="AB251" s="50">
        <v>0</v>
      </c>
      <c r="AC251" s="50">
        <v>0</v>
      </c>
      <c r="AD251" s="50">
        <v>109916.52</v>
      </c>
      <c r="AE251" s="50">
        <v>0</v>
      </c>
      <c r="AF251" s="50">
        <v>0</v>
      </c>
      <c r="AG251" s="49">
        <v>3055886.89</v>
      </c>
      <c r="AH251" s="51" t="s">
        <v>104</v>
      </c>
      <c r="AI251" s="51" t="s">
        <v>74</v>
      </c>
      <c r="AJ251" s="51" t="s">
        <v>74</v>
      </c>
      <c r="AK251" s="51" t="s">
        <v>368</v>
      </c>
      <c r="AL251" s="51" t="s">
        <v>74</v>
      </c>
      <c r="AM251" s="51" t="s">
        <v>74</v>
      </c>
      <c r="AN251" s="52">
        <v>0</v>
      </c>
      <c r="AO251" s="52">
        <v>0</v>
      </c>
      <c r="AP251" s="52">
        <v>0</v>
      </c>
      <c r="AQ251" s="52">
        <v>0</v>
      </c>
      <c r="AR251" s="52">
        <v>0</v>
      </c>
      <c r="AS251" s="52">
        <v>0</v>
      </c>
      <c r="AT251" s="70" t="s">
        <v>74</v>
      </c>
      <c r="AU251" s="52">
        <v>0</v>
      </c>
      <c r="AV251" s="52"/>
      <c r="AW251" s="52">
        <v>0</v>
      </c>
      <c r="AX251" s="52"/>
      <c r="AY251" s="52"/>
      <c r="AZ251" s="52">
        <v>0</v>
      </c>
      <c r="BA251" s="52">
        <v>0</v>
      </c>
      <c r="BB251" s="54" t="s">
        <v>74</v>
      </c>
      <c r="BC251" s="53" t="s">
        <v>74</v>
      </c>
      <c r="BD251" s="55" t="s">
        <v>74</v>
      </c>
      <c r="BE251" s="55" t="s">
        <v>74</v>
      </c>
      <c r="BF251" s="55" t="s">
        <v>74</v>
      </c>
      <c r="BG251" s="55" t="s">
        <v>74</v>
      </c>
      <c r="BH251" s="52">
        <v>0</v>
      </c>
      <c r="BI251" s="52">
        <v>9083392.2400000002</v>
      </c>
      <c r="BJ251" s="52">
        <v>9083392.2400000002</v>
      </c>
      <c r="BK251" s="56">
        <v>43617</v>
      </c>
      <c r="BL251" s="57">
        <v>9083392.2400000002</v>
      </c>
      <c r="BM251" s="47">
        <v>0</v>
      </c>
      <c r="BN251" s="9"/>
      <c r="BO251" s="9"/>
      <c r="BP251" s="9"/>
      <c r="BQ251" s="9"/>
      <c r="BR251" s="9"/>
      <c r="BS251" s="9"/>
      <c r="BT251" s="9"/>
      <c r="BU251" s="9"/>
      <c r="BV251" s="9"/>
      <c r="BW251" s="9"/>
    </row>
    <row r="252" spans="1:75" ht="26.25" hidden="1" outlineLevel="2" x14ac:dyDescent="0.25">
      <c r="A252" s="43" t="s">
        <v>346</v>
      </c>
      <c r="B252" s="110" t="s">
        <v>347</v>
      </c>
      <c r="C252" s="45">
        <v>2019</v>
      </c>
      <c r="D252" s="46" t="s">
        <v>84</v>
      </c>
      <c r="E252" s="47">
        <v>0</v>
      </c>
      <c r="F252" s="47">
        <v>0</v>
      </c>
      <c r="G252" s="47">
        <v>0</v>
      </c>
      <c r="H252" s="47">
        <v>0</v>
      </c>
      <c r="I252" s="47">
        <v>0</v>
      </c>
      <c r="J252" s="47">
        <v>0</v>
      </c>
      <c r="K252" s="47">
        <v>0</v>
      </c>
      <c r="L252" s="47">
        <v>0</v>
      </c>
      <c r="M252" s="47">
        <v>0</v>
      </c>
      <c r="N252" s="47">
        <v>0</v>
      </c>
      <c r="O252" s="47">
        <v>0</v>
      </c>
      <c r="P252" s="47">
        <v>0</v>
      </c>
      <c r="Q252" s="47">
        <v>10373091.039999999</v>
      </c>
      <c r="R252" s="47">
        <v>0</v>
      </c>
      <c r="S252" s="47">
        <v>0</v>
      </c>
      <c r="T252" s="47">
        <v>0</v>
      </c>
      <c r="U252" s="47">
        <v>0</v>
      </c>
      <c r="V252" s="47">
        <v>0</v>
      </c>
      <c r="W252" s="47">
        <v>0</v>
      </c>
      <c r="X252" s="47">
        <v>0</v>
      </c>
      <c r="Y252" s="48">
        <v>10373091.039999999</v>
      </c>
      <c r="Z252" s="49">
        <v>3009455.02</v>
      </c>
      <c r="AA252" s="50">
        <v>3009455.02</v>
      </c>
      <c r="AB252" s="50">
        <v>0</v>
      </c>
      <c r="AC252" s="50">
        <v>0</v>
      </c>
      <c r="AD252" s="50">
        <v>41932.75</v>
      </c>
      <c r="AE252" s="50">
        <v>0</v>
      </c>
      <c r="AF252" s="50">
        <v>0</v>
      </c>
      <c r="AG252" s="49">
        <v>3051387.77</v>
      </c>
      <c r="AH252" s="51" t="s">
        <v>104</v>
      </c>
      <c r="AI252" s="51" t="s">
        <v>74</v>
      </c>
      <c r="AJ252" s="51" t="s">
        <v>74</v>
      </c>
      <c r="AK252" s="51" t="s">
        <v>209</v>
      </c>
      <c r="AL252" s="51" t="s">
        <v>74</v>
      </c>
      <c r="AM252" s="51" t="s">
        <v>74</v>
      </c>
      <c r="AN252" s="52">
        <v>0</v>
      </c>
      <c r="AO252" s="52">
        <v>0</v>
      </c>
      <c r="AP252" s="52">
        <v>0</v>
      </c>
      <c r="AQ252" s="52">
        <v>0</v>
      </c>
      <c r="AR252" s="52">
        <v>0</v>
      </c>
      <c r="AS252" s="52">
        <v>0</v>
      </c>
      <c r="AT252" s="70" t="s">
        <v>74</v>
      </c>
      <c r="AU252" s="52">
        <v>0</v>
      </c>
      <c r="AV252" s="52"/>
      <c r="AW252" s="52">
        <v>0</v>
      </c>
      <c r="AX252" s="52"/>
      <c r="AY252" s="52"/>
      <c r="AZ252" s="52">
        <v>0</v>
      </c>
      <c r="BA252" s="52">
        <v>0</v>
      </c>
      <c r="BB252" s="54" t="s">
        <v>74</v>
      </c>
      <c r="BC252" s="53" t="s">
        <v>74</v>
      </c>
      <c r="BD252" s="55" t="s">
        <v>74</v>
      </c>
      <c r="BE252" s="55" t="s">
        <v>74</v>
      </c>
      <c r="BF252" s="55" t="s">
        <v>74</v>
      </c>
      <c r="BG252" s="55" t="s">
        <v>74</v>
      </c>
      <c r="BH252" s="52">
        <v>0</v>
      </c>
      <c r="BI252" s="52">
        <v>7321703.2699999996</v>
      </c>
      <c r="BJ252" s="52">
        <v>7321703.2699999996</v>
      </c>
      <c r="BK252" s="56">
        <v>43647</v>
      </c>
      <c r="BL252" s="57">
        <v>7321703.2699999996</v>
      </c>
      <c r="BM252" s="47">
        <v>0</v>
      </c>
      <c r="BN252" s="9"/>
      <c r="BO252" s="9"/>
      <c r="BP252" s="9"/>
      <c r="BQ252" s="9"/>
      <c r="BR252" s="9"/>
      <c r="BS252" s="9"/>
      <c r="BT252" s="9"/>
      <c r="BU252" s="9"/>
      <c r="BV252" s="9"/>
      <c r="BW252" s="9"/>
    </row>
    <row r="253" spans="1:75" ht="64.5" hidden="1" outlineLevel="2" x14ac:dyDescent="0.25">
      <c r="A253" s="43" t="s">
        <v>346</v>
      </c>
      <c r="B253" s="110" t="s">
        <v>347</v>
      </c>
      <c r="C253" s="45">
        <v>2019</v>
      </c>
      <c r="D253" s="46" t="s">
        <v>86</v>
      </c>
      <c r="E253" s="47">
        <v>0</v>
      </c>
      <c r="F253" s="47">
        <v>0</v>
      </c>
      <c r="G253" s="47">
        <v>0</v>
      </c>
      <c r="H253" s="47">
        <v>0</v>
      </c>
      <c r="I253" s="47">
        <v>0</v>
      </c>
      <c r="J253" s="47">
        <v>0</v>
      </c>
      <c r="K253" s="47">
        <v>0</v>
      </c>
      <c r="L253" s="47">
        <v>0</v>
      </c>
      <c r="M253" s="47">
        <v>0</v>
      </c>
      <c r="N253" s="47">
        <v>0</v>
      </c>
      <c r="O253" s="47">
        <v>0</v>
      </c>
      <c r="P253" s="47">
        <v>0</v>
      </c>
      <c r="Q253" s="47">
        <v>10373091.039999999</v>
      </c>
      <c r="R253" s="47">
        <v>0</v>
      </c>
      <c r="S253" s="47">
        <v>0</v>
      </c>
      <c r="T253" s="47">
        <v>0</v>
      </c>
      <c r="U253" s="47">
        <v>0</v>
      </c>
      <c r="V253" s="47">
        <v>0</v>
      </c>
      <c r="W253" s="47">
        <v>0</v>
      </c>
      <c r="X253" s="47">
        <v>0</v>
      </c>
      <c r="Y253" s="48">
        <v>10373091.039999999</v>
      </c>
      <c r="Z253" s="58">
        <v>2973223.53</v>
      </c>
      <c r="AA253" s="50">
        <v>2918852.15</v>
      </c>
      <c r="AB253" s="50">
        <v>0</v>
      </c>
      <c r="AC253" s="50">
        <v>0</v>
      </c>
      <c r="AD253" s="50">
        <v>0</v>
      </c>
      <c r="AE253" s="50">
        <v>0</v>
      </c>
      <c r="AF253" s="50">
        <v>0</v>
      </c>
      <c r="AG253" s="49">
        <v>2918852.15</v>
      </c>
      <c r="AH253" s="51" t="s">
        <v>369</v>
      </c>
      <c r="AI253" s="51" t="s">
        <v>74</v>
      </c>
      <c r="AJ253" s="51" t="s">
        <v>74</v>
      </c>
      <c r="AK253" s="51" t="s">
        <v>74</v>
      </c>
      <c r="AL253" s="51" t="s">
        <v>74</v>
      </c>
      <c r="AM253" s="51" t="s">
        <v>74</v>
      </c>
      <c r="AN253" s="52">
        <v>0</v>
      </c>
      <c r="AO253" s="52">
        <v>0</v>
      </c>
      <c r="AP253" s="52">
        <v>0</v>
      </c>
      <c r="AQ253" s="52">
        <v>0</v>
      </c>
      <c r="AR253" s="52">
        <v>0</v>
      </c>
      <c r="AS253" s="52">
        <v>0</v>
      </c>
      <c r="AT253" s="70" t="s">
        <v>74</v>
      </c>
      <c r="AU253" s="52">
        <v>0</v>
      </c>
      <c r="AV253" s="52"/>
      <c r="AW253" s="52">
        <v>0</v>
      </c>
      <c r="AX253" s="52"/>
      <c r="AY253" s="52"/>
      <c r="AZ253" s="52">
        <v>0</v>
      </c>
      <c r="BA253" s="52">
        <v>0</v>
      </c>
      <c r="BB253" s="54" t="s">
        <v>74</v>
      </c>
      <c r="BC253" s="53" t="s">
        <v>74</v>
      </c>
      <c r="BD253" s="55" t="s">
        <v>74</v>
      </c>
      <c r="BE253" s="55" t="s">
        <v>74</v>
      </c>
      <c r="BF253" s="55" t="s">
        <v>74</v>
      </c>
      <c r="BG253" s="55" t="s">
        <v>74</v>
      </c>
      <c r="BH253" s="52">
        <v>0</v>
      </c>
      <c r="BI253" s="52">
        <v>7454238.8899999997</v>
      </c>
      <c r="BJ253" s="52">
        <v>7454238.8899999997</v>
      </c>
      <c r="BK253" s="56">
        <v>43678</v>
      </c>
      <c r="BL253" s="57">
        <v>7454238.8899999997</v>
      </c>
      <c r="BM253" s="47">
        <v>0</v>
      </c>
      <c r="BN253" s="9"/>
      <c r="BO253" s="9"/>
      <c r="BP253" s="9"/>
      <c r="BQ253" s="9"/>
      <c r="BR253" s="9"/>
      <c r="BS253" s="9"/>
      <c r="BT253" s="9"/>
      <c r="BU253" s="9"/>
      <c r="BV253" s="9"/>
      <c r="BW253" s="9"/>
    </row>
    <row r="254" spans="1:75" ht="64.5" hidden="1" outlineLevel="2" x14ac:dyDescent="0.25">
      <c r="A254" s="43" t="s">
        <v>346</v>
      </c>
      <c r="B254" s="110" t="s">
        <v>347</v>
      </c>
      <c r="C254" s="45">
        <v>2019</v>
      </c>
      <c r="D254" s="46" t="s">
        <v>88</v>
      </c>
      <c r="E254" s="47">
        <v>0</v>
      </c>
      <c r="F254" s="47">
        <v>0</v>
      </c>
      <c r="G254" s="47">
        <v>0</v>
      </c>
      <c r="H254" s="47">
        <v>0</v>
      </c>
      <c r="I254" s="47">
        <v>0</v>
      </c>
      <c r="J254" s="47">
        <v>0</v>
      </c>
      <c r="K254" s="47">
        <v>0</v>
      </c>
      <c r="L254" s="47">
        <v>0</v>
      </c>
      <c r="M254" s="47">
        <v>0</v>
      </c>
      <c r="N254" s="47">
        <v>0</v>
      </c>
      <c r="O254" s="47">
        <v>0</v>
      </c>
      <c r="P254" s="47">
        <v>0</v>
      </c>
      <c r="Q254" s="47">
        <v>10373091.039999999</v>
      </c>
      <c r="R254" s="47">
        <v>0</v>
      </c>
      <c r="S254" s="47">
        <v>0</v>
      </c>
      <c r="T254" s="47">
        <v>0</v>
      </c>
      <c r="U254" s="47">
        <v>0</v>
      </c>
      <c r="V254" s="47">
        <v>0</v>
      </c>
      <c r="W254" s="47">
        <v>0</v>
      </c>
      <c r="X254" s="47">
        <v>0</v>
      </c>
      <c r="Y254" s="48">
        <v>10373091.039999999</v>
      </c>
      <c r="Z254" s="58">
        <v>2990298.64</v>
      </c>
      <c r="AA254" s="50">
        <v>2990298.64</v>
      </c>
      <c r="AB254" s="50">
        <v>54371.38</v>
      </c>
      <c r="AC254" s="50">
        <v>0</v>
      </c>
      <c r="AD254" s="50">
        <v>51278.86</v>
      </c>
      <c r="AE254" s="50">
        <v>0</v>
      </c>
      <c r="AF254" s="50">
        <v>0</v>
      </c>
      <c r="AG254" s="49">
        <v>3095948.88</v>
      </c>
      <c r="AH254" s="51" t="s">
        <v>104</v>
      </c>
      <c r="AI254" s="51" t="s">
        <v>370</v>
      </c>
      <c r="AJ254" s="51" t="s">
        <v>74</v>
      </c>
      <c r="AK254" s="51" t="s">
        <v>371</v>
      </c>
      <c r="AL254" s="51" t="s">
        <v>74</v>
      </c>
      <c r="AM254" s="51" t="s">
        <v>74</v>
      </c>
      <c r="AN254" s="52">
        <v>0</v>
      </c>
      <c r="AO254" s="52">
        <v>0</v>
      </c>
      <c r="AP254" s="52">
        <v>0</v>
      </c>
      <c r="AQ254" s="52">
        <v>0</v>
      </c>
      <c r="AR254" s="52">
        <v>0</v>
      </c>
      <c r="AS254" s="52">
        <v>0</v>
      </c>
      <c r="AT254" s="70" t="s">
        <v>74</v>
      </c>
      <c r="AU254" s="52">
        <v>0</v>
      </c>
      <c r="AV254" s="52"/>
      <c r="AW254" s="52">
        <v>0</v>
      </c>
      <c r="AX254" s="52"/>
      <c r="AY254" s="52"/>
      <c r="AZ254" s="52">
        <v>0</v>
      </c>
      <c r="BA254" s="52">
        <v>0</v>
      </c>
      <c r="BB254" s="54" t="s">
        <v>74</v>
      </c>
      <c r="BC254" s="53" t="s">
        <v>74</v>
      </c>
      <c r="BD254" s="55" t="s">
        <v>74</v>
      </c>
      <c r="BE254" s="55" t="s">
        <v>74</v>
      </c>
      <c r="BF254" s="55" t="s">
        <v>74</v>
      </c>
      <c r="BG254" s="55" t="s">
        <v>74</v>
      </c>
      <c r="BH254" s="52">
        <v>0</v>
      </c>
      <c r="BI254" s="52">
        <v>7277142.1600000001</v>
      </c>
      <c r="BJ254" s="52">
        <v>7277142.1600000001</v>
      </c>
      <c r="BK254" s="56">
        <v>43709</v>
      </c>
      <c r="BL254" s="57">
        <v>7277142.1600000001</v>
      </c>
      <c r="BM254" s="47">
        <v>0</v>
      </c>
      <c r="BN254" s="9"/>
      <c r="BO254" s="9"/>
      <c r="BP254" s="9"/>
      <c r="BQ254" s="9"/>
      <c r="BR254" s="9"/>
      <c r="BS254" s="9"/>
      <c r="BT254" s="9"/>
      <c r="BU254" s="9"/>
      <c r="BV254" s="9"/>
      <c r="BW254" s="9"/>
    </row>
    <row r="255" spans="1:75" ht="158.25" hidden="1" customHeight="1" outlineLevel="2" x14ac:dyDescent="0.25">
      <c r="A255" s="43" t="s">
        <v>346</v>
      </c>
      <c r="B255" s="110" t="s">
        <v>347</v>
      </c>
      <c r="C255" s="45">
        <v>2019</v>
      </c>
      <c r="D255" s="46" t="s">
        <v>89</v>
      </c>
      <c r="E255" s="47">
        <v>0</v>
      </c>
      <c r="F255" s="47">
        <v>0</v>
      </c>
      <c r="G255" s="47">
        <v>0</v>
      </c>
      <c r="H255" s="47">
        <v>0</v>
      </c>
      <c r="I255" s="47">
        <v>0</v>
      </c>
      <c r="J255" s="47">
        <v>0</v>
      </c>
      <c r="K255" s="47">
        <v>0</v>
      </c>
      <c r="L255" s="47">
        <v>0</v>
      </c>
      <c r="M255" s="47">
        <v>0</v>
      </c>
      <c r="N255" s="47">
        <v>0</v>
      </c>
      <c r="O255" s="47">
        <v>0</v>
      </c>
      <c r="P255" s="47">
        <v>0</v>
      </c>
      <c r="Q255" s="47">
        <v>10373091.039999999</v>
      </c>
      <c r="R255" s="47">
        <v>0</v>
      </c>
      <c r="S255" s="47">
        <v>0</v>
      </c>
      <c r="T255" s="47">
        <v>0</v>
      </c>
      <c r="U255" s="47">
        <v>0</v>
      </c>
      <c r="V255" s="47">
        <v>0</v>
      </c>
      <c r="W255" s="47">
        <v>0</v>
      </c>
      <c r="X255" s="47">
        <v>0</v>
      </c>
      <c r="Y255" s="48">
        <v>10373091.039999999</v>
      </c>
      <c r="Z255" s="58">
        <v>3030183.03</v>
      </c>
      <c r="AA255" s="50">
        <v>2918852.15</v>
      </c>
      <c r="AB255" s="50">
        <v>0</v>
      </c>
      <c r="AC255" s="50">
        <v>0</v>
      </c>
      <c r="AD255" s="50">
        <v>0</v>
      </c>
      <c r="AE255" s="50">
        <v>0</v>
      </c>
      <c r="AF255" s="50">
        <v>0</v>
      </c>
      <c r="AG255" s="49">
        <v>2918852.15</v>
      </c>
      <c r="AH255" s="51" t="s">
        <v>372</v>
      </c>
      <c r="AI255" s="51" t="s">
        <v>74</v>
      </c>
      <c r="AJ255" s="51" t="s">
        <v>74</v>
      </c>
      <c r="AK255" s="51" t="s">
        <v>74</v>
      </c>
      <c r="AL255" s="51" t="s">
        <v>74</v>
      </c>
      <c r="AM255" s="51" t="s">
        <v>74</v>
      </c>
      <c r="AN255" s="52"/>
      <c r="AO255" s="52">
        <v>0</v>
      </c>
      <c r="AP255" s="52"/>
      <c r="AQ255" s="52"/>
      <c r="AR255" s="52"/>
      <c r="AS255" s="52">
        <v>0</v>
      </c>
      <c r="AT255" s="70" t="s">
        <v>74</v>
      </c>
      <c r="AU255" s="52">
        <v>668075.69999999995</v>
      </c>
      <c r="AV255" s="52"/>
      <c r="AW255" s="52">
        <v>0</v>
      </c>
      <c r="AX255" s="52"/>
      <c r="AY255" s="52"/>
      <c r="AZ255" s="52">
        <v>0</v>
      </c>
      <c r="BA255" s="52">
        <v>668075.69999999995</v>
      </c>
      <c r="BB255" s="55" t="s">
        <v>373</v>
      </c>
      <c r="BC255" s="51" t="s">
        <v>74</v>
      </c>
      <c r="BD255" s="54" t="s">
        <v>74</v>
      </c>
      <c r="BE255" s="54" t="s">
        <v>74</v>
      </c>
      <c r="BF255" s="54" t="s">
        <v>74</v>
      </c>
      <c r="BG255" s="54" t="s">
        <v>74</v>
      </c>
      <c r="BH255" s="52">
        <v>668075.69999999995</v>
      </c>
      <c r="BI255" s="52">
        <v>8122314.5899999999</v>
      </c>
      <c r="BJ255" s="52">
        <v>7454238.8899999997</v>
      </c>
      <c r="BK255" s="56">
        <v>43739</v>
      </c>
      <c r="BL255" s="57">
        <v>8122314.5899999999</v>
      </c>
      <c r="BM255" s="47">
        <v>0</v>
      </c>
      <c r="BN255" s="9"/>
      <c r="BO255" s="9"/>
      <c r="BP255" s="9"/>
      <c r="BQ255" s="9"/>
      <c r="BR255" s="9"/>
      <c r="BS255" s="9"/>
      <c r="BT255" s="9"/>
      <c r="BU255" s="9"/>
      <c r="BV255" s="9"/>
      <c r="BW255" s="9"/>
    </row>
    <row r="256" spans="1:75" ht="69.75" hidden="1" customHeight="1" outlineLevel="2" x14ac:dyDescent="0.25">
      <c r="A256" s="43" t="s">
        <v>346</v>
      </c>
      <c r="B256" s="110" t="s">
        <v>347</v>
      </c>
      <c r="C256" s="45">
        <v>2019</v>
      </c>
      <c r="D256" s="46" t="s">
        <v>90</v>
      </c>
      <c r="E256" s="47">
        <v>0</v>
      </c>
      <c r="F256" s="47">
        <v>0</v>
      </c>
      <c r="G256" s="47">
        <v>0</v>
      </c>
      <c r="H256" s="47">
        <v>0</v>
      </c>
      <c r="I256" s="47">
        <v>0</v>
      </c>
      <c r="J256" s="47">
        <v>0</v>
      </c>
      <c r="K256" s="47">
        <v>0</v>
      </c>
      <c r="L256" s="47">
        <v>0</v>
      </c>
      <c r="M256" s="47">
        <v>0</v>
      </c>
      <c r="N256" s="47">
        <v>0</v>
      </c>
      <c r="O256" s="47">
        <v>0</v>
      </c>
      <c r="P256" s="47">
        <v>0</v>
      </c>
      <c r="Q256" s="47">
        <v>10373091.039999999</v>
      </c>
      <c r="R256" s="47">
        <v>0</v>
      </c>
      <c r="S256" s="47">
        <v>0</v>
      </c>
      <c r="T256" s="47">
        <v>0</v>
      </c>
      <c r="U256" s="47">
        <v>0</v>
      </c>
      <c r="V256" s="47">
        <v>0</v>
      </c>
      <c r="W256" s="47">
        <v>0</v>
      </c>
      <c r="X256" s="47">
        <v>0</v>
      </c>
      <c r="Y256" s="48">
        <v>10373091.039999999</v>
      </c>
      <c r="Z256" s="58">
        <v>2905851.22</v>
      </c>
      <c r="AA256" s="50">
        <v>2905851.22</v>
      </c>
      <c r="AB256" s="50">
        <v>111330.88</v>
      </c>
      <c r="AC256" s="50">
        <v>0</v>
      </c>
      <c r="AD256" s="50">
        <v>69130.210000000006</v>
      </c>
      <c r="AE256" s="50">
        <v>0</v>
      </c>
      <c r="AF256" s="50">
        <v>0</v>
      </c>
      <c r="AG256" s="49">
        <v>3086312.31</v>
      </c>
      <c r="AH256" s="51" t="s">
        <v>104</v>
      </c>
      <c r="AI256" s="51" t="s">
        <v>374</v>
      </c>
      <c r="AJ256" s="51" t="s">
        <v>74</v>
      </c>
      <c r="AK256" s="51" t="s">
        <v>150</v>
      </c>
      <c r="AL256" s="51" t="s">
        <v>74</v>
      </c>
      <c r="AM256" s="51" t="s">
        <v>74</v>
      </c>
      <c r="AN256" s="52"/>
      <c r="AO256" s="52"/>
      <c r="AP256" s="52"/>
      <c r="AQ256" s="52"/>
      <c r="AR256" s="52"/>
      <c r="AS256" s="52">
        <v>0</v>
      </c>
      <c r="AT256" s="70" t="s">
        <v>74</v>
      </c>
      <c r="AU256" s="52">
        <v>157523.06</v>
      </c>
      <c r="AV256" s="52"/>
      <c r="AW256" s="52">
        <v>0</v>
      </c>
      <c r="AX256" s="52"/>
      <c r="AY256" s="52"/>
      <c r="AZ256" s="52">
        <v>0</v>
      </c>
      <c r="BA256" s="52">
        <v>157523.06</v>
      </c>
      <c r="BB256" s="55" t="s">
        <v>375</v>
      </c>
      <c r="BC256" s="51" t="s">
        <v>74</v>
      </c>
      <c r="BD256" s="54" t="s">
        <v>74</v>
      </c>
      <c r="BE256" s="54" t="s">
        <v>74</v>
      </c>
      <c r="BF256" s="54" t="s">
        <v>74</v>
      </c>
      <c r="BG256" s="54" t="s">
        <v>74</v>
      </c>
      <c r="BH256" s="52">
        <v>157523.06</v>
      </c>
      <c r="BI256" s="52">
        <v>7444301.79</v>
      </c>
      <c r="BJ256" s="52">
        <v>7286778.7300000004</v>
      </c>
      <c r="BK256" s="56">
        <v>43770</v>
      </c>
      <c r="BL256" s="57">
        <v>7444301.79</v>
      </c>
      <c r="BM256" s="47">
        <v>0</v>
      </c>
      <c r="BN256" s="9"/>
      <c r="BO256" s="9"/>
      <c r="BP256" s="9"/>
      <c r="BQ256" s="9"/>
      <c r="BR256" s="9"/>
      <c r="BS256" s="9"/>
      <c r="BT256" s="9"/>
      <c r="BU256" s="9"/>
      <c r="BV256" s="9"/>
      <c r="BW256" s="9"/>
    </row>
    <row r="257" spans="1:75" ht="91.5" hidden="1" customHeight="1" outlineLevel="2" x14ac:dyDescent="0.25">
      <c r="A257" s="43" t="s">
        <v>346</v>
      </c>
      <c r="B257" s="110" t="s">
        <v>347</v>
      </c>
      <c r="C257" s="45">
        <v>2019</v>
      </c>
      <c r="D257" s="46" t="s">
        <v>93</v>
      </c>
      <c r="E257" s="47">
        <v>0</v>
      </c>
      <c r="F257" s="47">
        <v>0</v>
      </c>
      <c r="G257" s="47">
        <v>0</v>
      </c>
      <c r="H257" s="47">
        <v>0</v>
      </c>
      <c r="I257" s="47">
        <v>0</v>
      </c>
      <c r="J257" s="47">
        <v>0</v>
      </c>
      <c r="K257" s="47">
        <v>0</v>
      </c>
      <c r="L257" s="47">
        <v>0</v>
      </c>
      <c r="M257" s="47">
        <v>0</v>
      </c>
      <c r="N257" s="47">
        <v>0</v>
      </c>
      <c r="O257" s="47">
        <v>0</v>
      </c>
      <c r="P257" s="47">
        <v>0</v>
      </c>
      <c r="Q257" s="47">
        <v>9681551.6400000006</v>
      </c>
      <c r="R257" s="134">
        <v>1728848.5066666701</v>
      </c>
      <c r="S257" s="47">
        <v>0</v>
      </c>
      <c r="T257" s="47">
        <v>0</v>
      </c>
      <c r="U257" s="47">
        <v>0</v>
      </c>
      <c r="V257" s="47">
        <v>0</v>
      </c>
      <c r="W257" s="47">
        <v>0</v>
      </c>
      <c r="X257" s="47">
        <v>0</v>
      </c>
      <c r="Y257" s="48">
        <v>11410400.1466667</v>
      </c>
      <c r="Z257" s="58">
        <v>2894901.06</v>
      </c>
      <c r="AA257" s="50">
        <v>2894901.06</v>
      </c>
      <c r="AB257" s="50">
        <v>0</v>
      </c>
      <c r="AC257" s="50">
        <v>0</v>
      </c>
      <c r="AD257" s="111">
        <v>171028.07</v>
      </c>
      <c r="AE257" s="50">
        <v>809966.5</v>
      </c>
      <c r="AF257" s="50">
        <v>0</v>
      </c>
      <c r="AG257" s="49">
        <v>3875895.63</v>
      </c>
      <c r="AH257" s="51" t="s">
        <v>104</v>
      </c>
      <c r="AI257" s="51" t="s">
        <v>74</v>
      </c>
      <c r="AJ257" s="51" t="s">
        <v>74</v>
      </c>
      <c r="AK257" s="51" t="s">
        <v>376</v>
      </c>
      <c r="AL257" s="51" t="s">
        <v>377</v>
      </c>
      <c r="AM257" s="51" t="s">
        <v>74</v>
      </c>
      <c r="AN257" s="52"/>
      <c r="AO257" s="52"/>
      <c r="AP257" s="52"/>
      <c r="AQ257" s="52"/>
      <c r="AR257" s="52"/>
      <c r="AS257" s="52">
        <v>0</v>
      </c>
      <c r="AT257" s="70" t="s">
        <v>74</v>
      </c>
      <c r="AU257" s="52">
        <v>0</v>
      </c>
      <c r="AV257" s="52"/>
      <c r="AW257" s="59">
        <v>438815.79</v>
      </c>
      <c r="AX257" s="52"/>
      <c r="AY257" s="52"/>
      <c r="AZ257" s="52">
        <v>0</v>
      </c>
      <c r="BA257" s="52">
        <v>438815.79</v>
      </c>
      <c r="BB257" s="54" t="s">
        <v>74</v>
      </c>
      <c r="BC257" s="53" t="s">
        <v>74</v>
      </c>
      <c r="BD257" s="55" t="s">
        <v>378</v>
      </c>
      <c r="BE257" s="55" t="s">
        <v>74</v>
      </c>
      <c r="BF257" s="55" t="s">
        <v>74</v>
      </c>
      <c r="BG257" s="55" t="s">
        <v>74</v>
      </c>
      <c r="BH257" s="52">
        <v>438815.79</v>
      </c>
      <c r="BI257" s="52">
        <v>7973320.3066666704</v>
      </c>
      <c r="BJ257" s="52">
        <v>7973320.3066666704</v>
      </c>
      <c r="BK257" s="56">
        <v>43800</v>
      </c>
      <c r="BL257" s="57">
        <v>7973320.3099999996</v>
      </c>
      <c r="BM257" s="47">
        <v>0</v>
      </c>
      <c r="BN257" s="9"/>
      <c r="BO257" s="9"/>
      <c r="BP257" s="9"/>
      <c r="BQ257" s="9"/>
      <c r="BR257" s="9"/>
      <c r="BS257" s="9"/>
      <c r="BT257" s="9"/>
      <c r="BU257" s="9"/>
      <c r="BV257" s="9"/>
      <c r="BW257" s="9"/>
    </row>
    <row r="258" spans="1:75" ht="26.25" hidden="1" outlineLevel="2" x14ac:dyDescent="0.25">
      <c r="A258" s="43" t="s">
        <v>346</v>
      </c>
      <c r="B258" s="110" t="s">
        <v>347</v>
      </c>
      <c r="C258" s="45">
        <v>2020</v>
      </c>
      <c r="D258" s="46" t="s">
        <v>73</v>
      </c>
      <c r="E258" s="47">
        <v>0</v>
      </c>
      <c r="F258" s="47">
        <v>0</v>
      </c>
      <c r="G258" s="47">
        <v>0</v>
      </c>
      <c r="H258" s="47">
        <v>0</v>
      </c>
      <c r="I258" s="47">
        <v>0</v>
      </c>
      <c r="J258" s="47">
        <v>0</v>
      </c>
      <c r="K258" s="47">
        <v>0</v>
      </c>
      <c r="L258" s="47">
        <v>0</v>
      </c>
      <c r="M258" s="47">
        <v>0</v>
      </c>
      <c r="N258" s="47">
        <v>0</v>
      </c>
      <c r="O258" s="47">
        <v>0</v>
      </c>
      <c r="P258" s="47">
        <v>0</v>
      </c>
      <c r="Q258" s="47">
        <v>0</v>
      </c>
      <c r="R258" s="47">
        <v>10373091.039999999</v>
      </c>
      <c r="S258" s="47">
        <v>0</v>
      </c>
      <c r="T258" s="47">
        <v>0</v>
      </c>
      <c r="U258" s="47">
        <v>0</v>
      </c>
      <c r="V258" s="47">
        <v>0</v>
      </c>
      <c r="W258" s="47">
        <v>0</v>
      </c>
      <c r="X258" s="47">
        <v>0</v>
      </c>
      <c r="Y258" s="48">
        <v>10373091.039999999</v>
      </c>
      <c r="Z258" s="58">
        <v>2880931.88</v>
      </c>
      <c r="AA258" s="50">
        <v>2880931.88</v>
      </c>
      <c r="AB258" s="50">
        <v>0</v>
      </c>
      <c r="AC258" s="50">
        <v>0</v>
      </c>
      <c r="AD258" s="50">
        <v>0</v>
      </c>
      <c r="AE258" s="50">
        <v>0</v>
      </c>
      <c r="AF258" s="50">
        <v>0</v>
      </c>
      <c r="AG258" s="49">
        <v>2880931.88</v>
      </c>
      <c r="AH258" s="51" t="s">
        <v>104</v>
      </c>
      <c r="AI258" s="51" t="s">
        <v>74</v>
      </c>
      <c r="AJ258" s="51" t="s">
        <v>74</v>
      </c>
      <c r="AK258" s="51" t="s">
        <v>74</v>
      </c>
      <c r="AL258" s="51" t="s">
        <v>74</v>
      </c>
      <c r="AM258" s="51" t="s">
        <v>74</v>
      </c>
      <c r="AN258" s="52">
        <v>0</v>
      </c>
      <c r="AO258" s="52">
        <v>0</v>
      </c>
      <c r="AP258" s="52">
        <v>0</v>
      </c>
      <c r="AQ258" s="52">
        <v>0</v>
      </c>
      <c r="AR258" s="52">
        <v>0</v>
      </c>
      <c r="AS258" s="52">
        <v>0</v>
      </c>
      <c r="AT258" s="70" t="s">
        <v>74</v>
      </c>
      <c r="AU258" s="52">
        <v>0</v>
      </c>
      <c r="AV258" s="52"/>
      <c r="AW258" s="52">
        <v>0</v>
      </c>
      <c r="AX258" s="52"/>
      <c r="AY258" s="52"/>
      <c r="AZ258" s="52">
        <v>0</v>
      </c>
      <c r="BA258" s="52">
        <v>0</v>
      </c>
      <c r="BB258" s="54" t="s">
        <v>74</v>
      </c>
      <c r="BC258" s="53" t="s">
        <v>74</v>
      </c>
      <c r="BD258" s="55" t="s">
        <v>74</v>
      </c>
      <c r="BE258" s="55" t="s">
        <v>74</v>
      </c>
      <c r="BF258" s="55" t="s">
        <v>74</v>
      </c>
      <c r="BG258" s="55" t="s">
        <v>74</v>
      </c>
      <c r="BH258" s="52">
        <v>0</v>
      </c>
      <c r="BI258" s="52">
        <v>7492159.1600000001</v>
      </c>
      <c r="BJ258" s="52">
        <v>7492159.1600000001</v>
      </c>
      <c r="BK258" s="56">
        <v>43831</v>
      </c>
      <c r="BL258" s="57">
        <v>7492159.1600000001</v>
      </c>
      <c r="BM258" s="47">
        <v>0</v>
      </c>
      <c r="BN258" s="9"/>
      <c r="BO258" s="9"/>
      <c r="BP258" s="9"/>
      <c r="BQ258" s="9"/>
      <c r="BR258" s="9"/>
      <c r="BS258" s="9"/>
      <c r="BT258" s="9"/>
      <c r="BU258" s="9"/>
      <c r="BV258" s="9"/>
      <c r="BW258" s="9"/>
    </row>
    <row r="259" spans="1:75" ht="26.25" hidden="1" outlineLevel="2" x14ac:dyDescent="0.25">
      <c r="A259" s="43" t="s">
        <v>346</v>
      </c>
      <c r="B259" s="110" t="s">
        <v>347</v>
      </c>
      <c r="C259" s="45">
        <v>2020</v>
      </c>
      <c r="D259" s="46" t="s">
        <v>75</v>
      </c>
      <c r="E259" s="47">
        <v>0</v>
      </c>
      <c r="F259" s="47">
        <v>0</v>
      </c>
      <c r="G259" s="47">
        <v>0</v>
      </c>
      <c r="H259" s="47">
        <v>0</v>
      </c>
      <c r="I259" s="47">
        <v>0</v>
      </c>
      <c r="J259" s="47">
        <v>0</v>
      </c>
      <c r="K259" s="47">
        <v>0</v>
      </c>
      <c r="L259" s="47">
        <v>0</v>
      </c>
      <c r="M259" s="47">
        <v>0</v>
      </c>
      <c r="N259" s="47">
        <v>0</v>
      </c>
      <c r="O259" s="47">
        <v>0</v>
      </c>
      <c r="P259" s="47">
        <v>0</v>
      </c>
      <c r="Q259" s="47">
        <v>0</v>
      </c>
      <c r="R259" s="47">
        <v>10373091.039999999</v>
      </c>
      <c r="S259" s="47">
        <v>516399.93</v>
      </c>
      <c r="T259" s="47">
        <v>0</v>
      </c>
      <c r="U259" s="47">
        <v>0</v>
      </c>
      <c r="V259" s="47">
        <v>0</v>
      </c>
      <c r="W259" s="47">
        <v>0</v>
      </c>
      <c r="X259" s="47">
        <v>0</v>
      </c>
      <c r="Y259" s="48">
        <v>10889490.970000001</v>
      </c>
      <c r="Z259" s="58">
        <v>2911195.12</v>
      </c>
      <c r="AA259" s="50">
        <v>2911195.12</v>
      </c>
      <c r="AB259" s="50">
        <v>0</v>
      </c>
      <c r="AC259" s="50">
        <v>0</v>
      </c>
      <c r="AD259" s="62">
        <v>49741.79</v>
      </c>
      <c r="AE259" s="50">
        <v>0</v>
      </c>
      <c r="AF259" s="50">
        <v>0</v>
      </c>
      <c r="AG259" s="49">
        <v>2960936.91</v>
      </c>
      <c r="AH259" s="51" t="s">
        <v>104</v>
      </c>
      <c r="AI259" s="51" t="s">
        <v>74</v>
      </c>
      <c r="AJ259" s="51" t="s">
        <v>74</v>
      </c>
      <c r="AK259" s="51" t="s">
        <v>219</v>
      </c>
      <c r="AL259" s="51" t="s">
        <v>74</v>
      </c>
      <c r="AM259" s="51" t="s">
        <v>74</v>
      </c>
      <c r="AN259" s="52">
        <v>0</v>
      </c>
      <c r="AO259" s="52">
        <v>0</v>
      </c>
      <c r="AP259" s="52">
        <v>0</v>
      </c>
      <c r="AQ259" s="52">
        <v>0</v>
      </c>
      <c r="AR259" s="52">
        <v>0</v>
      </c>
      <c r="AS259" s="52">
        <v>0</v>
      </c>
      <c r="AT259" s="70" t="s">
        <v>74</v>
      </c>
      <c r="AU259" s="52">
        <v>0</v>
      </c>
      <c r="AV259" s="52"/>
      <c r="AW259" s="52">
        <v>0</v>
      </c>
      <c r="AX259" s="52"/>
      <c r="AY259" s="52"/>
      <c r="AZ259" s="52">
        <v>0</v>
      </c>
      <c r="BA259" s="52">
        <v>0</v>
      </c>
      <c r="BB259" s="54" t="s">
        <v>74</v>
      </c>
      <c r="BC259" s="53" t="s">
        <v>74</v>
      </c>
      <c r="BD259" s="55" t="s">
        <v>74</v>
      </c>
      <c r="BE259" s="55" t="s">
        <v>74</v>
      </c>
      <c r="BF259" s="55" t="s">
        <v>74</v>
      </c>
      <c r="BG259" s="55" t="s">
        <v>74</v>
      </c>
      <c r="BH259" s="52">
        <v>0</v>
      </c>
      <c r="BI259" s="52">
        <v>7928554.0599999996</v>
      </c>
      <c r="BJ259" s="52">
        <v>7908638.8200000003</v>
      </c>
      <c r="BK259" s="56">
        <v>43862</v>
      </c>
      <c r="BL259" s="57">
        <v>7928554.0599999996</v>
      </c>
      <c r="BM259" s="47">
        <v>0</v>
      </c>
      <c r="BN259" s="9"/>
      <c r="BO259" s="9"/>
      <c r="BP259" s="9"/>
      <c r="BQ259" s="9"/>
      <c r="BR259" s="9"/>
      <c r="BS259" s="9"/>
      <c r="BT259" s="9"/>
      <c r="BU259" s="9"/>
      <c r="BV259" s="9"/>
      <c r="BW259" s="9"/>
    </row>
    <row r="260" spans="1:75" ht="407.25" hidden="1" customHeight="1" outlineLevel="2" x14ac:dyDescent="0.25">
      <c r="A260" s="43" t="s">
        <v>346</v>
      </c>
      <c r="B260" s="110" t="s">
        <v>347</v>
      </c>
      <c r="C260" s="45">
        <v>2020</v>
      </c>
      <c r="D260" s="46" t="s">
        <v>77</v>
      </c>
      <c r="E260" s="47">
        <v>0</v>
      </c>
      <c r="F260" s="47">
        <v>0</v>
      </c>
      <c r="G260" s="47">
        <v>0</v>
      </c>
      <c r="H260" s="47">
        <v>0</v>
      </c>
      <c r="I260" s="47">
        <v>0</v>
      </c>
      <c r="J260" s="47">
        <v>0</v>
      </c>
      <c r="K260" s="47">
        <v>0</v>
      </c>
      <c r="L260" s="47">
        <v>0</v>
      </c>
      <c r="M260" s="47">
        <v>0</v>
      </c>
      <c r="N260" s="47">
        <v>0</v>
      </c>
      <c r="O260" s="47">
        <v>0</v>
      </c>
      <c r="P260" s="47">
        <v>0</v>
      </c>
      <c r="Q260" s="47">
        <v>0</v>
      </c>
      <c r="R260" s="47">
        <v>10373091.039999999</v>
      </c>
      <c r="S260" s="47">
        <v>516399.93</v>
      </c>
      <c r="T260" s="47">
        <v>0</v>
      </c>
      <c r="U260" s="47">
        <v>0</v>
      </c>
      <c r="V260" s="47">
        <v>0</v>
      </c>
      <c r="W260" s="47">
        <v>0</v>
      </c>
      <c r="X260" s="47">
        <v>0</v>
      </c>
      <c r="Y260" s="48">
        <v>10889490.970000001</v>
      </c>
      <c r="Z260" s="58">
        <v>3117296.59</v>
      </c>
      <c r="AA260" s="50">
        <v>2932597.8</v>
      </c>
      <c r="AB260" s="50">
        <v>0</v>
      </c>
      <c r="AC260" s="50">
        <v>0</v>
      </c>
      <c r="AD260" s="62">
        <v>48254.35</v>
      </c>
      <c r="AE260" s="50">
        <v>177705.31</v>
      </c>
      <c r="AF260" s="50">
        <v>0</v>
      </c>
      <c r="AG260" s="49">
        <v>3158557.46</v>
      </c>
      <c r="AH260" s="51" t="s">
        <v>379</v>
      </c>
      <c r="AI260" s="51" t="s">
        <v>74</v>
      </c>
      <c r="AJ260" s="51" t="s">
        <v>74</v>
      </c>
      <c r="AK260" s="51" t="s">
        <v>159</v>
      </c>
      <c r="AL260" s="51" t="s">
        <v>380</v>
      </c>
      <c r="AM260" s="51" t="s">
        <v>74</v>
      </c>
      <c r="AN260" s="52"/>
      <c r="AO260" s="52">
        <v>0</v>
      </c>
      <c r="AP260" s="52"/>
      <c r="AQ260" s="52"/>
      <c r="AR260" s="52"/>
      <c r="AS260" s="52">
        <v>0</v>
      </c>
      <c r="AT260" s="70" t="s">
        <v>74</v>
      </c>
      <c r="AU260" s="52">
        <v>1168796.72</v>
      </c>
      <c r="AV260" s="52"/>
      <c r="AW260" s="52">
        <v>26000</v>
      </c>
      <c r="AX260" s="52"/>
      <c r="AY260" s="52"/>
      <c r="AZ260" s="52">
        <v>0</v>
      </c>
      <c r="BA260" s="52">
        <v>1194796.72</v>
      </c>
      <c r="BB260" s="55" t="s">
        <v>381</v>
      </c>
      <c r="BC260" s="51" t="s">
        <v>74</v>
      </c>
      <c r="BD260" s="55" t="s">
        <v>382</v>
      </c>
      <c r="BE260" s="55" t="s">
        <v>74</v>
      </c>
      <c r="BF260" s="55" t="s">
        <v>74</v>
      </c>
      <c r="BG260" s="55" t="s">
        <v>74</v>
      </c>
      <c r="BH260" s="52">
        <v>1194796.72</v>
      </c>
      <c r="BI260" s="52">
        <v>8925730.2300000004</v>
      </c>
      <c r="BJ260" s="52">
        <v>7730933.5099999998</v>
      </c>
      <c r="BK260" s="56">
        <v>43891</v>
      </c>
      <c r="BL260" s="57">
        <v>8925730.2300000004</v>
      </c>
      <c r="BM260" s="47">
        <v>0</v>
      </c>
      <c r="BN260" s="9"/>
      <c r="BO260" s="9"/>
      <c r="BP260" s="9"/>
      <c r="BQ260" s="9"/>
      <c r="BR260" s="9"/>
      <c r="BS260" s="9"/>
      <c r="BT260" s="9"/>
      <c r="BU260" s="9"/>
      <c r="BV260" s="9"/>
      <c r="BW260" s="9"/>
    </row>
    <row r="261" spans="1:75" ht="102.75" hidden="1" outlineLevel="2" x14ac:dyDescent="0.25">
      <c r="A261" s="43" t="s">
        <v>346</v>
      </c>
      <c r="B261" s="110" t="s">
        <v>347</v>
      </c>
      <c r="C261" s="45">
        <v>2020</v>
      </c>
      <c r="D261" s="46" t="s">
        <v>79</v>
      </c>
      <c r="E261" s="47">
        <v>0</v>
      </c>
      <c r="F261" s="47">
        <v>0</v>
      </c>
      <c r="G261" s="47">
        <v>0</v>
      </c>
      <c r="H261" s="47">
        <v>0</v>
      </c>
      <c r="I261" s="47">
        <v>0</v>
      </c>
      <c r="J261" s="47">
        <v>0</v>
      </c>
      <c r="K261" s="47">
        <v>0</v>
      </c>
      <c r="L261" s="47">
        <v>0</v>
      </c>
      <c r="M261" s="47">
        <v>0</v>
      </c>
      <c r="N261" s="47">
        <v>0</v>
      </c>
      <c r="O261" s="47">
        <v>0</v>
      </c>
      <c r="P261" s="47">
        <v>0</v>
      </c>
      <c r="Q261" s="47">
        <v>0</v>
      </c>
      <c r="R261" s="47">
        <v>10373091.039999999</v>
      </c>
      <c r="S261" s="47">
        <v>516399.93</v>
      </c>
      <c r="T261" s="47">
        <v>0</v>
      </c>
      <c r="U261" s="47">
        <v>0</v>
      </c>
      <c r="V261" s="47">
        <v>0</v>
      </c>
      <c r="W261" s="47">
        <v>0</v>
      </c>
      <c r="X261" s="47">
        <v>0</v>
      </c>
      <c r="Y261" s="48">
        <v>10889490.970000001</v>
      </c>
      <c r="Z261" s="58">
        <v>2956373.69</v>
      </c>
      <c r="AA261" s="50">
        <v>2938654.99</v>
      </c>
      <c r="AB261" s="50">
        <v>184698.79</v>
      </c>
      <c r="AC261" s="50">
        <v>0</v>
      </c>
      <c r="AD261" s="62">
        <v>42197.16</v>
      </c>
      <c r="AE261" s="50">
        <v>0</v>
      </c>
      <c r="AF261" s="50">
        <v>0</v>
      </c>
      <c r="AG261" s="49">
        <v>3165550.94</v>
      </c>
      <c r="AH261" s="51" t="s">
        <v>383</v>
      </c>
      <c r="AI261" s="51" t="s">
        <v>384</v>
      </c>
      <c r="AJ261" s="51" t="s">
        <v>74</v>
      </c>
      <c r="AK261" s="51" t="s">
        <v>385</v>
      </c>
      <c r="AL261" s="51" t="s">
        <v>74</v>
      </c>
      <c r="AM261" s="51" t="s">
        <v>74</v>
      </c>
      <c r="AN261" s="52"/>
      <c r="AO261" s="52">
        <v>0</v>
      </c>
      <c r="AP261" s="52"/>
      <c r="AQ261" s="52"/>
      <c r="AR261" s="52"/>
      <c r="AS261" s="52">
        <v>0</v>
      </c>
      <c r="AT261" s="70" t="s">
        <v>74</v>
      </c>
      <c r="AU261" s="52">
        <v>19650.95</v>
      </c>
      <c r="AV261" s="52"/>
      <c r="AW261" s="52">
        <v>218902.69</v>
      </c>
      <c r="AX261" s="52"/>
      <c r="AY261" s="52"/>
      <c r="AZ261" s="52">
        <v>0</v>
      </c>
      <c r="BA261" s="52">
        <v>238553.64</v>
      </c>
      <c r="BB261" s="55" t="s">
        <v>386</v>
      </c>
      <c r="BC261" s="51" t="s">
        <v>74</v>
      </c>
      <c r="BD261" s="55" t="s">
        <v>387</v>
      </c>
      <c r="BE261" s="55" t="s">
        <v>74</v>
      </c>
      <c r="BF261" s="55" t="s">
        <v>74</v>
      </c>
      <c r="BG261" s="55" t="s">
        <v>74</v>
      </c>
      <c r="BH261" s="52">
        <v>238553.64</v>
      </c>
      <c r="BI261" s="52">
        <v>7962493.6699999999</v>
      </c>
      <c r="BJ261" s="52">
        <v>7723940.0300000003</v>
      </c>
      <c r="BK261" s="56">
        <v>43922</v>
      </c>
      <c r="BL261" s="63">
        <v>7962493.6699999999</v>
      </c>
      <c r="BM261" s="47">
        <v>0</v>
      </c>
      <c r="BN261" s="9"/>
      <c r="BO261" s="9"/>
      <c r="BP261" s="9"/>
      <c r="BQ261" s="9"/>
      <c r="BR261" s="9"/>
      <c r="BS261" s="9"/>
      <c r="BT261" s="9"/>
      <c r="BU261" s="9"/>
      <c r="BV261" s="9"/>
      <c r="BW261" s="9"/>
    </row>
    <row r="262" spans="1:75" ht="64.5" hidden="1" outlineLevel="2" x14ac:dyDescent="0.25">
      <c r="A262" s="43" t="s">
        <v>346</v>
      </c>
      <c r="B262" s="110" t="s">
        <v>347</v>
      </c>
      <c r="C262" s="45">
        <v>2020</v>
      </c>
      <c r="D262" s="46" t="s">
        <v>81</v>
      </c>
      <c r="E262" s="47">
        <v>0</v>
      </c>
      <c r="F262" s="47">
        <v>0</v>
      </c>
      <c r="G262" s="47">
        <v>0</v>
      </c>
      <c r="H262" s="47">
        <v>0</v>
      </c>
      <c r="I262" s="47">
        <v>0</v>
      </c>
      <c r="J262" s="47">
        <v>0</v>
      </c>
      <c r="K262" s="47">
        <v>0</v>
      </c>
      <c r="L262" s="47">
        <v>0</v>
      </c>
      <c r="M262" s="47">
        <v>0</v>
      </c>
      <c r="N262" s="47">
        <v>0</v>
      </c>
      <c r="O262" s="47">
        <v>0</v>
      </c>
      <c r="P262" s="47">
        <v>0</v>
      </c>
      <c r="Q262" s="47">
        <v>0</v>
      </c>
      <c r="R262" s="47">
        <v>10373091.039999999</v>
      </c>
      <c r="S262" s="47">
        <v>516399.93</v>
      </c>
      <c r="T262" s="47">
        <v>0</v>
      </c>
      <c r="U262" s="47">
        <v>0</v>
      </c>
      <c r="V262" s="47">
        <v>0</v>
      </c>
      <c r="W262" s="47">
        <v>0</v>
      </c>
      <c r="X262" s="47">
        <v>0</v>
      </c>
      <c r="Y262" s="48">
        <v>10889490.970000001</v>
      </c>
      <c r="Z262" s="60">
        <v>2995428.44</v>
      </c>
      <c r="AA262" s="50">
        <v>2935155.56</v>
      </c>
      <c r="AB262" s="50">
        <v>17718.7</v>
      </c>
      <c r="AC262" s="50">
        <v>0</v>
      </c>
      <c r="AD262" s="50">
        <v>45696.59</v>
      </c>
      <c r="AE262" s="50">
        <v>0</v>
      </c>
      <c r="AF262" s="50">
        <v>0</v>
      </c>
      <c r="AG262" s="49">
        <v>2998570.85</v>
      </c>
      <c r="AH262" s="51" t="s">
        <v>388</v>
      </c>
      <c r="AI262" s="51" t="s">
        <v>389</v>
      </c>
      <c r="AJ262" s="51" t="s">
        <v>74</v>
      </c>
      <c r="AK262" s="51" t="s">
        <v>162</v>
      </c>
      <c r="AL262" s="51" t="s">
        <v>74</v>
      </c>
      <c r="AM262" s="51" t="s">
        <v>74</v>
      </c>
      <c r="AN262" s="52">
        <v>0</v>
      </c>
      <c r="AO262" s="52">
        <v>0</v>
      </c>
      <c r="AP262" s="52">
        <v>0</v>
      </c>
      <c r="AQ262" s="52">
        <v>0</v>
      </c>
      <c r="AR262" s="52">
        <v>0</v>
      </c>
      <c r="AS262" s="52">
        <v>0</v>
      </c>
      <c r="AT262" s="70" t="s">
        <v>74</v>
      </c>
      <c r="AU262" s="52">
        <v>0</v>
      </c>
      <c r="AV262" s="52"/>
      <c r="AW262" s="52">
        <v>0</v>
      </c>
      <c r="AX262" s="52"/>
      <c r="AY262" s="52"/>
      <c r="AZ262" s="52">
        <v>0</v>
      </c>
      <c r="BA262" s="52">
        <v>0</v>
      </c>
      <c r="BB262" s="54" t="s">
        <v>74</v>
      </c>
      <c r="BC262" s="53" t="s">
        <v>74</v>
      </c>
      <c r="BD262" s="55" t="s">
        <v>74</v>
      </c>
      <c r="BE262" s="55" t="s">
        <v>74</v>
      </c>
      <c r="BF262" s="55" t="s">
        <v>74</v>
      </c>
      <c r="BG262" s="55" t="s">
        <v>74</v>
      </c>
      <c r="BH262" s="52">
        <v>0</v>
      </c>
      <c r="BI262" s="52">
        <v>7890920.1200000001</v>
      </c>
      <c r="BJ262" s="52">
        <v>7890920.1200000001</v>
      </c>
      <c r="BK262" s="56">
        <v>43952</v>
      </c>
      <c r="BL262" s="57">
        <v>7890920.1200000001</v>
      </c>
      <c r="BM262" s="47">
        <v>0</v>
      </c>
      <c r="BN262" s="9"/>
      <c r="BO262" s="9"/>
      <c r="BP262" s="9"/>
      <c r="BQ262" s="9"/>
      <c r="BR262" s="9"/>
      <c r="BS262" s="9"/>
      <c r="BT262" s="9"/>
      <c r="BU262" s="9"/>
      <c r="BV262" s="9"/>
      <c r="BW262" s="9"/>
    </row>
    <row r="263" spans="1:75" ht="192" hidden="1" outlineLevel="2" x14ac:dyDescent="0.25">
      <c r="A263" s="43" t="s">
        <v>346</v>
      </c>
      <c r="B263" s="110" t="s">
        <v>347</v>
      </c>
      <c r="C263" s="45">
        <v>2020</v>
      </c>
      <c r="D263" s="46" t="s">
        <v>83</v>
      </c>
      <c r="E263" s="47">
        <v>0</v>
      </c>
      <c r="F263" s="47">
        <v>0</v>
      </c>
      <c r="G263" s="47">
        <v>0</v>
      </c>
      <c r="H263" s="47">
        <v>0</v>
      </c>
      <c r="I263" s="47">
        <v>0</v>
      </c>
      <c r="J263" s="47">
        <v>0</v>
      </c>
      <c r="K263" s="47">
        <v>0</v>
      </c>
      <c r="L263" s="47">
        <v>0</v>
      </c>
      <c r="M263" s="47">
        <v>0</v>
      </c>
      <c r="N263" s="47">
        <v>0</v>
      </c>
      <c r="O263" s="47">
        <v>0</v>
      </c>
      <c r="P263" s="47">
        <v>0</v>
      </c>
      <c r="Q263" s="47">
        <v>0</v>
      </c>
      <c r="R263" s="134">
        <v>8644242.5333333407</v>
      </c>
      <c r="S263" s="47">
        <v>430333.28</v>
      </c>
      <c r="T263" s="134">
        <v>1813613.64</v>
      </c>
      <c r="U263" s="47">
        <v>0</v>
      </c>
      <c r="V263" s="47">
        <v>0</v>
      </c>
      <c r="W263" s="47">
        <v>0</v>
      </c>
      <c r="X263" s="47">
        <v>0</v>
      </c>
      <c r="Y263" s="48">
        <v>10888189.4533333</v>
      </c>
      <c r="Z263" s="58">
        <v>2958099.39</v>
      </c>
      <c r="AA263" s="50">
        <v>2940658.3</v>
      </c>
      <c r="AB263" s="50">
        <v>60272.88</v>
      </c>
      <c r="AC263" s="50">
        <v>0</v>
      </c>
      <c r="AD263" s="62">
        <v>40193.85</v>
      </c>
      <c r="AE263" s="50">
        <v>0</v>
      </c>
      <c r="AF263" s="50">
        <v>0</v>
      </c>
      <c r="AG263" s="49">
        <v>3041125.03</v>
      </c>
      <c r="AH263" s="51" t="s">
        <v>390</v>
      </c>
      <c r="AI263" s="51" t="s">
        <v>391</v>
      </c>
      <c r="AJ263" s="51" t="s">
        <v>74</v>
      </c>
      <c r="AK263" s="51" t="s">
        <v>163</v>
      </c>
      <c r="AL263" s="51" t="s">
        <v>74</v>
      </c>
      <c r="AM263" s="51" t="s">
        <v>74</v>
      </c>
      <c r="AN263" s="52"/>
      <c r="AO263" s="52">
        <v>0</v>
      </c>
      <c r="AP263" s="52"/>
      <c r="AQ263" s="52"/>
      <c r="AR263" s="52"/>
      <c r="AS263" s="52">
        <v>0</v>
      </c>
      <c r="AT263" s="70" t="s">
        <v>74</v>
      </c>
      <c r="AU263" s="59">
        <v>148167.01</v>
      </c>
      <c r="AV263" s="52"/>
      <c r="AW263" s="52">
        <v>0</v>
      </c>
      <c r="AX263" s="52"/>
      <c r="AY263" s="52"/>
      <c r="AZ263" s="52">
        <v>0</v>
      </c>
      <c r="BA263" s="52">
        <v>148167.01</v>
      </c>
      <c r="BB263" s="53" t="s">
        <v>392</v>
      </c>
      <c r="BC263" s="53" t="s">
        <v>74</v>
      </c>
      <c r="BD263" s="55" t="s">
        <v>74</v>
      </c>
      <c r="BE263" s="55" t="s">
        <v>74</v>
      </c>
      <c r="BF263" s="55" t="s">
        <v>74</v>
      </c>
      <c r="BG263" s="55" t="s">
        <v>74</v>
      </c>
      <c r="BH263" s="52">
        <v>148167.01</v>
      </c>
      <c r="BI263" s="52">
        <v>7995231.4333333401</v>
      </c>
      <c r="BJ263" s="52">
        <v>7847064.4233333403</v>
      </c>
      <c r="BK263" s="56">
        <v>43983</v>
      </c>
      <c r="BL263" s="57">
        <v>7995231.4299999997</v>
      </c>
      <c r="BM263" s="47">
        <v>0</v>
      </c>
      <c r="BN263" s="9"/>
      <c r="BO263" s="9"/>
      <c r="BP263" s="9"/>
      <c r="BQ263" s="9"/>
      <c r="BR263" s="9"/>
      <c r="BS263" s="9"/>
      <c r="BT263" s="9"/>
      <c r="BU263" s="9"/>
      <c r="BV263" s="9"/>
      <c r="BW263" s="9"/>
    </row>
    <row r="264" spans="1:75" ht="319.5" hidden="1" outlineLevel="2" x14ac:dyDescent="0.25">
      <c r="A264" s="43" t="s">
        <v>346</v>
      </c>
      <c r="B264" s="110" t="s">
        <v>347</v>
      </c>
      <c r="C264" s="45">
        <v>2020</v>
      </c>
      <c r="D264" s="46" t="s">
        <v>84</v>
      </c>
      <c r="E264" s="47">
        <v>0</v>
      </c>
      <c r="F264" s="47">
        <v>0</v>
      </c>
      <c r="G264" s="47">
        <v>0</v>
      </c>
      <c r="H264" s="47">
        <v>0</v>
      </c>
      <c r="I264" s="47">
        <v>0</v>
      </c>
      <c r="J264" s="47">
        <v>0</v>
      </c>
      <c r="K264" s="47">
        <v>0</v>
      </c>
      <c r="L264" s="47">
        <v>0</v>
      </c>
      <c r="M264" s="47">
        <v>0</v>
      </c>
      <c r="N264" s="47">
        <v>0</v>
      </c>
      <c r="O264" s="47">
        <v>0</v>
      </c>
      <c r="P264" s="47">
        <v>0</v>
      </c>
      <c r="Q264" s="47">
        <v>0</v>
      </c>
      <c r="R264" s="47">
        <v>0</v>
      </c>
      <c r="S264" s="47">
        <v>0</v>
      </c>
      <c r="T264" s="134">
        <v>10881681.83</v>
      </c>
      <c r="U264" s="47">
        <v>0</v>
      </c>
      <c r="V264" s="47">
        <v>0</v>
      </c>
      <c r="W264" s="47">
        <v>0</v>
      </c>
      <c r="X264" s="47">
        <v>0</v>
      </c>
      <c r="Y264" s="48">
        <v>10881681.83</v>
      </c>
      <c r="Z264" s="58">
        <v>3012693.27</v>
      </c>
      <c r="AA264" s="50">
        <v>2933576.85</v>
      </c>
      <c r="AB264" s="50">
        <v>17441.090000000298</v>
      </c>
      <c r="AC264" s="50">
        <v>0</v>
      </c>
      <c r="AD264" s="62">
        <v>35275.300000000003</v>
      </c>
      <c r="AE264" s="50">
        <v>0</v>
      </c>
      <c r="AF264" s="50">
        <v>0</v>
      </c>
      <c r="AG264" s="49">
        <v>2986293.24</v>
      </c>
      <c r="AH264" s="51" t="s">
        <v>393</v>
      </c>
      <c r="AI264" s="51" t="s">
        <v>394</v>
      </c>
      <c r="AJ264" s="51" t="s">
        <v>74</v>
      </c>
      <c r="AK264" s="51" t="s">
        <v>165</v>
      </c>
      <c r="AL264" s="51" t="s">
        <v>74</v>
      </c>
      <c r="AM264" s="51" t="s">
        <v>74</v>
      </c>
      <c r="AN264" s="52"/>
      <c r="AO264" s="52">
        <v>0</v>
      </c>
      <c r="AP264" s="52"/>
      <c r="AQ264" s="52"/>
      <c r="AR264" s="52"/>
      <c r="AS264" s="52">
        <v>0</v>
      </c>
      <c r="AT264" s="70" t="s">
        <v>74</v>
      </c>
      <c r="AU264" s="59">
        <v>142141.79</v>
      </c>
      <c r="AV264" s="52"/>
      <c r="AW264" s="59">
        <v>625600</v>
      </c>
      <c r="AX264" s="52"/>
      <c r="AY264" s="52"/>
      <c r="AZ264" s="52">
        <v>0</v>
      </c>
      <c r="BA264" s="52">
        <v>767741.79</v>
      </c>
      <c r="BB264" s="53" t="s">
        <v>395</v>
      </c>
      <c r="BC264" s="53" t="s">
        <v>74</v>
      </c>
      <c r="BD264" s="55" t="s">
        <v>396</v>
      </c>
      <c r="BE264" s="55" t="s">
        <v>74</v>
      </c>
      <c r="BF264" s="55" t="s">
        <v>74</v>
      </c>
      <c r="BG264" s="55" t="s">
        <v>74</v>
      </c>
      <c r="BH264" s="52">
        <v>767741.79</v>
      </c>
      <c r="BI264" s="52">
        <v>8663130.3800000008</v>
      </c>
      <c r="BJ264" s="52">
        <v>7895388.5899999999</v>
      </c>
      <c r="BK264" s="56">
        <v>44013</v>
      </c>
      <c r="BL264" s="57">
        <v>8663130.3800000008</v>
      </c>
      <c r="BM264" s="47">
        <v>0</v>
      </c>
      <c r="BN264" s="9"/>
      <c r="BO264" s="9"/>
      <c r="BP264" s="9"/>
      <c r="BQ264" s="9"/>
      <c r="BR264" s="9"/>
      <c r="BS264" s="9"/>
      <c r="BT264" s="9"/>
      <c r="BU264" s="9"/>
      <c r="BV264" s="9"/>
      <c r="BW264" s="9"/>
    </row>
    <row r="265" spans="1:75" ht="64.5" hidden="1" outlineLevel="2" x14ac:dyDescent="0.25">
      <c r="A265" s="43" t="s">
        <v>346</v>
      </c>
      <c r="B265" s="110" t="s">
        <v>347</v>
      </c>
      <c r="C265" s="45">
        <v>2020</v>
      </c>
      <c r="D265" s="46" t="s">
        <v>86</v>
      </c>
      <c r="E265" s="47">
        <v>0</v>
      </c>
      <c r="F265" s="47">
        <v>0</v>
      </c>
      <c r="G265" s="47">
        <v>0</v>
      </c>
      <c r="H265" s="47">
        <v>0</v>
      </c>
      <c r="I265" s="47">
        <v>0</v>
      </c>
      <c r="J265" s="47">
        <v>0</v>
      </c>
      <c r="K265" s="47">
        <v>0</v>
      </c>
      <c r="L265" s="47">
        <v>0</v>
      </c>
      <c r="M265" s="47">
        <v>0</v>
      </c>
      <c r="N265" s="47">
        <v>0</v>
      </c>
      <c r="O265" s="47">
        <v>0</v>
      </c>
      <c r="P265" s="47">
        <v>0</v>
      </c>
      <c r="Q265" s="47">
        <v>0</v>
      </c>
      <c r="R265" s="47">
        <v>0</v>
      </c>
      <c r="S265" s="47">
        <v>0</v>
      </c>
      <c r="T265" s="134">
        <v>10881681.83</v>
      </c>
      <c r="U265" s="47">
        <v>0</v>
      </c>
      <c r="V265" s="47">
        <v>0</v>
      </c>
      <c r="W265" s="47">
        <v>0</v>
      </c>
      <c r="X265" s="47">
        <v>0</v>
      </c>
      <c r="Y265" s="48">
        <v>10881681.83</v>
      </c>
      <c r="Z265" s="65">
        <v>3037704.12</v>
      </c>
      <c r="AA265" s="50">
        <v>2931836.71</v>
      </c>
      <c r="AB265" s="50">
        <v>79116.42</v>
      </c>
      <c r="AC265" s="50">
        <v>0</v>
      </c>
      <c r="AD265" s="62">
        <v>37015.440000000002</v>
      </c>
      <c r="AE265" s="50">
        <v>0</v>
      </c>
      <c r="AF265" s="50">
        <v>0</v>
      </c>
      <c r="AG265" s="49">
        <v>3047968.57</v>
      </c>
      <c r="AH265" s="51" t="s">
        <v>397</v>
      </c>
      <c r="AI265" s="51" t="s">
        <v>398</v>
      </c>
      <c r="AJ265" s="51" t="s">
        <v>74</v>
      </c>
      <c r="AK265" s="51" t="s">
        <v>168</v>
      </c>
      <c r="AL265" s="51" t="s">
        <v>74</v>
      </c>
      <c r="AM265" s="51" t="s">
        <v>74</v>
      </c>
      <c r="AN265" s="52"/>
      <c r="AO265" s="52">
        <v>0</v>
      </c>
      <c r="AP265" s="52"/>
      <c r="AQ265" s="52"/>
      <c r="AR265" s="52"/>
      <c r="AS265" s="52">
        <v>0</v>
      </c>
      <c r="AT265" s="70" t="s">
        <v>74</v>
      </c>
      <c r="AU265" s="59">
        <v>36063.49</v>
      </c>
      <c r="AV265" s="52"/>
      <c r="AW265" s="52">
        <v>0</v>
      </c>
      <c r="AX265" s="52"/>
      <c r="AY265" s="52"/>
      <c r="AZ265" s="52">
        <v>0</v>
      </c>
      <c r="BA265" s="52">
        <v>36063.49</v>
      </c>
      <c r="BB265" s="53" t="s">
        <v>399</v>
      </c>
      <c r="BC265" s="53" t="s">
        <v>74</v>
      </c>
      <c r="BD265" s="55" t="s">
        <v>74</v>
      </c>
      <c r="BE265" s="55" t="s">
        <v>74</v>
      </c>
      <c r="BF265" s="55" t="s">
        <v>74</v>
      </c>
      <c r="BG265" s="55" t="s">
        <v>74</v>
      </c>
      <c r="BH265" s="52">
        <v>36063.49</v>
      </c>
      <c r="BI265" s="52">
        <v>7869776.75</v>
      </c>
      <c r="BJ265" s="52">
        <v>7833713.2599999998</v>
      </c>
      <c r="BK265" s="56">
        <v>44044</v>
      </c>
      <c r="BL265" s="63">
        <v>7869776.75</v>
      </c>
      <c r="BM265" s="47">
        <v>0</v>
      </c>
      <c r="BN265" s="9"/>
      <c r="BO265" s="9"/>
      <c r="BP265" s="9"/>
      <c r="BQ265" s="9"/>
      <c r="BR265" s="9"/>
      <c r="BS265" s="9"/>
      <c r="BT265" s="9"/>
      <c r="BU265" s="9"/>
      <c r="BV265" s="9"/>
      <c r="BW265" s="9"/>
    </row>
    <row r="266" spans="1:75" ht="77.25" hidden="1" outlineLevel="2" x14ac:dyDescent="0.25">
      <c r="A266" s="43" t="s">
        <v>346</v>
      </c>
      <c r="B266" s="110" t="s">
        <v>347</v>
      </c>
      <c r="C266" s="45">
        <v>2020</v>
      </c>
      <c r="D266" s="46" t="s">
        <v>88</v>
      </c>
      <c r="E266" s="47">
        <v>0</v>
      </c>
      <c r="F266" s="47">
        <v>0</v>
      </c>
      <c r="G266" s="47">
        <v>0</v>
      </c>
      <c r="H266" s="47">
        <v>0</v>
      </c>
      <c r="I266" s="47">
        <v>0</v>
      </c>
      <c r="J266" s="47">
        <v>0</v>
      </c>
      <c r="K266" s="47">
        <v>0</v>
      </c>
      <c r="L266" s="47">
        <v>0</v>
      </c>
      <c r="M266" s="47">
        <v>0</v>
      </c>
      <c r="N266" s="47">
        <v>0</v>
      </c>
      <c r="O266" s="47">
        <v>0</v>
      </c>
      <c r="P266" s="47">
        <v>0</v>
      </c>
      <c r="Q266" s="47">
        <v>0</v>
      </c>
      <c r="R266" s="47">
        <v>0</v>
      </c>
      <c r="S266" s="47">
        <v>0</v>
      </c>
      <c r="T266" s="134">
        <v>10881681.83</v>
      </c>
      <c r="U266" s="47">
        <v>0</v>
      </c>
      <c r="V266" s="47">
        <v>0</v>
      </c>
      <c r="W266" s="47">
        <v>0</v>
      </c>
      <c r="X266" s="47">
        <v>0</v>
      </c>
      <c r="Y266" s="48">
        <v>10881681.83</v>
      </c>
      <c r="Z266" s="66">
        <v>3092644.13</v>
      </c>
      <c r="AA266" s="50">
        <v>2930894.17</v>
      </c>
      <c r="AB266" s="50">
        <v>105867.41</v>
      </c>
      <c r="AC266" s="50">
        <v>0</v>
      </c>
      <c r="AD266" s="62">
        <v>37957.980000000003</v>
      </c>
      <c r="AE266" s="50">
        <v>1450227.7</v>
      </c>
      <c r="AF266" s="50">
        <v>0</v>
      </c>
      <c r="AG266" s="49">
        <v>4524947.26</v>
      </c>
      <c r="AH266" s="51" t="s">
        <v>400</v>
      </c>
      <c r="AI266" s="51" t="s">
        <v>401</v>
      </c>
      <c r="AJ266" s="51" t="s">
        <v>74</v>
      </c>
      <c r="AK266" s="51" t="s">
        <v>170</v>
      </c>
      <c r="AL266" s="51" t="s">
        <v>402</v>
      </c>
      <c r="AM266" s="51" t="s">
        <v>74</v>
      </c>
      <c r="AN266" s="52">
        <v>0</v>
      </c>
      <c r="AO266" s="52">
        <v>0</v>
      </c>
      <c r="AP266" s="52">
        <v>0</v>
      </c>
      <c r="AQ266" s="52">
        <v>0</v>
      </c>
      <c r="AR266" s="52">
        <v>0</v>
      </c>
      <c r="AS266" s="52">
        <v>0</v>
      </c>
      <c r="AT266" s="70" t="s">
        <v>74</v>
      </c>
      <c r="AU266" s="52">
        <v>0</v>
      </c>
      <c r="AV266" s="52"/>
      <c r="AW266" s="52">
        <v>0</v>
      </c>
      <c r="AX266" s="52"/>
      <c r="AY266" s="52"/>
      <c r="AZ266" s="52">
        <v>0</v>
      </c>
      <c r="BA266" s="52">
        <v>0</v>
      </c>
      <c r="BB266" s="54" t="s">
        <v>74</v>
      </c>
      <c r="BC266" s="53" t="s">
        <v>74</v>
      </c>
      <c r="BD266" s="55" t="s">
        <v>74</v>
      </c>
      <c r="BE266" s="55" t="s">
        <v>74</v>
      </c>
      <c r="BF266" s="55" t="s">
        <v>74</v>
      </c>
      <c r="BG266" s="55" t="s">
        <v>74</v>
      </c>
      <c r="BH266" s="52">
        <v>0</v>
      </c>
      <c r="BI266" s="52">
        <v>6356734.5700000003</v>
      </c>
      <c r="BJ266" s="52">
        <v>6356734.5700000003</v>
      </c>
      <c r="BK266" s="56">
        <v>44075</v>
      </c>
      <c r="BL266" s="63">
        <v>6356734.5700000003</v>
      </c>
      <c r="BM266" s="47">
        <v>0</v>
      </c>
      <c r="BN266" s="9"/>
      <c r="BO266" s="9"/>
      <c r="BP266" s="9"/>
      <c r="BQ266" s="9"/>
      <c r="BR266" s="9"/>
      <c r="BS266" s="9"/>
      <c r="BT266" s="9"/>
      <c r="BU266" s="9"/>
      <c r="BV266" s="9"/>
      <c r="BW266" s="9"/>
    </row>
    <row r="267" spans="1:75" ht="64.5" hidden="1" outlineLevel="2" x14ac:dyDescent="0.25">
      <c r="A267" s="43" t="s">
        <v>346</v>
      </c>
      <c r="B267" s="110" t="s">
        <v>347</v>
      </c>
      <c r="C267" s="45">
        <v>2020</v>
      </c>
      <c r="D267" s="46" t="s">
        <v>89</v>
      </c>
      <c r="E267" s="47">
        <v>0</v>
      </c>
      <c r="F267" s="47">
        <v>0</v>
      </c>
      <c r="G267" s="47">
        <v>0</v>
      </c>
      <c r="H267" s="47">
        <v>0</v>
      </c>
      <c r="I267" s="47">
        <v>0</v>
      </c>
      <c r="J267" s="47">
        <v>0</v>
      </c>
      <c r="K267" s="47">
        <v>0</v>
      </c>
      <c r="L267" s="47">
        <v>0</v>
      </c>
      <c r="M267" s="47">
        <v>0</v>
      </c>
      <c r="N267" s="47">
        <v>0</v>
      </c>
      <c r="O267" s="47">
        <v>0</v>
      </c>
      <c r="P267" s="47">
        <v>0</v>
      </c>
      <c r="Q267" s="47">
        <v>0</v>
      </c>
      <c r="R267" s="47">
        <v>0</v>
      </c>
      <c r="S267" s="47">
        <v>0</v>
      </c>
      <c r="T267" s="134">
        <v>10881681.83</v>
      </c>
      <c r="U267" s="47">
        <v>0</v>
      </c>
      <c r="V267" s="47">
        <v>0</v>
      </c>
      <c r="W267" s="47">
        <v>0</v>
      </c>
      <c r="X267" s="47">
        <v>0</v>
      </c>
      <c r="Y267" s="48">
        <v>10881681.83</v>
      </c>
      <c r="Z267" s="66">
        <v>3086848.1</v>
      </c>
      <c r="AA267" s="50">
        <v>2922636.61</v>
      </c>
      <c r="AB267" s="50">
        <v>161749.96</v>
      </c>
      <c r="AC267" s="50">
        <v>0</v>
      </c>
      <c r="AD267" s="62">
        <v>46215.54</v>
      </c>
      <c r="AE267" s="50">
        <v>0</v>
      </c>
      <c r="AF267" s="50">
        <v>0</v>
      </c>
      <c r="AG267" s="49">
        <v>3130602.11</v>
      </c>
      <c r="AH267" s="51" t="s">
        <v>403</v>
      </c>
      <c r="AI267" s="51" t="s">
        <v>404</v>
      </c>
      <c r="AJ267" s="51" t="s">
        <v>74</v>
      </c>
      <c r="AK267" s="51" t="s">
        <v>172</v>
      </c>
      <c r="AL267" s="51" t="s">
        <v>74</v>
      </c>
      <c r="AM267" s="51" t="s">
        <v>74</v>
      </c>
      <c r="AN267" s="52">
        <v>0</v>
      </c>
      <c r="AO267" s="52">
        <v>0</v>
      </c>
      <c r="AP267" s="52">
        <v>0</v>
      </c>
      <c r="AQ267" s="52">
        <v>0</v>
      </c>
      <c r="AR267" s="52">
        <v>0</v>
      </c>
      <c r="AS267" s="52">
        <v>0</v>
      </c>
      <c r="AT267" s="70" t="s">
        <v>74</v>
      </c>
      <c r="AU267" s="52">
        <v>0</v>
      </c>
      <c r="AV267" s="52"/>
      <c r="AW267" s="52">
        <v>0</v>
      </c>
      <c r="AX267" s="52"/>
      <c r="AY267" s="52"/>
      <c r="AZ267" s="52">
        <v>0</v>
      </c>
      <c r="BA267" s="52">
        <v>0</v>
      </c>
      <c r="BB267" s="54" t="s">
        <v>74</v>
      </c>
      <c r="BC267" s="53" t="s">
        <v>74</v>
      </c>
      <c r="BD267" s="55" t="s">
        <v>74</v>
      </c>
      <c r="BE267" s="55" t="s">
        <v>74</v>
      </c>
      <c r="BF267" s="55" t="s">
        <v>74</v>
      </c>
      <c r="BG267" s="55" t="s">
        <v>74</v>
      </c>
      <c r="BH267" s="52">
        <v>0</v>
      </c>
      <c r="BI267" s="52">
        <v>7751079.7199999997</v>
      </c>
      <c r="BJ267" s="52">
        <v>7751079.7199999997</v>
      </c>
      <c r="BK267" s="56">
        <v>44105</v>
      </c>
      <c r="BL267" s="63">
        <v>7751079.7199999997</v>
      </c>
      <c r="BM267" s="47">
        <v>0</v>
      </c>
      <c r="BN267" s="9"/>
      <c r="BO267" s="9"/>
      <c r="BP267" s="9"/>
      <c r="BQ267" s="9"/>
      <c r="BR267" s="9"/>
      <c r="BS267" s="9"/>
      <c r="BT267" s="9"/>
      <c r="BU267" s="9"/>
      <c r="BV267" s="9"/>
      <c r="BW267" s="9"/>
    </row>
    <row r="268" spans="1:75" ht="39" hidden="1" outlineLevel="2" x14ac:dyDescent="0.25">
      <c r="A268" s="43" t="s">
        <v>346</v>
      </c>
      <c r="B268" s="110" t="s">
        <v>347</v>
      </c>
      <c r="C268" s="45">
        <v>2020</v>
      </c>
      <c r="D268" s="46" t="s">
        <v>90</v>
      </c>
      <c r="E268" s="47">
        <v>0</v>
      </c>
      <c r="F268" s="47">
        <v>0</v>
      </c>
      <c r="G268" s="47">
        <v>0</v>
      </c>
      <c r="H268" s="47">
        <v>0</v>
      </c>
      <c r="I268" s="47">
        <v>0</v>
      </c>
      <c r="J268" s="47">
        <v>0</v>
      </c>
      <c r="K268" s="47">
        <v>0</v>
      </c>
      <c r="L268" s="47">
        <v>0</v>
      </c>
      <c r="M268" s="47">
        <v>0</v>
      </c>
      <c r="N268" s="47">
        <v>0</v>
      </c>
      <c r="O268" s="47">
        <v>0</v>
      </c>
      <c r="P268" s="47">
        <v>0</v>
      </c>
      <c r="Q268" s="47">
        <v>0</v>
      </c>
      <c r="R268" s="47">
        <v>0</v>
      </c>
      <c r="S268" s="47">
        <v>0</v>
      </c>
      <c r="T268" s="134">
        <v>10881681.83</v>
      </c>
      <c r="U268" s="47">
        <v>0</v>
      </c>
      <c r="V268" s="47">
        <v>0</v>
      </c>
      <c r="W268" s="47">
        <v>0</v>
      </c>
      <c r="X268" s="47">
        <v>0</v>
      </c>
      <c r="Y268" s="48">
        <v>10881681.83</v>
      </c>
      <c r="Z268" s="66">
        <v>3007390.77</v>
      </c>
      <c r="AA268" s="62">
        <v>3007390.77</v>
      </c>
      <c r="AB268" s="50">
        <v>164211.49</v>
      </c>
      <c r="AC268" s="50">
        <v>0</v>
      </c>
      <c r="AD268" s="62">
        <v>55496.98</v>
      </c>
      <c r="AE268" s="50">
        <v>0</v>
      </c>
      <c r="AF268" s="50">
        <v>0</v>
      </c>
      <c r="AG268" s="49">
        <v>3227099.24</v>
      </c>
      <c r="AH268" s="51" t="s">
        <v>173</v>
      </c>
      <c r="AI268" s="51" t="s">
        <v>405</v>
      </c>
      <c r="AJ268" s="51" t="s">
        <v>74</v>
      </c>
      <c r="AK268" s="51" t="s">
        <v>175</v>
      </c>
      <c r="AL268" s="51" t="s">
        <v>74</v>
      </c>
      <c r="AM268" s="51" t="s">
        <v>74</v>
      </c>
      <c r="AN268" s="52">
        <v>0</v>
      </c>
      <c r="AO268" s="52">
        <v>0</v>
      </c>
      <c r="AP268" s="52">
        <v>0</v>
      </c>
      <c r="AQ268" s="52">
        <v>0</v>
      </c>
      <c r="AR268" s="52">
        <v>0</v>
      </c>
      <c r="AS268" s="52">
        <v>0</v>
      </c>
      <c r="AT268" s="70" t="s">
        <v>74</v>
      </c>
      <c r="AU268" s="52">
        <v>0</v>
      </c>
      <c r="AV268" s="52"/>
      <c r="AW268" s="52">
        <v>0</v>
      </c>
      <c r="AX268" s="52"/>
      <c r="AY268" s="52"/>
      <c r="AZ268" s="52">
        <v>0</v>
      </c>
      <c r="BA268" s="52">
        <v>0</v>
      </c>
      <c r="BB268" s="54" t="s">
        <v>74</v>
      </c>
      <c r="BC268" s="53" t="s">
        <v>74</v>
      </c>
      <c r="BD268" s="55" t="s">
        <v>74</v>
      </c>
      <c r="BE268" s="55" t="s">
        <v>74</v>
      </c>
      <c r="BF268" s="55" t="s">
        <v>74</v>
      </c>
      <c r="BG268" s="55" t="s">
        <v>74</v>
      </c>
      <c r="BH268" s="52">
        <v>0</v>
      </c>
      <c r="BI268" s="52">
        <v>7654582.5899999999</v>
      </c>
      <c r="BJ268" s="52">
        <v>7654582.5899999999</v>
      </c>
      <c r="BK268" s="56">
        <v>44136</v>
      </c>
      <c r="BL268" s="63">
        <v>7654582.5899999999</v>
      </c>
      <c r="BM268" s="47">
        <v>0</v>
      </c>
      <c r="BN268" s="9"/>
      <c r="BO268" s="9"/>
      <c r="BP268" s="9"/>
      <c r="BQ268" s="9"/>
      <c r="BR268" s="9"/>
      <c r="BS268" s="9"/>
      <c r="BT268" s="9"/>
      <c r="BU268" s="9"/>
      <c r="BV268" s="9"/>
      <c r="BW268" s="9"/>
    </row>
    <row r="269" spans="1:75" ht="64.5" hidden="1" outlineLevel="2" x14ac:dyDescent="0.25">
      <c r="A269" s="43" t="s">
        <v>346</v>
      </c>
      <c r="B269" s="110" t="s">
        <v>347</v>
      </c>
      <c r="C269" s="45">
        <v>2020</v>
      </c>
      <c r="D269" s="46" t="s">
        <v>93</v>
      </c>
      <c r="E269" s="47">
        <v>0</v>
      </c>
      <c r="F269" s="47">
        <v>0</v>
      </c>
      <c r="G269" s="47">
        <v>0</v>
      </c>
      <c r="H269" s="47">
        <v>0</v>
      </c>
      <c r="I269" s="47">
        <v>0</v>
      </c>
      <c r="J269" s="47">
        <v>0</v>
      </c>
      <c r="K269" s="47">
        <v>0</v>
      </c>
      <c r="L269" s="47">
        <v>0</v>
      </c>
      <c r="M269" s="47">
        <v>0</v>
      </c>
      <c r="N269" s="47">
        <v>0</v>
      </c>
      <c r="O269" s="47">
        <v>0</v>
      </c>
      <c r="P269" s="47">
        <v>0</v>
      </c>
      <c r="Q269" s="47">
        <v>0</v>
      </c>
      <c r="R269" s="47">
        <v>0</v>
      </c>
      <c r="S269" s="47">
        <v>0</v>
      </c>
      <c r="T269" s="134">
        <v>10881681.83</v>
      </c>
      <c r="U269" s="47">
        <v>0</v>
      </c>
      <c r="V269" s="47">
        <v>0</v>
      </c>
      <c r="W269" s="47">
        <v>0</v>
      </c>
      <c r="X269" s="47">
        <v>0</v>
      </c>
      <c r="Y269" s="48">
        <v>10881681.83</v>
      </c>
      <c r="Z269" s="67">
        <v>3060033.31</v>
      </c>
      <c r="AA269" s="62">
        <v>3060033.31</v>
      </c>
      <c r="AB269" s="50">
        <v>0</v>
      </c>
      <c r="AC269" s="50">
        <v>0</v>
      </c>
      <c r="AD269" s="62">
        <v>99580.97</v>
      </c>
      <c r="AE269" s="50">
        <v>0</v>
      </c>
      <c r="AF269" s="50">
        <v>0</v>
      </c>
      <c r="AG269" s="49">
        <v>3159614.28</v>
      </c>
      <c r="AH269" s="51" t="s">
        <v>104</v>
      </c>
      <c r="AI269" s="51" t="s">
        <v>74</v>
      </c>
      <c r="AJ269" s="51" t="s">
        <v>74</v>
      </c>
      <c r="AK269" s="51" t="s">
        <v>406</v>
      </c>
      <c r="AL269" s="51" t="s">
        <v>74</v>
      </c>
      <c r="AM269" s="51" t="s">
        <v>74</v>
      </c>
      <c r="AN269" s="52">
        <v>0</v>
      </c>
      <c r="AO269" s="52">
        <v>0</v>
      </c>
      <c r="AP269" s="52">
        <v>0</v>
      </c>
      <c r="AQ269" s="52">
        <v>0</v>
      </c>
      <c r="AR269" s="52">
        <v>0</v>
      </c>
      <c r="AS269" s="52">
        <v>0</v>
      </c>
      <c r="AT269" s="70" t="s">
        <v>74</v>
      </c>
      <c r="AU269" s="52">
        <v>0</v>
      </c>
      <c r="AV269" s="52"/>
      <c r="AW269" s="52">
        <v>0</v>
      </c>
      <c r="AX269" s="52"/>
      <c r="AY269" s="52"/>
      <c r="AZ269" s="52">
        <v>0</v>
      </c>
      <c r="BA269" s="52">
        <v>0</v>
      </c>
      <c r="BB269" s="54" t="s">
        <v>74</v>
      </c>
      <c r="BC269" s="53" t="s">
        <v>74</v>
      </c>
      <c r="BD269" s="55" t="s">
        <v>74</v>
      </c>
      <c r="BE269" s="55" t="s">
        <v>74</v>
      </c>
      <c r="BF269" s="55" t="s">
        <v>74</v>
      </c>
      <c r="BG269" s="55" t="s">
        <v>74</v>
      </c>
      <c r="BH269" s="52">
        <v>0</v>
      </c>
      <c r="BI269" s="52">
        <v>7722067.5499999998</v>
      </c>
      <c r="BJ269" s="52">
        <v>7722067.5499999998</v>
      </c>
      <c r="BK269" s="56">
        <v>44166</v>
      </c>
      <c r="BL269" s="63">
        <v>7722067.5499999998</v>
      </c>
      <c r="BM269" s="47">
        <v>0</v>
      </c>
      <c r="BN269" s="9"/>
      <c r="BO269" s="9"/>
      <c r="BP269" s="9"/>
      <c r="BQ269" s="9"/>
      <c r="BR269" s="9"/>
      <c r="BS269" s="9"/>
      <c r="BT269" s="9"/>
      <c r="BU269" s="9"/>
      <c r="BV269" s="9"/>
      <c r="BW269" s="9"/>
    </row>
    <row r="270" spans="1:75" ht="26.25" hidden="1" outlineLevel="2" x14ac:dyDescent="0.25">
      <c r="A270" s="43" t="s">
        <v>346</v>
      </c>
      <c r="B270" s="110" t="s">
        <v>347</v>
      </c>
      <c r="C270" s="45">
        <v>2021</v>
      </c>
      <c r="D270" s="46" t="s">
        <v>73</v>
      </c>
      <c r="E270" s="47">
        <v>0</v>
      </c>
      <c r="F270" s="47">
        <v>0</v>
      </c>
      <c r="G270" s="47">
        <v>0</v>
      </c>
      <c r="H270" s="47">
        <v>0</v>
      </c>
      <c r="I270" s="47">
        <v>0</v>
      </c>
      <c r="J270" s="47">
        <v>0</v>
      </c>
      <c r="K270" s="47">
        <v>0</v>
      </c>
      <c r="L270" s="47">
        <v>0</v>
      </c>
      <c r="M270" s="47">
        <v>0</v>
      </c>
      <c r="N270" s="47">
        <v>0</v>
      </c>
      <c r="O270" s="47">
        <v>0</v>
      </c>
      <c r="P270" s="47">
        <v>0</v>
      </c>
      <c r="Q270" s="47">
        <v>0</v>
      </c>
      <c r="R270" s="47">
        <v>0</v>
      </c>
      <c r="S270" s="47">
        <v>0</v>
      </c>
      <c r="T270" s="134">
        <v>10881681.83</v>
      </c>
      <c r="U270" s="47">
        <v>0</v>
      </c>
      <c r="V270" s="47">
        <v>0</v>
      </c>
      <c r="W270" s="47">
        <v>0</v>
      </c>
      <c r="X270" s="47">
        <v>0</v>
      </c>
      <c r="Y270" s="48">
        <f t="shared" ref="Y270:Y275" si="27">SUM(E270:X270)</f>
        <v>10881681.83</v>
      </c>
      <c r="Z270" s="66">
        <v>3064562.35</v>
      </c>
      <c r="AA270" s="62">
        <v>3064562.35</v>
      </c>
      <c r="AB270" s="50">
        <v>0</v>
      </c>
      <c r="AC270" s="50">
        <v>0</v>
      </c>
      <c r="AD270" s="50">
        <v>0</v>
      </c>
      <c r="AE270" s="50">
        <v>0</v>
      </c>
      <c r="AF270" s="50">
        <v>0</v>
      </c>
      <c r="AG270" s="49">
        <f t="shared" ref="AG270:AG275" si="28">SUM(AA270:AF270)</f>
        <v>3064562.35</v>
      </c>
      <c r="AH270" s="51" t="s">
        <v>104</v>
      </c>
      <c r="AI270" s="51" t="s">
        <v>74</v>
      </c>
      <c r="AJ270" s="51" t="s">
        <v>74</v>
      </c>
      <c r="AK270" s="51" t="s">
        <v>74</v>
      </c>
      <c r="AL270" s="51" t="s">
        <v>74</v>
      </c>
      <c r="AM270" s="51" t="s">
        <v>74</v>
      </c>
      <c r="AN270" s="52">
        <v>0</v>
      </c>
      <c r="AO270" s="52">
        <v>0</v>
      </c>
      <c r="AP270" s="52">
        <v>0</v>
      </c>
      <c r="AQ270" s="52">
        <v>0</v>
      </c>
      <c r="AR270" s="52">
        <v>0</v>
      </c>
      <c r="AS270" s="52">
        <f t="shared" ref="AS270:AS275" si="29">AN270+AO270+AP270+AQ270+AR270</f>
        <v>0</v>
      </c>
      <c r="AT270" s="70" t="s">
        <v>74</v>
      </c>
      <c r="AU270" s="52">
        <v>0</v>
      </c>
      <c r="AV270" s="52"/>
      <c r="AW270" s="52">
        <v>0</v>
      </c>
      <c r="AX270" s="52"/>
      <c r="AY270" s="52"/>
      <c r="AZ270" s="52">
        <v>0</v>
      </c>
      <c r="BA270" s="52">
        <f t="shared" ref="BA270:BA278" si="30">AU270+AW270+AX270+AZ270</f>
        <v>0</v>
      </c>
      <c r="BB270" s="54" t="s">
        <v>74</v>
      </c>
      <c r="BC270" s="53" t="s">
        <v>74</v>
      </c>
      <c r="BD270" s="55" t="s">
        <v>74</v>
      </c>
      <c r="BE270" s="55" t="s">
        <v>74</v>
      </c>
      <c r="BF270" s="55" t="s">
        <v>74</v>
      </c>
      <c r="BG270" s="55" t="s">
        <v>74</v>
      </c>
      <c r="BH270" s="52">
        <f t="shared" ref="BH270:BH278" si="31">AS270+BA270</f>
        <v>0</v>
      </c>
      <c r="BI270" s="52">
        <f t="shared" ref="BI270:BI278" si="32">Y270-AG270+BH270</f>
        <v>7817119.4800000004</v>
      </c>
      <c r="BJ270" s="52">
        <v>7817119.4800000004</v>
      </c>
      <c r="BK270" s="56">
        <v>44197</v>
      </c>
      <c r="BL270" s="57">
        <v>7817119.4800000004</v>
      </c>
      <c r="BM270" s="47">
        <v>0</v>
      </c>
      <c r="BN270" s="9"/>
      <c r="BO270" s="9"/>
      <c r="BP270" s="9"/>
      <c r="BQ270" s="9"/>
      <c r="BR270" s="9"/>
      <c r="BS270" s="9"/>
      <c r="BT270" s="9"/>
      <c r="BU270" s="9"/>
      <c r="BV270" s="9"/>
      <c r="BW270" s="9"/>
    </row>
    <row r="271" spans="1:75" ht="26.25" hidden="1" outlineLevel="2" x14ac:dyDescent="0.25">
      <c r="A271" s="43" t="s">
        <v>346</v>
      </c>
      <c r="B271" s="110" t="s">
        <v>347</v>
      </c>
      <c r="C271" s="45">
        <v>2021</v>
      </c>
      <c r="D271" s="46" t="s">
        <v>75</v>
      </c>
      <c r="E271" s="47">
        <v>0</v>
      </c>
      <c r="F271" s="47">
        <v>0</v>
      </c>
      <c r="G271" s="47">
        <v>0</v>
      </c>
      <c r="H271" s="47">
        <v>0</v>
      </c>
      <c r="I271" s="47">
        <v>0</v>
      </c>
      <c r="J271" s="47">
        <v>0</v>
      </c>
      <c r="K271" s="47">
        <v>0</v>
      </c>
      <c r="L271" s="47">
        <v>0</v>
      </c>
      <c r="M271" s="47">
        <v>0</v>
      </c>
      <c r="N271" s="47">
        <v>0</v>
      </c>
      <c r="O271" s="47">
        <v>0</v>
      </c>
      <c r="P271" s="47">
        <v>0</v>
      </c>
      <c r="Q271" s="47">
        <v>0</v>
      </c>
      <c r="R271" s="47">
        <v>0</v>
      </c>
      <c r="S271" s="47">
        <v>0</v>
      </c>
      <c r="T271" s="134">
        <v>10881681.83</v>
      </c>
      <c r="U271" s="47">
        <v>0</v>
      </c>
      <c r="V271" s="47">
        <v>0</v>
      </c>
      <c r="W271" s="47">
        <v>0</v>
      </c>
      <c r="X271" s="47">
        <v>0</v>
      </c>
      <c r="Y271" s="48">
        <f t="shared" si="27"/>
        <v>10881681.83</v>
      </c>
      <c r="Z271" s="66">
        <v>3040260.67</v>
      </c>
      <c r="AA271" s="62">
        <v>3040260.67</v>
      </c>
      <c r="AB271" s="50">
        <v>0</v>
      </c>
      <c r="AC271" s="50">
        <v>0</v>
      </c>
      <c r="AD271" s="62">
        <v>46095.55</v>
      </c>
      <c r="AE271" s="50">
        <v>0</v>
      </c>
      <c r="AF271" s="50">
        <v>0</v>
      </c>
      <c r="AG271" s="49">
        <f t="shared" si="28"/>
        <v>3086356.2199999997</v>
      </c>
      <c r="AH271" s="51" t="s">
        <v>104</v>
      </c>
      <c r="AI271" s="51" t="s">
        <v>74</v>
      </c>
      <c r="AJ271" s="51" t="s">
        <v>74</v>
      </c>
      <c r="AK271" s="51" t="s">
        <v>180</v>
      </c>
      <c r="AL271" s="51" t="s">
        <v>74</v>
      </c>
      <c r="AM271" s="51" t="s">
        <v>74</v>
      </c>
      <c r="AN271" s="52">
        <v>0</v>
      </c>
      <c r="AO271" s="52">
        <v>0</v>
      </c>
      <c r="AP271" s="52">
        <v>0</v>
      </c>
      <c r="AQ271" s="52">
        <v>0</v>
      </c>
      <c r="AR271" s="52">
        <v>0</v>
      </c>
      <c r="AS271" s="52">
        <f t="shared" si="29"/>
        <v>0</v>
      </c>
      <c r="AT271" s="70" t="s">
        <v>74</v>
      </c>
      <c r="AU271" s="52">
        <v>0</v>
      </c>
      <c r="AV271" s="52"/>
      <c r="AW271" s="52">
        <v>0</v>
      </c>
      <c r="AX271" s="52"/>
      <c r="AY271" s="52"/>
      <c r="AZ271" s="52">
        <v>0</v>
      </c>
      <c r="BA271" s="52">
        <f t="shared" si="30"/>
        <v>0</v>
      </c>
      <c r="BB271" s="54" t="s">
        <v>74</v>
      </c>
      <c r="BC271" s="53" t="s">
        <v>74</v>
      </c>
      <c r="BD271" s="55" t="s">
        <v>74</v>
      </c>
      <c r="BE271" s="55" t="s">
        <v>74</v>
      </c>
      <c r="BF271" s="55" t="s">
        <v>74</v>
      </c>
      <c r="BG271" s="55" t="s">
        <v>74</v>
      </c>
      <c r="BH271" s="52">
        <f t="shared" si="31"/>
        <v>0</v>
      </c>
      <c r="BI271" s="52">
        <f t="shared" si="32"/>
        <v>7795325.6100000003</v>
      </c>
      <c r="BJ271" s="52">
        <v>7795325.6100000003</v>
      </c>
      <c r="BK271" s="56">
        <v>44228</v>
      </c>
      <c r="BL271" s="57">
        <v>7795325.6100000003</v>
      </c>
      <c r="BM271" s="47">
        <v>0</v>
      </c>
      <c r="BN271" s="9"/>
      <c r="BO271" s="9"/>
      <c r="BP271" s="9"/>
      <c r="BQ271" s="9"/>
      <c r="BR271" s="9"/>
      <c r="BS271" s="9"/>
      <c r="BT271" s="9"/>
      <c r="BU271" s="9"/>
      <c r="BV271" s="9"/>
      <c r="BW271" s="9"/>
    </row>
    <row r="272" spans="1:75" ht="255.75" hidden="1" outlineLevel="2" x14ac:dyDescent="0.25">
      <c r="A272" s="43" t="s">
        <v>346</v>
      </c>
      <c r="B272" s="110" t="s">
        <v>347</v>
      </c>
      <c r="C272" s="45">
        <v>2021</v>
      </c>
      <c r="D272" s="46" t="s">
        <v>77</v>
      </c>
      <c r="E272" s="47">
        <v>0</v>
      </c>
      <c r="F272" s="47">
        <v>0</v>
      </c>
      <c r="G272" s="47">
        <v>0</v>
      </c>
      <c r="H272" s="47">
        <v>0</v>
      </c>
      <c r="I272" s="47">
        <v>0</v>
      </c>
      <c r="J272" s="47">
        <v>0</v>
      </c>
      <c r="K272" s="47">
        <v>0</v>
      </c>
      <c r="L272" s="47">
        <v>0</v>
      </c>
      <c r="M272" s="47">
        <v>0</v>
      </c>
      <c r="N272" s="47">
        <v>0</v>
      </c>
      <c r="O272" s="47">
        <v>0</v>
      </c>
      <c r="P272" s="47">
        <v>0</v>
      </c>
      <c r="Q272" s="47">
        <v>0</v>
      </c>
      <c r="R272" s="47">
        <v>0</v>
      </c>
      <c r="S272" s="47">
        <v>0</v>
      </c>
      <c r="T272" s="134">
        <v>10881681.83</v>
      </c>
      <c r="U272" s="47">
        <v>0</v>
      </c>
      <c r="V272" s="47">
        <v>0</v>
      </c>
      <c r="W272" s="47">
        <v>0</v>
      </c>
      <c r="X272" s="47">
        <v>0</v>
      </c>
      <c r="Y272" s="48">
        <f t="shared" si="27"/>
        <v>10881681.83</v>
      </c>
      <c r="Z272" s="66">
        <v>3011548.61</v>
      </c>
      <c r="AA272" s="62">
        <v>3011548.61</v>
      </c>
      <c r="AB272" s="50">
        <v>0</v>
      </c>
      <c r="AC272" s="50">
        <v>0</v>
      </c>
      <c r="AD272" s="62">
        <v>51039.74</v>
      </c>
      <c r="AE272" s="50">
        <v>0</v>
      </c>
      <c r="AF272" s="50">
        <v>0</v>
      </c>
      <c r="AG272" s="49">
        <f t="shared" si="28"/>
        <v>3062588.35</v>
      </c>
      <c r="AH272" s="51" t="s">
        <v>104</v>
      </c>
      <c r="AI272" s="51" t="s">
        <v>74</v>
      </c>
      <c r="AJ272" s="51" t="s">
        <v>74</v>
      </c>
      <c r="AK272" s="51" t="s">
        <v>182</v>
      </c>
      <c r="AL272" s="51" t="s">
        <v>74</v>
      </c>
      <c r="AM272" s="51" t="s">
        <v>74</v>
      </c>
      <c r="AN272" s="52"/>
      <c r="AO272" s="52"/>
      <c r="AP272" s="52"/>
      <c r="AQ272" s="52"/>
      <c r="AR272" s="52"/>
      <c r="AS272" s="52">
        <f t="shared" si="29"/>
        <v>0</v>
      </c>
      <c r="AT272" s="70" t="s">
        <v>74</v>
      </c>
      <c r="AU272" s="52">
        <v>0</v>
      </c>
      <c r="AV272" s="52"/>
      <c r="AW272" s="145">
        <v>857439.26</v>
      </c>
      <c r="AX272" s="52"/>
      <c r="AY272" s="52"/>
      <c r="AZ272" s="52">
        <v>0</v>
      </c>
      <c r="BA272" s="52">
        <f t="shared" si="30"/>
        <v>857439.26</v>
      </c>
      <c r="BB272" s="54" t="s">
        <v>74</v>
      </c>
      <c r="BC272" s="53" t="s">
        <v>74</v>
      </c>
      <c r="BD272" s="55" t="s">
        <v>407</v>
      </c>
      <c r="BE272" s="55" t="s">
        <v>74</v>
      </c>
      <c r="BF272" s="55" t="s">
        <v>74</v>
      </c>
      <c r="BG272" s="55" t="s">
        <v>74</v>
      </c>
      <c r="BH272" s="52">
        <f t="shared" si="31"/>
        <v>857439.26</v>
      </c>
      <c r="BI272" s="52">
        <f t="shared" si="32"/>
        <v>8676532.7400000002</v>
      </c>
      <c r="BJ272" s="52">
        <v>7819093.4800000004</v>
      </c>
      <c r="BK272" s="56">
        <v>44256</v>
      </c>
      <c r="BL272" s="63">
        <v>8676532.7400000002</v>
      </c>
      <c r="BM272" s="47">
        <v>0</v>
      </c>
      <c r="BN272" s="9"/>
      <c r="BO272" s="9"/>
      <c r="BP272" s="9"/>
      <c r="BQ272" s="9"/>
      <c r="BR272" s="9"/>
      <c r="BS272" s="9"/>
      <c r="BT272" s="9"/>
      <c r="BU272" s="9"/>
      <c r="BV272" s="9"/>
      <c r="BW272" s="9"/>
    </row>
    <row r="273" spans="1:75" ht="102.75" hidden="1" outlineLevel="2" x14ac:dyDescent="0.25">
      <c r="A273" s="43" t="s">
        <v>346</v>
      </c>
      <c r="B273" s="110" t="s">
        <v>347</v>
      </c>
      <c r="C273" s="45">
        <v>2021</v>
      </c>
      <c r="D273" s="46" t="s">
        <v>79</v>
      </c>
      <c r="E273" s="47">
        <v>0</v>
      </c>
      <c r="F273" s="47">
        <v>0</v>
      </c>
      <c r="G273" s="47">
        <v>0</v>
      </c>
      <c r="H273" s="47">
        <v>0</v>
      </c>
      <c r="I273" s="47">
        <v>0</v>
      </c>
      <c r="J273" s="47">
        <v>0</v>
      </c>
      <c r="K273" s="47">
        <v>0</v>
      </c>
      <c r="L273" s="47">
        <v>0</v>
      </c>
      <c r="M273" s="47">
        <v>0</v>
      </c>
      <c r="N273" s="47">
        <v>0</v>
      </c>
      <c r="O273" s="47">
        <v>0</v>
      </c>
      <c r="P273" s="47">
        <v>0</v>
      </c>
      <c r="Q273" s="47">
        <v>0</v>
      </c>
      <c r="R273" s="47">
        <v>0</v>
      </c>
      <c r="S273" s="47">
        <v>0</v>
      </c>
      <c r="T273" s="134">
        <v>10881681.83</v>
      </c>
      <c r="U273" s="47">
        <v>0</v>
      </c>
      <c r="V273" s="47">
        <v>0</v>
      </c>
      <c r="W273" s="47">
        <v>0</v>
      </c>
      <c r="X273" s="47">
        <v>0</v>
      </c>
      <c r="Y273" s="48">
        <f t="shared" si="27"/>
        <v>10881681.83</v>
      </c>
      <c r="Z273" s="66">
        <v>3180367.82</v>
      </c>
      <c r="AA273" s="50">
        <v>3135307.84</v>
      </c>
      <c r="AB273" s="50">
        <v>0</v>
      </c>
      <c r="AC273" s="50">
        <v>0</v>
      </c>
      <c r="AD273" s="62">
        <v>44692.160000000003</v>
      </c>
      <c r="AE273" s="50">
        <v>0</v>
      </c>
      <c r="AF273" s="50">
        <v>0</v>
      </c>
      <c r="AG273" s="49">
        <f t="shared" si="28"/>
        <v>3180000</v>
      </c>
      <c r="AH273" s="51" t="s">
        <v>408</v>
      </c>
      <c r="AI273" s="51" t="s">
        <v>74</v>
      </c>
      <c r="AJ273" s="51" t="s">
        <v>74</v>
      </c>
      <c r="AK273" s="51" t="s">
        <v>409</v>
      </c>
      <c r="AL273" s="51" t="s">
        <v>74</v>
      </c>
      <c r="AM273" s="51" t="s">
        <v>74</v>
      </c>
      <c r="AN273" s="52">
        <v>0</v>
      </c>
      <c r="AO273" s="52">
        <v>0</v>
      </c>
      <c r="AP273" s="52">
        <v>0</v>
      </c>
      <c r="AQ273" s="52">
        <v>0</v>
      </c>
      <c r="AR273" s="52">
        <v>0</v>
      </c>
      <c r="AS273" s="52">
        <f t="shared" si="29"/>
        <v>0</v>
      </c>
      <c r="AT273" s="70" t="s">
        <v>74</v>
      </c>
      <c r="AU273" s="52">
        <v>0</v>
      </c>
      <c r="AV273" s="52"/>
      <c r="AW273" s="59">
        <v>88500.64</v>
      </c>
      <c r="AX273" s="52"/>
      <c r="AY273" s="52"/>
      <c r="AZ273" s="52">
        <v>0</v>
      </c>
      <c r="BA273" s="52">
        <f t="shared" si="30"/>
        <v>88500.64</v>
      </c>
      <c r="BB273" s="54" t="s">
        <v>74</v>
      </c>
      <c r="BC273" s="53" t="s">
        <v>74</v>
      </c>
      <c r="BD273" s="55" t="s">
        <v>410</v>
      </c>
      <c r="BE273" s="55" t="s">
        <v>74</v>
      </c>
      <c r="BF273" s="55" t="s">
        <v>74</v>
      </c>
      <c r="BG273" s="55" t="s">
        <v>74</v>
      </c>
      <c r="BH273" s="52">
        <f t="shared" si="31"/>
        <v>88500.64</v>
      </c>
      <c r="BI273" s="52">
        <f t="shared" si="32"/>
        <v>7790182.4699999997</v>
      </c>
      <c r="BJ273" s="52">
        <v>7701681.8300000001</v>
      </c>
      <c r="BK273" s="56">
        <v>44287</v>
      </c>
      <c r="BL273" s="63">
        <v>7790182.4699999997</v>
      </c>
      <c r="BM273" s="47">
        <v>0</v>
      </c>
      <c r="BN273" s="9"/>
      <c r="BO273" s="9"/>
      <c r="BP273" s="9"/>
      <c r="BQ273" s="9"/>
      <c r="BR273" s="9"/>
      <c r="BS273" s="9"/>
      <c r="BT273" s="9"/>
      <c r="BU273" s="9"/>
      <c r="BV273" s="9"/>
      <c r="BW273" s="9"/>
    </row>
    <row r="274" spans="1:75" ht="26.25" hidden="1" outlineLevel="2" x14ac:dyDescent="0.25">
      <c r="A274" s="43" t="s">
        <v>346</v>
      </c>
      <c r="B274" s="110" t="s">
        <v>347</v>
      </c>
      <c r="C274" s="45">
        <v>2021</v>
      </c>
      <c r="D274" s="46" t="s">
        <v>81</v>
      </c>
      <c r="E274" s="47">
        <v>0</v>
      </c>
      <c r="F274" s="47">
        <v>0</v>
      </c>
      <c r="G274" s="47">
        <v>0</v>
      </c>
      <c r="H274" s="47">
        <v>0</v>
      </c>
      <c r="I274" s="47">
        <v>0</v>
      </c>
      <c r="J274" s="47">
        <v>0</v>
      </c>
      <c r="K274" s="47">
        <v>0</v>
      </c>
      <c r="L274" s="47">
        <v>0</v>
      </c>
      <c r="M274" s="47">
        <v>0</v>
      </c>
      <c r="N274" s="47">
        <v>0</v>
      </c>
      <c r="O274" s="47">
        <v>0</v>
      </c>
      <c r="P274" s="47">
        <v>0</v>
      </c>
      <c r="Q274" s="47">
        <v>0</v>
      </c>
      <c r="R274" s="47">
        <v>0</v>
      </c>
      <c r="S274" s="47">
        <v>0</v>
      </c>
      <c r="T274" s="134">
        <v>10881681.83</v>
      </c>
      <c r="U274" s="47">
        <v>0</v>
      </c>
      <c r="V274" s="47">
        <v>0</v>
      </c>
      <c r="W274" s="47">
        <v>0</v>
      </c>
      <c r="X274" s="47">
        <v>0</v>
      </c>
      <c r="Y274" s="48">
        <f t="shared" si="27"/>
        <v>10881681.83</v>
      </c>
      <c r="Z274" s="66">
        <v>2991766.09</v>
      </c>
      <c r="AA274" s="62">
        <v>2991766.09</v>
      </c>
      <c r="AB274" s="50">
        <v>0</v>
      </c>
      <c r="AC274" s="50">
        <v>0</v>
      </c>
      <c r="AD274" s="62">
        <v>48303.08</v>
      </c>
      <c r="AE274" s="50">
        <v>0</v>
      </c>
      <c r="AF274" s="50">
        <v>0</v>
      </c>
      <c r="AG274" s="49">
        <f t="shared" si="28"/>
        <v>3040069.17</v>
      </c>
      <c r="AH274" s="51" t="s">
        <v>104</v>
      </c>
      <c r="AI274" s="51" t="s">
        <v>74</v>
      </c>
      <c r="AJ274" s="51" t="s">
        <v>74</v>
      </c>
      <c r="AK274" s="51" t="s">
        <v>411</v>
      </c>
      <c r="AL274" s="51" t="s">
        <v>74</v>
      </c>
      <c r="AM274" s="51" t="s">
        <v>74</v>
      </c>
      <c r="AN274" s="52">
        <v>0</v>
      </c>
      <c r="AO274" s="52">
        <v>0</v>
      </c>
      <c r="AP274" s="52">
        <v>0</v>
      </c>
      <c r="AQ274" s="52">
        <v>0</v>
      </c>
      <c r="AR274" s="52">
        <v>0</v>
      </c>
      <c r="AS274" s="52">
        <f t="shared" si="29"/>
        <v>0</v>
      </c>
      <c r="AT274" s="70" t="s">
        <v>74</v>
      </c>
      <c r="AU274" s="52">
        <v>0</v>
      </c>
      <c r="AV274" s="52"/>
      <c r="AW274" s="52">
        <v>0</v>
      </c>
      <c r="AX274" s="52"/>
      <c r="AY274" s="52"/>
      <c r="AZ274" s="52">
        <v>0</v>
      </c>
      <c r="BA274" s="52">
        <f t="shared" si="30"/>
        <v>0</v>
      </c>
      <c r="BB274" s="54" t="s">
        <v>74</v>
      </c>
      <c r="BC274" s="53" t="s">
        <v>74</v>
      </c>
      <c r="BD274" s="55" t="s">
        <v>74</v>
      </c>
      <c r="BE274" s="55" t="s">
        <v>74</v>
      </c>
      <c r="BF274" s="55" t="s">
        <v>74</v>
      </c>
      <c r="BG274" s="55" t="s">
        <v>74</v>
      </c>
      <c r="BH274" s="52">
        <f t="shared" si="31"/>
        <v>0</v>
      </c>
      <c r="BI274" s="52">
        <f t="shared" si="32"/>
        <v>7841612.6600000001</v>
      </c>
      <c r="BJ274" s="52">
        <v>7841612.6600000001</v>
      </c>
      <c r="BK274" s="56">
        <v>44317</v>
      </c>
      <c r="BL274" s="63">
        <v>7841612.6600000001</v>
      </c>
      <c r="BM274" s="47">
        <v>0</v>
      </c>
      <c r="BN274" s="9"/>
      <c r="BO274" s="9"/>
      <c r="BP274" s="9"/>
      <c r="BQ274" s="9"/>
      <c r="BR274" s="9"/>
      <c r="BS274" s="9"/>
      <c r="BT274" s="9"/>
      <c r="BU274" s="9"/>
      <c r="BV274" s="9"/>
      <c r="BW274" s="9"/>
    </row>
    <row r="275" spans="1:75" ht="179.25" hidden="1" outlineLevel="2" x14ac:dyDescent="0.25">
      <c r="A275" s="43" t="s">
        <v>346</v>
      </c>
      <c r="B275" s="110" t="s">
        <v>347</v>
      </c>
      <c r="C275" s="45">
        <v>2021</v>
      </c>
      <c r="D275" s="46" t="s">
        <v>83</v>
      </c>
      <c r="E275" s="47">
        <v>0</v>
      </c>
      <c r="F275" s="47">
        <v>0</v>
      </c>
      <c r="G275" s="47">
        <v>0</v>
      </c>
      <c r="H275" s="47">
        <v>0</v>
      </c>
      <c r="I275" s="47">
        <v>0</v>
      </c>
      <c r="J275" s="47">
        <v>0</v>
      </c>
      <c r="K275" s="47">
        <v>0</v>
      </c>
      <c r="L275" s="47">
        <v>0</v>
      </c>
      <c r="M275" s="47">
        <v>0</v>
      </c>
      <c r="N275" s="47">
        <v>0</v>
      </c>
      <c r="O275" s="47">
        <v>0</v>
      </c>
      <c r="P275" s="47">
        <v>0</v>
      </c>
      <c r="Q275" s="47">
        <v>0</v>
      </c>
      <c r="R275" s="47">
        <v>0</v>
      </c>
      <c r="S275" s="47">
        <v>0</v>
      </c>
      <c r="T275" s="134">
        <v>9068068.1999999993</v>
      </c>
      <c r="U275" s="47">
        <v>0</v>
      </c>
      <c r="V275" s="47">
        <v>0</v>
      </c>
      <c r="W275" s="47">
        <v>0</v>
      </c>
      <c r="X275" s="47">
        <v>0</v>
      </c>
      <c r="Y275" s="48">
        <f t="shared" si="27"/>
        <v>9068068.1999999993</v>
      </c>
      <c r="Z275" s="146">
        <v>2950377.35</v>
      </c>
      <c r="AA275" s="147">
        <v>2950377.35</v>
      </c>
      <c r="AB275" s="61">
        <v>45059.98</v>
      </c>
      <c r="AC275" s="50">
        <v>0</v>
      </c>
      <c r="AD275" s="148">
        <v>45257.27</v>
      </c>
      <c r="AE275" s="50">
        <v>0</v>
      </c>
      <c r="AF275" s="50">
        <v>0</v>
      </c>
      <c r="AG275" s="49">
        <f t="shared" si="28"/>
        <v>3040694.6</v>
      </c>
      <c r="AH275" s="51" t="s">
        <v>104</v>
      </c>
      <c r="AI275" s="51" t="s">
        <v>412</v>
      </c>
      <c r="AJ275" s="51" t="s">
        <v>74</v>
      </c>
      <c r="AK275" s="51" t="s">
        <v>413</v>
      </c>
      <c r="AL275" s="51" t="s">
        <v>74</v>
      </c>
      <c r="AM275" s="51" t="s">
        <v>74</v>
      </c>
      <c r="AN275" s="52">
        <v>0</v>
      </c>
      <c r="AO275" s="52">
        <v>0</v>
      </c>
      <c r="AP275" s="52">
        <v>0</v>
      </c>
      <c r="AQ275" s="52">
        <v>0</v>
      </c>
      <c r="AR275" s="52">
        <v>0</v>
      </c>
      <c r="AS275" s="52">
        <f t="shared" si="29"/>
        <v>0</v>
      </c>
      <c r="AT275" s="70" t="s">
        <v>74</v>
      </c>
      <c r="AU275" s="52">
        <v>0</v>
      </c>
      <c r="AV275" s="52"/>
      <c r="AW275" s="52">
        <v>0</v>
      </c>
      <c r="AX275" s="68">
        <v>1813613.63</v>
      </c>
      <c r="AY275" s="52"/>
      <c r="AZ275" s="52">
        <v>0</v>
      </c>
      <c r="BA275" s="52">
        <f t="shared" si="30"/>
        <v>1813613.63</v>
      </c>
      <c r="BB275" s="54" t="s">
        <v>74</v>
      </c>
      <c r="BC275" s="53" t="s">
        <v>74</v>
      </c>
      <c r="BD275" s="55" t="s">
        <v>74</v>
      </c>
      <c r="BE275" s="55" t="s">
        <v>414</v>
      </c>
      <c r="BF275" s="55" t="s">
        <v>74</v>
      </c>
      <c r="BG275" s="55" t="s">
        <v>74</v>
      </c>
      <c r="BH275" s="52">
        <f t="shared" si="31"/>
        <v>1813613.63</v>
      </c>
      <c r="BI275" s="52">
        <f t="shared" si="32"/>
        <v>7840987.2299999995</v>
      </c>
      <c r="BJ275" s="52">
        <f>Y275-AG275+AX275</f>
        <v>7840987.2299999995</v>
      </c>
      <c r="BK275" s="56">
        <v>44348</v>
      </c>
      <c r="BL275" s="63">
        <f>5763008.22+228103.13+36262.25+1813613.63</f>
        <v>7840987.2299999995</v>
      </c>
      <c r="BM275" s="47">
        <v>0</v>
      </c>
      <c r="BN275" s="9"/>
      <c r="BO275" s="9"/>
      <c r="BP275" s="9"/>
      <c r="BQ275" s="9"/>
      <c r="BR275" s="9"/>
      <c r="BS275" s="9"/>
      <c r="BT275" s="9"/>
      <c r="BU275" s="9"/>
      <c r="BV275" s="9"/>
      <c r="BW275" s="9"/>
    </row>
    <row r="276" spans="1:75" ht="409.6" hidden="1" outlineLevel="2" x14ac:dyDescent="0.25">
      <c r="A276" s="43" t="s">
        <v>346</v>
      </c>
      <c r="B276" s="110" t="s">
        <v>347</v>
      </c>
      <c r="C276" s="45">
        <v>2021</v>
      </c>
      <c r="D276" s="46" t="s">
        <v>84</v>
      </c>
      <c r="E276" s="47"/>
      <c r="F276" s="47"/>
      <c r="G276" s="47"/>
      <c r="H276" s="47"/>
      <c r="I276" s="47"/>
      <c r="J276" s="47"/>
      <c r="K276" s="47"/>
      <c r="L276" s="47"/>
      <c r="M276" s="47"/>
      <c r="N276" s="47"/>
      <c r="O276" s="47"/>
      <c r="P276" s="47"/>
      <c r="Q276" s="47"/>
      <c r="R276" s="47"/>
      <c r="S276" s="47"/>
      <c r="T276" s="134"/>
      <c r="U276" s="47"/>
      <c r="V276" s="47"/>
      <c r="W276" s="47">
        <v>0</v>
      </c>
      <c r="X276" s="47">
        <v>0</v>
      </c>
      <c r="Y276" s="48"/>
      <c r="Z276" s="149"/>
      <c r="AA276" s="147"/>
      <c r="AB276" s="61"/>
      <c r="AC276" s="50"/>
      <c r="AD276" s="148"/>
      <c r="AE276" s="50"/>
      <c r="AF276" s="50"/>
      <c r="AG276" s="49"/>
      <c r="AH276" s="70" t="s">
        <v>74</v>
      </c>
      <c r="AI276" s="70" t="s">
        <v>74</v>
      </c>
      <c r="AJ276" s="70" t="s">
        <v>74</v>
      </c>
      <c r="AK276" s="70" t="s">
        <v>74</v>
      </c>
      <c r="AL276" s="70" t="s">
        <v>74</v>
      </c>
      <c r="AM276" s="70" t="s">
        <v>74</v>
      </c>
      <c r="AN276" s="52"/>
      <c r="AO276" s="52"/>
      <c r="AP276" s="52"/>
      <c r="AQ276" s="52"/>
      <c r="AR276" s="52"/>
      <c r="AS276" s="52"/>
      <c r="AT276" s="70" t="s">
        <v>74</v>
      </c>
      <c r="AU276" s="52"/>
      <c r="AV276" s="52"/>
      <c r="AW276" s="52"/>
      <c r="AX276" s="68">
        <f>3532775.56+7348906.27</f>
        <v>10881681.83</v>
      </c>
      <c r="AY276" s="52"/>
      <c r="AZ276" s="52"/>
      <c r="BA276" s="52">
        <f t="shared" si="30"/>
        <v>10881681.83</v>
      </c>
      <c r="BB276" s="52" t="s">
        <v>74</v>
      </c>
      <c r="BC276" s="52" t="s">
        <v>74</v>
      </c>
      <c r="BD276" s="52" t="s">
        <v>74</v>
      </c>
      <c r="BE276" s="55" t="s">
        <v>415</v>
      </c>
      <c r="BF276" s="52" t="s">
        <v>74</v>
      </c>
      <c r="BG276" s="52"/>
      <c r="BH276" s="52">
        <f t="shared" si="31"/>
        <v>10881681.83</v>
      </c>
      <c r="BI276" s="52">
        <f t="shared" si="32"/>
        <v>10881681.83</v>
      </c>
      <c r="BJ276" s="52">
        <f>Y276-AG276+AX276</f>
        <v>10881681.83</v>
      </c>
      <c r="BK276" s="56">
        <v>44378</v>
      </c>
      <c r="BL276" s="63">
        <f>3532775.56+7348906.27</f>
        <v>10881681.83</v>
      </c>
      <c r="BM276" s="47">
        <v>0</v>
      </c>
      <c r="BN276" s="9"/>
      <c r="BO276" s="9"/>
      <c r="BP276" s="9"/>
      <c r="BQ276" s="9"/>
      <c r="BR276" s="9"/>
      <c r="BS276" s="9"/>
      <c r="BT276" s="9"/>
      <c r="BU276" s="9"/>
      <c r="BV276" s="9"/>
      <c r="BW276" s="9"/>
    </row>
    <row r="277" spans="1:75" ht="281.25" hidden="1" outlineLevel="2" x14ac:dyDescent="0.25">
      <c r="A277" s="43" t="s">
        <v>346</v>
      </c>
      <c r="B277" s="110" t="s">
        <v>347</v>
      </c>
      <c r="C277" s="45">
        <v>2021</v>
      </c>
      <c r="D277" s="46" t="s">
        <v>86</v>
      </c>
      <c r="E277" s="47"/>
      <c r="F277" s="47"/>
      <c r="G277" s="47"/>
      <c r="H277" s="47"/>
      <c r="I277" s="47"/>
      <c r="J277" s="47"/>
      <c r="K277" s="47"/>
      <c r="L277" s="47"/>
      <c r="M277" s="47"/>
      <c r="N277" s="47"/>
      <c r="O277" s="47"/>
      <c r="P277" s="47"/>
      <c r="Q277" s="47"/>
      <c r="R277" s="47"/>
      <c r="S277" s="47"/>
      <c r="T277" s="134"/>
      <c r="U277" s="47"/>
      <c r="V277" s="47"/>
      <c r="W277" s="47">
        <v>0</v>
      </c>
      <c r="X277" s="47">
        <v>0</v>
      </c>
      <c r="Y277" s="48"/>
      <c r="Z277" s="149"/>
      <c r="AA277" s="147"/>
      <c r="AB277" s="61"/>
      <c r="AC277" s="50"/>
      <c r="AD277" s="148"/>
      <c r="AE277" s="50"/>
      <c r="AF277" s="50"/>
      <c r="AG277" s="49"/>
      <c r="AH277" s="70" t="s">
        <v>74</v>
      </c>
      <c r="AI277" s="70" t="s">
        <v>74</v>
      </c>
      <c r="AJ277" s="70" t="s">
        <v>74</v>
      </c>
      <c r="AK277" s="70" t="s">
        <v>74</v>
      </c>
      <c r="AL277" s="70" t="s">
        <v>74</v>
      </c>
      <c r="AM277" s="70" t="s">
        <v>74</v>
      </c>
      <c r="AN277" s="52"/>
      <c r="AO277" s="52"/>
      <c r="AP277" s="52"/>
      <c r="AQ277" s="52"/>
      <c r="AR277" s="52"/>
      <c r="AS277" s="52"/>
      <c r="AT277" s="70" t="s">
        <v>74</v>
      </c>
      <c r="AU277" s="52"/>
      <c r="AV277" s="52"/>
      <c r="AW277" s="68">
        <f>5044503.26+444180.74</f>
        <v>5488684</v>
      </c>
      <c r="AX277" s="68">
        <v>10881681.83</v>
      </c>
      <c r="AY277" s="52"/>
      <c r="AZ277" s="52"/>
      <c r="BA277" s="52">
        <f t="shared" si="30"/>
        <v>16370365.83</v>
      </c>
      <c r="BB277" s="52" t="s">
        <v>74</v>
      </c>
      <c r="BC277" s="52" t="s">
        <v>74</v>
      </c>
      <c r="BD277" s="55" t="s">
        <v>416</v>
      </c>
      <c r="BE277" s="55" t="s">
        <v>417</v>
      </c>
      <c r="BF277" s="52" t="s">
        <v>74</v>
      </c>
      <c r="BG277" s="52"/>
      <c r="BH277" s="52">
        <f t="shared" si="31"/>
        <v>16370365.83</v>
      </c>
      <c r="BI277" s="52">
        <f t="shared" si="32"/>
        <v>16370365.83</v>
      </c>
      <c r="BJ277" s="52">
        <f>Y277-AG277+AX277</f>
        <v>10881681.83</v>
      </c>
      <c r="BK277" s="56">
        <v>44409</v>
      </c>
      <c r="BL277" s="63">
        <f>5488684+10881681.83</f>
        <v>16370365.83</v>
      </c>
      <c r="BM277" s="47">
        <v>0</v>
      </c>
      <c r="BN277" s="9"/>
      <c r="BO277" s="9"/>
      <c r="BP277" s="9"/>
      <c r="BQ277" s="9"/>
      <c r="BR277" s="9"/>
      <c r="BS277" s="9"/>
      <c r="BT277" s="9"/>
      <c r="BU277" s="9"/>
      <c r="BV277" s="9"/>
      <c r="BW277" s="9"/>
    </row>
    <row r="278" spans="1:75" ht="153.75" hidden="1" outlineLevel="2" x14ac:dyDescent="0.25">
      <c r="A278" s="43"/>
      <c r="B278" s="110" t="s">
        <v>347</v>
      </c>
      <c r="C278" s="45">
        <v>2021</v>
      </c>
      <c r="D278" s="46" t="s">
        <v>88</v>
      </c>
      <c r="E278" s="47"/>
      <c r="F278" s="47"/>
      <c r="G278" s="47"/>
      <c r="H278" s="47"/>
      <c r="I278" s="47"/>
      <c r="J278" s="47"/>
      <c r="K278" s="47"/>
      <c r="L278" s="47"/>
      <c r="M278" s="47"/>
      <c r="N278" s="47"/>
      <c r="O278" s="47"/>
      <c r="P278" s="47"/>
      <c r="Q278" s="47"/>
      <c r="R278" s="47"/>
      <c r="S278" s="47"/>
      <c r="T278" s="134"/>
      <c r="U278" s="47"/>
      <c r="V278" s="47"/>
      <c r="W278" s="47"/>
      <c r="X278" s="47"/>
      <c r="Y278" s="48"/>
      <c r="Z278" s="149"/>
      <c r="AA278" s="147"/>
      <c r="AB278" s="61"/>
      <c r="AC278" s="50"/>
      <c r="AD278" s="148"/>
      <c r="AE278" s="50"/>
      <c r="AF278" s="50"/>
      <c r="AG278" s="49"/>
      <c r="AH278" s="70" t="s">
        <v>74</v>
      </c>
      <c r="AI278" s="70" t="s">
        <v>74</v>
      </c>
      <c r="AJ278" s="70" t="s">
        <v>74</v>
      </c>
      <c r="AK278" s="70" t="s">
        <v>74</v>
      </c>
      <c r="AL278" s="70" t="s">
        <v>74</v>
      </c>
      <c r="AM278" s="70" t="s">
        <v>74</v>
      </c>
      <c r="AN278" s="52"/>
      <c r="AO278" s="52"/>
      <c r="AP278" s="52"/>
      <c r="AQ278" s="52"/>
      <c r="AR278" s="52"/>
      <c r="AS278" s="52"/>
      <c r="AT278" s="70" t="s">
        <v>74</v>
      </c>
      <c r="AU278" s="52"/>
      <c r="AV278" s="52"/>
      <c r="AW278" s="68"/>
      <c r="AX278" s="68">
        <v>5785995.7400000002</v>
      </c>
      <c r="AY278" s="52"/>
      <c r="AZ278" s="52"/>
      <c r="BA278" s="52">
        <f t="shared" si="30"/>
        <v>5785995.7400000002</v>
      </c>
      <c r="BB278" s="52" t="s">
        <v>74</v>
      </c>
      <c r="BC278" s="52" t="s">
        <v>74</v>
      </c>
      <c r="BD278" s="52" t="s">
        <v>74</v>
      </c>
      <c r="BE278" s="55" t="s">
        <v>418</v>
      </c>
      <c r="BF278" s="52" t="s">
        <v>74</v>
      </c>
      <c r="BG278" s="52"/>
      <c r="BH278" s="52">
        <f t="shared" si="31"/>
        <v>5785995.7400000002</v>
      </c>
      <c r="BI278" s="52">
        <f t="shared" si="32"/>
        <v>5785995.7400000002</v>
      </c>
      <c r="BJ278" s="52">
        <f>Y278-AG278+AX278</f>
        <v>5785995.7400000002</v>
      </c>
      <c r="BK278" s="56"/>
      <c r="BL278" s="63">
        <v>5785995.7400000002</v>
      </c>
      <c r="BM278" s="47">
        <v>0</v>
      </c>
      <c r="BN278" s="9"/>
      <c r="BO278" s="9"/>
      <c r="BP278" s="9"/>
      <c r="BQ278" s="9"/>
      <c r="BR278" s="9"/>
      <c r="BS278" s="9"/>
      <c r="BT278" s="9"/>
      <c r="BU278" s="9"/>
      <c r="BV278" s="9"/>
      <c r="BW278" s="9"/>
    </row>
    <row r="279" spans="1:75" hidden="1" outlineLevel="2" x14ac:dyDescent="0.25">
      <c r="A279" s="71"/>
      <c r="B279" s="116" t="s">
        <v>347</v>
      </c>
      <c r="C279" s="73">
        <v>2021</v>
      </c>
      <c r="D279" s="74" t="s">
        <v>89</v>
      </c>
      <c r="E279" s="75"/>
      <c r="F279" s="75"/>
      <c r="G279" s="75"/>
      <c r="H279" s="75"/>
      <c r="I279" s="75"/>
      <c r="J279" s="75"/>
      <c r="K279" s="75"/>
      <c r="L279" s="75"/>
      <c r="M279" s="75"/>
      <c r="N279" s="75"/>
      <c r="O279" s="75"/>
      <c r="P279" s="75"/>
      <c r="Q279" s="75"/>
      <c r="R279" s="75"/>
      <c r="S279" s="75"/>
      <c r="T279" s="139"/>
      <c r="U279" s="75"/>
      <c r="V279" s="75"/>
      <c r="W279" s="75"/>
      <c r="X279" s="75"/>
      <c r="Y279" s="76"/>
      <c r="Z279" s="150"/>
      <c r="AA279" s="151"/>
      <c r="AB279" s="152"/>
      <c r="AC279" s="79"/>
      <c r="AD279" s="153"/>
      <c r="AE279" s="79"/>
      <c r="AF279" s="79"/>
      <c r="AG279" s="80"/>
      <c r="AH279" s="81" t="s">
        <v>74</v>
      </c>
      <c r="AI279" s="81" t="s">
        <v>74</v>
      </c>
      <c r="AJ279" s="81" t="s">
        <v>74</v>
      </c>
      <c r="AK279" s="81" t="s">
        <v>74</v>
      </c>
      <c r="AL279" s="81" t="s">
        <v>74</v>
      </c>
      <c r="AM279" s="81" t="s">
        <v>74</v>
      </c>
      <c r="AN279" s="82"/>
      <c r="AO279" s="82"/>
      <c r="AP279" s="82"/>
      <c r="AQ279" s="82"/>
      <c r="AR279" s="82"/>
      <c r="AS279" s="82"/>
      <c r="AT279" s="81" t="s">
        <v>74</v>
      </c>
      <c r="AU279" s="82"/>
      <c r="AV279" s="82"/>
      <c r="AW279" s="119"/>
      <c r="AX279" s="119"/>
      <c r="AY279" s="82"/>
      <c r="AZ279" s="82"/>
      <c r="BA279" s="82"/>
      <c r="BB279" s="82" t="s">
        <v>74</v>
      </c>
      <c r="BC279" s="82" t="s">
        <v>74</v>
      </c>
      <c r="BD279" s="82" t="s">
        <v>74</v>
      </c>
      <c r="BE279" s="82" t="s">
        <v>74</v>
      </c>
      <c r="BF279" s="82" t="s">
        <v>74</v>
      </c>
      <c r="BG279" s="82"/>
      <c r="BH279" s="82"/>
      <c r="BI279" s="82"/>
      <c r="BJ279" s="52"/>
      <c r="BK279" s="56"/>
      <c r="BL279" s="83"/>
      <c r="BM279" s="75">
        <v>0</v>
      </c>
      <c r="BN279" s="9"/>
      <c r="BO279" s="9"/>
      <c r="BP279" s="9"/>
      <c r="BQ279" s="9"/>
      <c r="BR279" s="9"/>
      <c r="BS279" s="9"/>
      <c r="BT279" s="9"/>
      <c r="BU279" s="9"/>
      <c r="BV279" s="9"/>
      <c r="BW279" s="9"/>
    </row>
    <row r="280" spans="1:75" hidden="1" outlineLevel="1" collapsed="1" x14ac:dyDescent="0.25">
      <c r="A280" s="84"/>
      <c r="B280" s="120" t="s">
        <v>419</v>
      </c>
      <c r="C280" s="86"/>
      <c r="D280" s="87"/>
      <c r="E280" s="88"/>
      <c r="F280" s="88"/>
      <c r="G280" s="88"/>
      <c r="H280" s="88"/>
      <c r="I280" s="88"/>
      <c r="J280" s="88"/>
      <c r="K280" s="88"/>
      <c r="L280" s="88"/>
      <c r="M280" s="88"/>
      <c r="N280" s="88"/>
      <c r="O280" s="88"/>
      <c r="P280" s="88"/>
      <c r="Q280" s="88"/>
      <c r="R280" s="88"/>
      <c r="S280" s="88"/>
      <c r="T280" s="95"/>
      <c r="U280" s="88"/>
      <c r="V280" s="88"/>
      <c r="W280" s="88"/>
      <c r="X280" s="88"/>
      <c r="Y280" s="89">
        <f t="shared" ref="Y280:AG280" si="33">SUBTOTAL(9,Y222:Y279)</f>
        <v>0</v>
      </c>
      <c r="Z280" s="154">
        <f t="shared" si="33"/>
        <v>0</v>
      </c>
      <c r="AA280" s="154">
        <f t="shared" si="33"/>
        <v>0</v>
      </c>
      <c r="AB280" s="155">
        <f t="shared" si="33"/>
        <v>0</v>
      </c>
      <c r="AC280" s="89">
        <f t="shared" si="33"/>
        <v>0</v>
      </c>
      <c r="AD280" s="156">
        <f t="shared" si="33"/>
        <v>0</v>
      </c>
      <c r="AE280" s="89">
        <f t="shared" si="33"/>
        <v>0</v>
      </c>
      <c r="AF280" s="89">
        <f t="shared" si="33"/>
        <v>0</v>
      </c>
      <c r="AG280" s="89">
        <f t="shared" si="33"/>
        <v>0</v>
      </c>
      <c r="AH280" s="91"/>
      <c r="AI280" s="91"/>
      <c r="AJ280" s="91"/>
      <c r="AK280" s="91"/>
      <c r="AL280" s="91"/>
      <c r="AM280" s="91"/>
      <c r="AN280" s="92">
        <f t="shared" ref="AN280:AS280" si="34">SUBTOTAL(9,AN222:AN279)</f>
        <v>0</v>
      </c>
      <c r="AO280" s="92">
        <f t="shared" si="34"/>
        <v>0</v>
      </c>
      <c r="AP280" s="92">
        <f t="shared" si="34"/>
        <v>0</v>
      </c>
      <c r="AQ280" s="92">
        <f t="shared" si="34"/>
        <v>0</v>
      </c>
      <c r="AR280" s="92">
        <f t="shared" si="34"/>
        <v>0</v>
      </c>
      <c r="AS280" s="92">
        <f t="shared" si="34"/>
        <v>0</v>
      </c>
      <c r="AT280" s="91"/>
      <c r="AU280" s="92">
        <f t="shared" ref="AU280:BA280" si="35">SUBTOTAL(9,AU222:AU279)</f>
        <v>0</v>
      </c>
      <c r="AV280" s="92">
        <f t="shared" si="35"/>
        <v>0</v>
      </c>
      <c r="AW280" s="122">
        <f t="shared" si="35"/>
        <v>0</v>
      </c>
      <c r="AX280" s="122">
        <f t="shared" si="35"/>
        <v>0</v>
      </c>
      <c r="AY280" s="92">
        <f t="shared" si="35"/>
        <v>0</v>
      </c>
      <c r="AZ280" s="92">
        <f t="shared" si="35"/>
        <v>0</v>
      </c>
      <c r="BA280" s="92">
        <f t="shared" si="35"/>
        <v>0</v>
      </c>
      <c r="BB280" s="92"/>
      <c r="BC280" s="92"/>
      <c r="BD280" s="92"/>
      <c r="BE280" s="92"/>
      <c r="BF280" s="92"/>
      <c r="BG280" s="92"/>
      <c r="BH280" s="92">
        <f>SUBTOTAL(9,BH222:BH279)</f>
        <v>0</v>
      </c>
      <c r="BI280" s="92">
        <f>SUBTOTAL(9,BI222:BI279)</f>
        <v>0</v>
      </c>
      <c r="BJ280" s="93"/>
      <c r="BK280" s="94"/>
      <c r="BL280" s="95">
        <f>SUBTOTAL(9,BL222:BL279)</f>
        <v>0</v>
      </c>
      <c r="BM280" s="88">
        <f>SUBTOTAL(9,BM222:BM279)</f>
        <v>0</v>
      </c>
      <c r="BN280" s="9"/>
      <c r="BO280" s="9"/>
      <c r="BP280" s="9"/>
      <c r="BQ280" s="9"/>
      <c r="BR280" s="9"/>
      <c r="BS280" s="9"/>
      <c r="BT280" s="9"/>
      <c r="BU280" s="9"/>
      <c r="BV280" s="9"/>
      <c r="BW280" s="9"/>
    </row>
    <row r="281" spans="1:75" ht="26.25" hidden="1" outlineLevel="2" x14ac:dyDescent="0.25">
      <c r="A281" s="96" t="s">
        <v>346</v>
      </c>
      <c r="B281" s="97" t="s">
        <v>420</v>
      </c>
      <c r="C281" s="98">
        <v>2017</v>
      </c>
      <c r="D281" s="99" t="s">
        <v>73</v>
      </c>
      <c r="E281" s="100">
        <v>0</v>
      </c>
      <c r="F281" s="100">
        <v>0</v>
      </c>
      <c r="G281" s="100">
        <v>0</v>
      </c>
      <c r="H281" s="100">
        <v>1536586.5</v>
      </c>
      <c r="I281" s="100">
        <v>0</v>
      </c>
      <c r="J281" s="100">
        <v>1536586.5</v>
      </c>
      <c r="K281" s="100">
        <v>0</v>
      </c>
      <c r="L281" s="100">
        <v>0</v>
      </c>
      <c r="M281" s="100">
        <v>0</v>
      </c>
      <c r="N281" s="100">
        <v>0</v>
      </c>
      <c r="O281" s="100">
        <v>0</v>
      </c>
      <c r="P281" s="100">
        <v>0</v>
      </c>
      <c r="Q281" s="100">
        <v>0</v>
      </c>
      <c r="R281" s="100">
        <v>0</v>
      </c>
      <c r="S281" s="100">
        <v>0</v>
      </c>
      <c r="T281" s="100">
        <v>0</v>
      </c>
      <c r="U281" s="100">
        <v>0</v>
      </c>
      <c r="V281" s="100">
        <v>0</v>
      </c>
      <c r="W281" s="100">
        <v>0</v>
      </c>
      <c r="X281" s="100">
        <v>0</v>
      </c>
      <c r="Y281" s="101">
        <v>1536586.5</v>
      </c>
      <c r="Z281" s="133">
        <v>315042.5</v>
      </c>
      <c r="AA281" s="103">
        <v>315042.5</v>
      </c>
      <c r="AB281" s="103">
        <v>0</v>
      </c>
      <c r="AC281" s="103">
        <v>0</v>
      </c>
      <c r="AD281" s="103">
        <v>0</v>
      </c>
      <c r="AE281" s="103">
        <v>0</v>
      </c>
      <c r="AF281" s="103">
        <v>0</v>
      </c>
      <c r="AG281" s="102">
        <v>315042.5</v>
      </c>
      <c r="AH281" s="104" t="s">
        <v>104</v>
      </c>
      <c r="AI281" s="104" t="s">
        <v>74</v>
      </c>
      <c r="AJ281" s="104" t="s">
        <v>74</v>
      </c>
      <c r="AK281" s="104" t="s">
        <v>74</v>
      </c>
      <c r="AL281" s="104" t="s">
        <v>74</v>
      </c>
      <c r="AM281" s="104" t="s">
        <v>74</v>
      </c>
      <c r="AN281" s="105">
        <v>0</v>
      </c>
      <c r="AO281" s="105">
        <v>0</v>
      </c>
      <c r="AP281" s="105">
        <v>0</v>
      </c>
      <c r="AQ281" s="105">
        <v>0</v>
      </c>
      <c r="AR281" s="105">
        <v>0</v>
      </c>
      <c r="AS281" s="105">
        <v>0</v>
      </c>
      <c r="AT281" s="106" t="s">
        <v>74</v>
      </c>
      <c r="AU281" s="105">
        <v>0</v>
      </c>
      <c r="AV281" s="105"/>
      <c r="AW281" s="105">
        <v>0</v>
      </c>
      <c r="AX281" s="105"/>
      <c r="AY281" s="105"/>
      <c r="AZ281" s="105">
        <v>0</v>
      </c>
      <c r="BA281" s="105">
        <v>0</v>
      </c>
      <c r="BB281" s="107" t="s">
        <v>74</v>
      </c>
      <c r="BC281" s="106" t="s">
        <v>74</v>
      </c>
      <c r="BD281" s="108" t="s">
        <v>74</v>
      </c>
      <c r="BE281" s="108" t="s">
        <v>74</v>
      </c>
      <c r="BF281" s="108" t="s">
        <v>74</v>
      </c>
      <c r="BG281" s="108" t="s">
        <v>74</v>
      </c>
      <c r="BH281" s="105">
        <v>0</v>
      </c>
      <c r="BI281" s="105">
        <v>1221544</v>
      </c>
      <c r="BJ281" s="52">
        <v>1221544</v>
      </c>
      <c r="BK281" s="56">
        <v>42736</v>
      </c>
      <c r="BL281" s="109">
        <v>1221544</v>
      </c>
      <c r="BM281" s="100">
        <v>0</v>
      </c>
      <c r="BN281" s="9"/>
      <c r="BO281" s="9"/>
      <c r="BP281" s="9"/>
      <c r="BQ281" s="9"/>
      <c r="BR281" s="9"/>
      <c r="BS281" s="9"/>
      <c r="BT281" s="9"/>
      <c r="BU281" s="9"/>
      <c r="BV281" s="9"/>
      <c r="BW281" s="9"/>
    </row>
    <row r="282" spans="1:75" ht="39" hidden="1" outlineLevel="2" x14ac:dyDescent="0.25">
      <c r="A282" s="43" t="s">
        <v>346</v>
      </c>
      <c r="B282" s="110" t="s">
        <v>420</v>
      </c>
      <c r="C282" s="45">
        <v>2017</v>
      </c>
      <c r="D282" s="46" t="s">
        <v>75</v>
      </c>
      <c r="E282" s="47">
        <v>0</v>
      </c>
      <c r="F282" s="47">
        <v>0</v>
      </c>
      <c r="G282" s="47">
        <v>0</v>
      </c>
      <c r="H282" s="47">
        <v>1536586.5</v>
      </c>
      <c r="I282" s="47">
        <v>0</v>
      </c>
      <c r="J282" s="47">
        <v>1536586.5</v>
      </c>
      <c r="K282" s="47">
        <v>0</v>
      </c>
      <c r="L282" s="47">
        <v>0</v>
      </c>
      <c r="M282" s="47">
        <v>0</v>
      </c>
      <c r="N282" s="47">
        <v>0</v>
      </c>
      <c r="O282" s="47">
        <v>0</v>
      </c>
      <c r="P282" s="47">
        <v>0</v>
      </c>
      <c r="Q282" s="47">
        <v>0</v>
      </c>
      <c r="R282" s="47">
        <v>0</v>
      </c>
      <c r="S282" s="47">
        <v>0</v>
      </c>
      <c r="T282" s="47">
        <v>0</v>
      </c>
      <c r="U282" s="47">
        <v>0</v>
      </c>
      <c r="V282" s="47">
        <v>0</v>
      </c>
      <c r="W282" s="47">
        <v>0</v>
      </c>
      <c r="X282" s="47">
        <v>0</v>
      </c>
      <c r="Y282" s="48">
        <v>1536586.5</v>
      </c>
      <c r="Z282" s="58">
        <v>315042.5</v>
      </c>
      <c r="AA282" s="50">
        <v>315042.5</v>
      </c>
      <c r="AB282" s="50">
        <v>0</v>
      </c>
      <c r="AC282" s="50">
        <v>5367.38</v>
      </c>
      <c r="AD282" s="50">
        <v>0</v>
      </c>
      <c r="AE282" s="50">
        <v>0</v>
      </c>
      <c r="AF282" s="50">
        <v>0</v>
      </c>
      <c r="AG282" s="49">
        <v>320409.88</v>
      </c>
      <c r="AH282" s="51" t="s">
        <v>104</v>
      </c>
      <c r="AI282" s="51" t="s">
        <v>74</v>
      </c>
      <c r="AJ282" s="51" t="s">
        <v>421</v>
      </c>
      <c r="AK282" s="51" t="s">
        <v>74</v>
      </c>
      <c r="AL282" s="51" t="s">
        <v>74</v>
      </c>
      <c r="AM282" s="51" t="s">
        <v>74</v>
      </c>
      <c r="AN282" s="52">
        <v>0</v>
      </c>
      <c r="AO282" s="52">
        <v>0</v>
      </c>
      <c r="AP282" s="52">
        <v>0</v>
      </c>
      <c r="AQ282" s="52">
        <v>0</v>
      </c>
      <c r="AR282" s="52">
        <v>0</v>
      </c>
      <c r="AS282" s="52">
        <v>0</v>
      </c>
      <c r="AT282" s="53" t="s">
        <v>74</v>
      </c>
      <c r="AU282" s="52">
        <v>0</v>
      </c>
      <c r="AV282" s="52"/>
      <c r="AW282" s="52">
        <v>0</v>
      </c>
      <c r="AX282" s="52"/>
      <c r="AY282" s="52"/>
      <c r="AZ282" s="52">
        <v>0</v>
      </c>
      <c r="BA282" s="52">
        <v>0</v>
      </c>
      <c r="BB282" s="54" t="s">
        <v>74</v>
      </c>
      <c r="BC282" s="53" t="s">
        <v>74</v>
      </c>
      <c r="BD282" s="55" t="s">
        <v>74</v>
      </c>
      <c r="BE282" s="55" t="s">
        <v>74</v>
      </c>
      <c r="BF282" s="55" t="s">
        <v>74</v>
      </c>
      <c r="BG282" s="55" t="s">
        <v>74</v>
      </c>
      <c r="BH282" s="52">
        <v>0</v>
      </c>
      <c r="BI282" s="52">
        <v>1216176.6200000001</v>
      </c>
      <c r="BJ282" s="52">
        <v>1216176.6200000001</v>
      </c>
      <c r="BK282" s="56">
        <v>42767</v>
      </c>
      <c r="BL282" s="57">
        <v>1216176.6200000001</v>
      </c>
      <c r="BM282" s="47">
        <v>0</v>
      </c>
      <c r="BN282" s="9"/>
      <c r="BO282" s="9"/>
      <c r="BP282" s="9"/>
      <c r="BQ282" s="9"/>
      <c r="BR282" s="9"/>
      <c r="BS282" s="9"/>
      <c r="BT282" s="9"/>
      <c r="BU282" s="9"/>
      <c r="BV282" s="9"/>
      <c r="BW282" s="9"/>
    </row>
    <row r="283" spans="1:75" ht="26.25" hidden="1" outlineLevel="2" x14ac:dyDescent="0.25">
      <c r="A283" s="43" t="s">
        <v>346</v>
      </c>
      <c r="B283" s="110" t="s">
        <v>420</v>
      </c>
      <c r="C283" s="45">
        <v>2017</v>
      </c>
      <c r="D283" s="46" t="s">
        <v>77</v>
      </c>
      <c r="E283" s="47">
        <v>0</v>
      </c>
      <c r="F283" s="47">
        <v>0</v>
      </c>
      <c r="G283" s="47">
        <v>0</v>
      </c>
      <c r="H283" s="47">
        <v>1536586.5</v>
      </c>
      <c r="I283" s="47">
        <v>0</v>
      </c>
      <c r="J283" s="47">
        <v>1536586.5</v>
      </c>
      <c r="K283" s="47">
        <v>0</v>
      </c>
      <c r="L283" s="47">
        <v>0</v>
      </c>
      <c r="M283" s="47">
        <v>0</v>
      </c>
      <c r="N283" s="47">
        <v>0</v>
      </c>
      <c r="O283" s="47">
        <v>0</v>
      </c>
      <c r="P283" s="47">
        <v>0</v>
      </c>
      <c r="Q283" s="47">
        <v>0</v>
      </c>
      <c r="R283" s="47">
        <v>0</v>
      </c>
      <c r="S283" s="47">
        <v>0</v>
      </c>
      <c r="T283" s="47">
        <v>0</v>
      </c>
      <c r="U283" s="47">
        <v>0</v>
      </c>
      <c r="V283" s="47">
        <v>0</v>
      </c>
      <c r="W283" s="47">
        <v>0</v>
      </c>
      <c r="X283" s="47">
        <v>0</v>
      </c>
      <c r="Y283" s="48">
        <v>1536586.5</v>
      </c>
      <c r="Z283" s="58">
        <v>315042.5</v>
      </c>
      <c r="AA283" s="50">
        <v>315042.5</v>
      </c>
      <c r="AB283" s="50">
        <v>0</v>
      </c>
      <c r="AC283" s="50">
        <v>2451.4299999999998</v>
      </c>
      <c r="AD283" s="50">
        <v>0</v>
      </c>
      <c r="AE283" s="50">
        <v>0</v>
      </c>
      <c r="AF283" s="50">
        <v>0</v>
      </c>
      <c r="AG283" s="49">
        <v>317493.93</v>
      </c>
      <c r="AH283" s="51" t="s">
        <v>104</v>
      </c>
      <c r="AI283" s="51" t="s">
        <v>74</v>
      </c>
      <c r="AJ283" s="51" t="s">
        <v>422</v>
      </c>
      <c r="AK283" s="51" t="s">
        <v>74</v>
      </c>
      <c r="AL283" s="51" t="s">
        <v>74</v>
      </c>
      <c r="AM283" s="51" t="s">
        <v>74</v>
      </c>
      <c r="AN283" s="52">
        <v>0</v>
      </c>
      <c r="AO283" s="52">
        <v>0</v>
      </c>
      <c r="AP283" s="52">
        <v>0</v>
      </c>
      <c r="AQ283" s="52">
        <v>0</v>
      </c>
      <c r="AR283" s="52">
        <v>0</v>
      </c>
      <c r="AS283" s="52">
        <v>0</v>
      </c>
      <c r="AT283" s="53" t="s">
        <v>74</v>
      </c>
      <c r="AU283" s="52">
        <v>0</v>
      </c>
      <c r="AV283" s="52"/>
      <c r="AW283" s="52">
        <v>0</v>
      </c>
      <c r="AX283" s="52"/>
      <c r="AY283" s="52"/>
      <c r="AZ283" s="52">
        <v>0</v>
      </c>
      <c r="BA283" s="52">
        <v>0</v>
      </c>
      <c r="BB283" s="54" t="s">
        <v>74</v>
      </c>
      <c r="BC283" s="53" t="s">
        <v>74</v>
      </c>
      <c r="BD283" s="55" t="s">
        <v>74</v>
      </c>
      <c r="BE283" s="55" t="s">
        <v>74</v>
      </c>
      <c r="BF283" s="55" t="s">
        <v>74</v>
      </c>
      <c r="BG283" s="55" t="s">
        <v>74</v>
      </c>
      <c r="BH283" s="52">
        <v>0</v>
      </c>
      <c r="BI283" s="52">
        <v>1219092.57</v>
      </c>
      <c r="BJ283" s="52">
        <v>1219092.57</v>
      </c>
      <c r="BK283" s="56">
        <v>42795</v>
      </c>
      <c r="BL283" s="57">
        <v>1219092.57</v>
      </c>
      <c r="BM283" s="47">
        <v>0</v>
      </c>
      <c r="BN283" s="9"/>
      <c r="BO283" s="9"/>
      <c r="BP283" s="9"/>
      <c r="BQ283" s="9"/>
      <c r="BR283" s="9"/>
      <c r="BS283" s="9"/>
      <c r="BT283" s="9"/>
      <c r="BU283" s="9"/>
      <c r="BV283" s="9"/>
      <c r="BW283" s="9"/>
    </row>
    <row r="284" spans="1:75" ht="26.25" hidden="1" outlineLevel="2" x14ac:dyDescent="0.25">
      <c r="A284" s="43" t="s">
        <v>346</v>
      </c>
      <c r="B284" s="110" t="s">
        <v>420</v>
      </c>
      <c r="C284" s="45">
        <v>2017</v>
      </c>
      <c r="D284" s="46" t="s">
        <v>79</v>
      </c>
      <c r="E284" s="47">
        <v>0</v>
      </c>
      <c r="F284" s="47">
        <v>0</v>
      </c>
      <c r="G284" s="47">
        <v>0</v>
      </c>
      <c r="H284" s="47">
        <v>1536586.5</v>
      </c>
      <c r="I284" s="47">
        <v>0</v>
      </c>
      <c r="J284" s="47">
        <v>1536586.5</v>
      </c>
      <c r="K284" s="47">
        <v>0</v>
      </c>
      <c r="L284" s="47">
        <v>0</v>
      </c>
      <c r="M284" s="47">
        <v>0</v>
      </c>
      <c r="N284" s="47">
        <v>0</v>
      </c>
      <c r="O284" s="47">
        <v>0</v>
      </c>
      <c r="P284" s="47">
        <v>0</v>
      </c>
      <c r="Q284" s="47">
        <v>0</v>
      </c>
      <c r="R284" s="47">
        <v>0</v>
      </c>
      <c r="S284" s="47">
        <v>0</v>
      </c>
      <c r="T284" s="47">
        <v>0</v>
      </c>
      <c r="U284" s="47">
        <v>0</v>
      </c>
      <c r="V284" s="47">
        <v>0</v>
      </c>
      <c r="W284" s="47">
        <v>0</v>
      </c>
      <c r="X284" s="47">
        <v>0</v>
      </c>
      <c r="Y284" s="48">
        <v>1536586.5</v>
      </c>
      <c r="Z284" s="58">
        <v>315042.5</v>
      </c>
      <c r="AA284" s="50">
        <v>315042.5</v>
      </c>
      <c r="AB284" s="50">
        <v>0</v>
      </c>
      <c r="AC284" s="50">
        <v>2059.4699999999998</v>
      </c>
      <c r="AD284" s="50">
        <v>0</v>
      </c>
      <c r="AE284" s="50">
        <v>0</v>
      </c>
      <c r="AF284" s="50">
        <v>0</v>
      </c>
      <c r="AG284" s="49">
        <v>317101.96999999997</v>
      </c>
      <c r="AH284" s="51" t="s">
        <v>104</v>
      </c>
      <c r="AI284" s="51" t="s">
        <v>74</v>
      </c>
      <c r="AJ284" s="51" t="s">
        <v>80</v>
      </c>
      <c r="AK284" s="51" t="s">
        <v>74</v>
      </c>
      <c r="AL284" s="51" t="s">
        <v>74</v>
      </c>
      <c r="AM284" s="51" t="s">
        <v>74</v>
      </c>
      <c r="AN284" s="52">
        <v>0</v>
      </c>
      <c r="AO284" s="52">
        <v>0</v>
      </c>
      <c r="AP284" s="52">
        <v>0</v>
      </c>
      <c r="AQ284" s="52">
        <v>0</v>
      </c>
      <c r="AR284" s="52">
        <v>0</v>
      </c>
      <c r="AS284" s="52">
        <v>0</v>
      </c>
      <c r="AT284" s="53" t="s">
        <v>74</v>
      </c>
      <c r="AU284" s="52">
        <v>0</v>
      </c>
      <c r="AV284" s="52"/>
      <c r="AW284" s="52">
        <v>0</v>
      </c>
      <c r="AX284" s="52"/>
      <c r="AY284" s="52"/>
      <c r="AZ284" s="52">
        <v>0</v>
      </c>
      <c r="BA284" s="52">
        <v>0</v>
      </c>
      <c r="BB284" s="54" t="s">
        <v>74</v>
      </c>
      <c r="BC284" s="53" t="s">
        <v>74</v>
      </c>
      <c r="BD284" s="55" t="s">
        <v>74</v>
      </c>
      <c r="BE284" s="55" t="s">
        <v>74</v>
      </c>
      <c r="BF284" s="55" t="s">
        <v>74</v>
      </c>
      <c r="BG284" s="55" t="s">
        <v>74</v>
      </c>
      <c r="BH284" s="52">
        <v>0</v>
      </c>
      <c r="BI284" s="52">
        <v>1219484.53</v>
      </c>
      <c r="BJ284" s="52">
        <v>1219484.53</v>
      </c>
      <c r="BK284" s="56">
        <v>42826</v>
      </c>
      <c r="BL284" s="57">
        <v>1219484.53</v>
      </c>
      <c r="BM284" s="47">
        <v>0</v>
      </c>
      <c r="BN284" s="9"/>
      <c r="BO284" s="9"/>
      <c r="BP284" s="9"/>
      <c r="BQ284" s="9"/>
      <c r="BR284" s="9"/>
      <c r="BS284" s="9"/>
      <c r="BT284" s="9"/>
      <c r="BU284" s="9"/>
      <c r="BV284" s="9"/>
      <c r="BW284" s="9"/>
    </row>
    <row r="285" spans="1:75" ht="26.25" hidden="1" outlineLevel="2" x14ac:dyDescent="0.25">
      <c r="A285" s="43" t="s">
        <v>346</v>
      </c>
      <c r="B285" s="110" t="s">
        <v>420</v>
      </c>
      <c r="C285" s="45">
        <v>2017</v>
      </c>
      <c r="D285" s="46" t="s">
        <v>81</v>
      </c>
      <c r="E285" s="47">
        <v>0</v>
      </c>
      <c r="F285" s="47">
        <v>0</v>
      </c>
      <c r="G285" s="47">
        <v>0</v>
      </c>
      <c r="H285" s="47">
        <v>1536586.5</v>
      </c>
      <c r="I285" s="47">
        <v>0</v>
      </c>
      <c r="J285" s="47">
        <v>1536586.5</v>
      </c>
      <c r="K285" s="47">
        <v>0</v>
      </c>
      <c r="L285" s="47">
        <v>0</v>
      </c>
      <c r="M285" s="47">
        <v>0</v>
      </c>
      <c r="N285" s="47">
        <v>0</v>
      </c>
      <c r="O285" s="47">
        <v>0</v>
      </c>
      <c r="P285" s="47">
        <v>0</v>
      </c>
      <c r="Q285" s="47">
        <v>0</v>
      </c>
      <c r="R285" s="47">
        <v>0</v>
      </c>
      <c r="S285" s="47">
        <v>0</v>
      </c>
      <c r="T285" s="47">
        <v>0</v>
      </c>
      <c r="U285" s="47">
        <v>0</v>
      </c>
      <c r="V285" s="47">
        <v>0</v>
      </c>
      <c r="W285" s="47">
        <v>0</v>
      </c>
      <c r="X285" s="47">
        <v>0</v>
      </c>
      <c r="Y285" s="48">
        <v>1536586.5</v>
      </c>
      <c r="Z285" s="58">
        <v>315042.5</v>
      </c>
      <c r="AA285" s="50">
        <v>315042.5</v>
      </c>
      <c r="AB285" s="50">
        <v>0</v>
      </c>
      <c r="AC285" s="50">
        <v>2559.86</v>
      </c>
      <c r="AD285" s="50">
        <v>0</v>
      </c>
      <c r="AE285" s="50">
        <v>0</v>
      </c>
      <c r="AF285" s="50">
        <v>0</v>
      </c>
      <c r="AG285" s="49">
        <v>317602.36</v>
      </c>
      <c r="AH285" s="51" t="s">
        <v>104</v>
      </c>
      <c r="AI285" s="51" t="s">
        <v>74</v>
      </c>
      <c r="AJ285" s="51" t="s">
        <v>82</v>
      </c>
      <c r="AK285" s="51" t="s">
        <v>74</v>
      </c>
      <c r="AL285" s="51" t="s">
        <v>74</v>
      </c>
      <c r="AM285" s="51" t="s">
        <v>74</v>
      </c>
      <c r="AN285" s="52">
        <v>0</v>
      </c>
      <c r="AO285" s="52">
        <v>0</v>
      </c>
      <c r="AP285" s="52">
        <v>0</v>
      </c>
      <c r="AQ285" s="52">
        <v>0</v>
      </c>
      <c r="AR285" s="52">
        <v>0</v>
      </c>
      <c r="AS285" s="52">
        <v>0</v>
      </c>
      <c r="AT285" s="53" t="s">
        <v>74</v>
      </c>
      <c r="AU285" s="52">
        <v>0</v>
      </c>
      <c r="AV285" s="52"/>
      <c r="AW285" s="52">
        <v>0</v>
      </c>
      <c r="AX285" s="52"/>
      <c r="AY285" s="52"/>
      <c r="AZ285" s="52">
        <v>0</v>
      </c>
      <c r="BA285" s="52">
        <v>0</v>
      </c>
      <c r="BB285" s="54" t="s">
        <v>74</v>
      </c>
      <c r="BC285" s="53" t="s">
        <v>74</v>
      </c>
      <c r="BD285" s="55" t="s">
        <v>74</v>
      </c>
      <c r="BE285" s="55" t="s">
        <v>74</v>
      </c>
      <c r="BF285" s="55" t="s">
        <v>74</v>
      </c>
      <c r="BG285" s="55" t="s">
        <v>74</v>
      </c>
      <c r="BH285" s="52">
        <v>0</v>
      </c>
      <c r="BI285" s="52">
        <v>1218984.1399999999</v>
      </c>
      <c r="BJ285" s="52">
        <v>1218984.1399999999</v>
      </c>
      <c r="BK285" s="56">
        <v>42856</v>
      </c>
      <c r="BL285" s="57">
        <v>1218984.1399999999</v>
      </c>
      <c r="BM285" s="47">
        <v>0</v>
      </c>
      <c r="BN285" s="9"/>
      <c r="BO285" s="9"/>
      <c r="BP285" s="9"/>
      <c r="BQ285" s="9"/>
      <c r="BR285" s="9"/>
      <c r="BS285" s="9"/>
      <c r="BT285" s="9"/>
      <c r="BU285" s="9"/>
      <c r="BV285" s="9"/>
      <c r="BW285" s="9"/>
    </row>
    <row r="286" spans="1:75" ht="128.25" hidden="1" outlineLevel="2" x14ac:dyDescent="0.25">
      <c r="A286" s="43" t="s">
        <v>346</v>
      </c>
      <c r="B286" s="110" t="s">
        <v>420</v>
      </c>
      <c r="C286" s="45">
        <v>2017</v>
      </c>
      <c r="D286" s="46" t="s">
        <v>83</v>
      </c>
      <c r="E286" s="47">
        <v>0</v>
      </c>
      <c r="F286" s="47">
        <v>0</v>
      </c>
      <c r="G286" s="47">
        <v>0</v>
      </c>
      <c r="H286" s="47">
        <v>1434147.4</v>
      </c>
      <c r="I286" s="47">
        <v>0</v>
      </c>
      <c r="J286" s="47">
        <v>1434147.4</v>
      </c>
      <c r="K286" s="47">
        <v>0</v>
      </c>
      <c r="L286" s="47">
        <v>151593.32999999999</v>
      </c>
      <c r="M286" s="47">
        <v>151593.32999999999</v>
      </c>
      <c r="N286" s="47">
        <v>0</v>
      </c>
      <c r="O286" s="47">
        <v>0</v>
      </c>
      <c r="P286" s="47">
        <v>0</v>
      </c>
      <c r="Q286" s="47">
        <v>0</v>
      </c>
      <c r="R286" s="47">
        <v>0</v>
      </c>
      <c r="S286" s="47">
        <v>0</v>
      </c>
      <c r="T286" s="47">
        <v>0</v>
      </c>
      <c r="U286" s="47">
        <v>0</v>
      </c>
      <c r="V286" s="47">
        <v>0</v>
      </c>
      <c r="W286" s="47">
        <v>0</v>
      </c>
      <c r="X286" s="47">
        <v>0</v>
      </c>
      <c r="Y286" s="48">
        <v>1585740.73</v>
      </c>
      <c r="Z286" s="58">
        <v>385362.99</v>
      </c>
      <c r="AA286" s="50">
        <v>385362.99</v>
      </c>
      <c r="AB286" s="50">
        <v>0</v>
      </c>
      <c r="AC286" s="50">
        <v>2559.86</v>
      </c>
      <c r="AD286" s="50">
        <v>0</v>
      </c>
      <c r="AE286" s="50">
        <v>0</v>
      </c>
      <c r="AF286" s="50">
        <v>0</v>
      </c>
      <c r="AG286" s="49">
        <v>387922.85</v>
      </c>
      <c r="AH286" s="51" t="s">
        <v>423</v>
      </c>
      <c r="AI286" s="51" t="s">
        <v>74</v>
      </c>
      <c r="AJ286" s="51" t="s">
        <v>424</v>
      </c>
      <c r="AK286" s="51" t="s">
        <v>74</v>
      </c>
      <c r="AL286" s="51" t="s">
        <v>74</v>
      </c>
      <c r="AM286" s="51" t="s">
        <v>74</v>
      </c>
      <c r="AN286" s="52">
        <v>0</v>
      </c>
      <c r="AO286" s="52">
        <v>0</v>
      </c>
      <c r="AP286" s="52">
        <v>0</v>
      </c>
      <c r="AQ286" s="52">
        <v>0</v>
      </c>
      <c r="AR286" s="52">
        <v>0</v>
      </c>
      <c r="AS286" s="52">
        <v>0</v>
      </c>
      <c r="AT286" s="53" t="s">
        <v>74</v>
      </c>
      <c r="AU286" s="52">
        <v>0</v>
      </c>
      <c r="AV286" s="52"/>
      <c r="AW286" s="52">
        <v>0</v>
      </c>
      <c r="AX286" s="52"/>
      <c r="AY286" s="52"/>
      <c r="AZ286" s="52">
        <v>0</v>
      </c>
      <c r="BA286" s="52">
        <v>0</v>
      </c>
      <c r="BB286" s="54" t="s">
        <v>74</v>
      </c>
      <c r="BC286" s="53" t="s">
        <v>74</v>
      </c>
      <c r="BD286" s="55" t="s">
        <v>74</v>
      </c>
      <c r="BE286" s="55" t="s">
        <v>74</v>
      </c>
      <c r="BF286" s="55" t="s">
        <v>74</v>
      </c>
      <c r="BG286" s="55" t="s">
        <v>74</v>
      </c>
      <c r="BH286" s="52">
        <v>0</v>
      </c>
      <c r="BI286" s="52">
        <v>1197817.8799999999</v>
      </c>
      <c r="BJ286" s="52">
        <v>1197817.8799999999</v>
      </c>
      <c r="BK286" s="56">
        <v>42887</v>
      </c>
      <c r="BL286" s="57">
        <v>1197817.8799999999</v>
      </c>
      <c r="BM286" s="47">
        <v>0</v>
      </c>
      <c r="BN286" s="9"/>
      <c r="BO286" s="9"/>
      <c r="BP286" s="9"/>
      <c r="BQ286" s="9"/>
      <c r="BR286" s="9"/>
      <c r="BS286" s="9"/>
      <c r="BT286" s="9"/>
      <c r="BU286" s="9"/>
      <c r="BV286" s="9"/>
      <c r="BW286" s="9"/>
    </row>
    <row r="287" spans="1:75" ht="128.25" hidden="1" outlineLevel="2" x14ac:dyDescent="0.25">
      <c r="A287" s="43" t="s">
        <v>346</v>
      </c>
      <c r="B287" s="110" t="s">
        <v>420</v>
      </c>
      <c r="C287" s="45">
        <v>2017</v>
      </c>
      <c r="D287" s="46" t="s">
        <v>84</v>
      </c>
      <c r="E287" s="47">
        <v>0</v>
      </c>
      <c r="F287" s="47">
        <v>0</v>
      </c>
      <c r="G287" s="47">
        <v>0</v>
      </c>
      <c r="H287" s="47">
        <v>0</v>
      </c>
      <c r="I287" s="47">
        <v>0</v>
      </c>
      <c r="J287" s="47">
        <v>0</v>
      </c>
      <c r="K287" s="47">
        <v>0</v>
      </c>
      <c r="L287" s="47">
        <v>2273899.92</v>
      </c>
      <c r="M287" s="47">
        <v>2273899.92</v>
      </c>
      <c r="N287" s="47">
        <v>0</v>
      </c>
      <c r="O287" s="47">
        <v>0</v>
      </c>
      <c r="P287" s="47">
        <v>0</v>
      </c>
      <c r="Q287" s="47">
        <v>0</v>
      </c>
      <c r="R287" s="47">
        <v>0</v>
      </c>
      <c r="S287" s="47">
        <v>0</v>
      </c>
      <c r="T287" s="47">
        <v>0</v>
      </c>
      <c r="U287" s="47">
        <v>0</v>
      </c>
      <c r="V287" s="47">
        <v>0</v>
      </c>
      <c r="W287" s="47">
        <v>0</v>
      </c>
      <c r="X287" s="47">
        <v>0</v>
      </c>
      <c r="Y287" s="48">
        <v>2273899.92</v>
      </c>
      <c r="Z287" s="58">
        <v>1090785.83</v>
      </c>
      <c r="AA287" s="50">
        <v>1090785.83</v>
      </c>
      <c r="AB287" s="50">
        <v>0</v>
      </c>
      <c r="AC287" s="50">
        <v>2393.4699999999998</v>
      </c>
      <c r="AD287" s="50">
        <v>0</v>
      </c>
      <c r="AE287" s="50">
        <v>0</v>
      </c>
      <c r="AF287" s="50">
        <v>0</v>
      </c>
      <c r="AG287" s="49">
        <v>1093179.3</v>
      </c>
      <c r="AH287" s="51" t="s">
        <v>423</v>
      </c>
      <c r="AI287" s="51" t="s">
        <v>74</v>
      </c>
      <c r="AJ287" s="51" t="s">
        <v>424</v>
      </c>
      <c r="AK287" s="51" t="s">
        <v>74</v>
      </c>
      <c r="AL287" s="51" t="s">
        <v>74</v>
      </c>
      <c r="AM287" s="51" t="s">
        <v>74</v>
      </c>
      <c r="AN287" s="52">
        <v>0</v>
      </c>
      <c r="AO287" s="52">
        <v>0</v>
      </c>
      <c r="AP287" s="157">
        <v>147706.07</v>
      </c>
      <c r="AQ287" s="52">
        <v>0</v>
      </c>
      <c r="AR287" s="52">
        <v>0</v>
      </c>
      <c r="AS287" s="52">
        <v>147706.07</v>
      </c>
      <c r="AT287" s="53" t="s">
        <v>425</v>
      </c>
      <c r="AU287" s="52">
        <v>0</v>
      </c>
      <c r="AV287" s="52"/>
      <c r="AW287" s="52">
        <v>0</v>
      </c>
      <c r="AX287" s="52"/>
      <c r="AY287" s="52"/>
      <c r="AZ287" s="52">
        <v>0</v>
      </c>
      <c r="BA287" s="52">
        <v>0</v>
      </c>
      <c r="BB287" s="54" t="s">
        <v>74</v>
      </c>
      <c r="BC287" s="53" t="s">
        <v>74</v>
      </c>
      <c r="BD287" s="55" t="s">
        <v>74</v>
      </c>
      <c r="BE287" s="55" t="s">
        <v>74</v>
      </c>
      <c r="BF287" s="55" t="s">
        <v>74</v>
      </c>
      <c r="BG287" s="55" t="s">
        <v>74</v>
      </c>
      <c r="BH287" s="52">
        <v>147706.07</v>
      </c>
      <c r="BI287" s="52">
        <v>1328426.69</v>
      </c>
      <c r="BJ287" s="52">
        <v>1180720.6200000001</v>
      </c>
      <c r="BK287" s="56">
        <v>42917</v>
      </c>
      <c r="BL287" s="57">
        <v>1328426.69</v>
      </c>
      <c r="BM287" s="47">
        <v>0</v>
      </c>
      <c r="BN287" s="9"/>
      <c r="BO287" s="9"/>
      <c r="BP287" s="9"/>
      <c r="BQ287" s="9"/>
      <c r="BR287" s="9"/>
      <c r="BS287" s="9"/>
      <c r="BT287" s="9"/>
      <c r="BU287" s="9"/>
      <c r="BV287" s="9"/>
      <c r="BW287" s="9"/>
    </row>
    <row r="288" spans="1:75" ht="26.25" hidden="1" outlineLevel="2" x14ac:dyDescent="0.25">
      <c r="A288" s="43" t="s">
        <v>346</v>
      </c>
      <c r="B288" s="110" t="s">
        <v>420</v>
      </c>
      <c r="C288" s="45">
        <v>2017</v>
      </c>
      <c r="D288" s="46" t="s">
        <v>86</v>
      </c>
      <c r="E288" s="47">
        <v>0</v>
      </c>
      <c r="F288" s="47">
        <v>0</v>
      </c>
      <c r="G288" s="47">
        <v>0</v>
      </c>
      <c r="H288" s="47">
        <v>0</v>
      </c>
      <c r="I288" s="47">
        <v>0</v>
      </c>
      <c r="J288" s="47">
        <v>0</v>
      </c>
      <c r="K288" s="47">
        <v>0</v>
      </c>
      <c r="L288" s="47">
        <v>2273899.92</v>
      </c>
      <c r="M288" s="47">
        <v>2273899.92</v>
      </c>
      <c r="N288" s="47">
        <v>0</v>
      </c>
      <c r="O288" s="47">
        <v>0</v>
      </c>
      <c r="P288" s="47">
        <v>0</v>
      </c>
      <c r="Q288" s="47">
        <v>0</v>
      </c>
      <c r="R288" s="47">
        <v>0</v>
      </c>
      <c r="S288" s="47">
        <v>0</v>
      </c>
      <c r="T288" s="47">
        <v>0</v>
      </c>
      <c r="U288" s="47">
        <v>0</v>
      </c>
      <c r="V288" s="47">
        <v>0</v>
      </c>
      <c r="W288" s="47">
        <v>0</v>
      </c>
      <c r="X288" s="47">
        <v>0</v>
      </c>
      <c r="Y288" s="48">
        <v>2273899.92</v>
      </c>
      <c r="Z288" s="58">
        <v>1297095.6799999999</v>
      </c>
      <c r="AA288" s="50">
        <v>1297095.6799999999</v>
      </c>
      <c r="AB288" s="50">
        <v>0</v>
      </c>
      <c r="AC288" s="50">
        <v>2393.4699999999998</v>
      </c>
      <c r="AD288" s="50">
        <v>0</v>
      </c>
      <c r="AE288" s="50">
        <v>0</v>
      </c>
      <c r="AF288" s="50">
        <v>0</v>
      </c>
      <c r="AG288" s="49">
        <v>1299489.1499999999</v>
      </c>
      <c r="AH288" s="51" t="s">
        <v>104</v>
      </c>
      <c r="AI288" s="51" t="s">
        <v>74</v>
      </c>
      <c r="AJ288" s="51" t="s">
        <v>87</v>
      </c>
      <c r="AK288" s="51" t="s">
        <v>74</v>
      </c>
      <c r="AL288" s="51" t="s">
        <v>74</v>
      </c>
      <c r="AM288" s="51" t="s">
        <v>74</v>
      </c>
      <c r="AN288" s="52">
        <v>0</v>
      </c>
      <c r="AO288" s="52">
        <v>0</v>
      </c>
      <c r="AP288" s="52">
        <v>0</v>
      </c>
      <c r="AQ288" s="52">
        <v>0</v>
      </c>
      <c r="AR288" s="52">
        <v>0</v>
      </c>
      <c r="AS288" s="52">
        <v>0</v>
      </c>
      <c r="AT288" s="53" t="s">
        <v>74</v>
      </c>
      <c r="AU288" s="52">
        <v>0</v>
      </c>
      <c r="AV288" s="52"/>
      <c r="AW288" s="52">
        <v>0</v>
      </c>
      <c r="AX288" s="52"/>
      <c r="AY288" s="52"/>
      <c r="AZ288" s="52">
        <v>0</v>
      </c>
      <c r="BA288" s="52">
        <v>0</v>
      </c>
      <c r="BB288" s="54" t="s">
        <v>74</v>
      </c>
      <c r="BC288" s="53" t="s">
        <v>74</v>
      </c>
      <c r="BD288" s="55" t="s">
        <v>74</v>
      </c>
      <c r="BE288" s="55" t="s">
        <v>74</v>
      </c>
      <c r="BF288" s="55" t="s">
        <v>74</v>
      </c>
      <c r="BG288" s="55" t="s">
        <v>74</v>
      </c>
      <c r="BH288" s="52">
        <v>0</v>
      </c>
      <c r="BI288" s="52">
        <v>974410.77</v>
      </c>
      <c r="BJ288" s="52">
        <v>974410.77</v>
      </c>
      <c r="BK288" s="56">
        <v>42948</v>
      </c>
      <c r="BL288" s="57">
        <v>974410.77</v>
      </c>
      <c r="BM288" s="47">
        <v>0</v>
      </c>
      <c r="BN288" s="9"/>
      <c r="BO288" s="9"/>
      <c r="BP288" s="9"/>
      <c r="BQ288" s="9"/>
      <c r="BR288" s="9"/>
      <c r="BS288" s="9"/>
      <c r="BT288" s="9"/>
      <c r="BU288" s="9"/>
      <c r="BV288" s="9"/>
      <c r="BW288" s="9"/>
    </row>
    <row r="289" spans="1:75" ht="128.25" hidden="1" outlineLevel="2" x14ac:dyDescent="0.25">
      <c r="A289" s="43" t="s">
        <v>346</v>
      </c>
      <c r="B289" s="110" t="s">
        <v>420</v>
      </c>
      <c r="C289" s="45">
        <v>2017</v>
      </c>
      <c r="D289" s="46" t="s">
        <v>88</v>
      </c>
      <c r="E289" s="47">
        <v>0</v>
      </c>
      <c r="F289" s="47">
        <v>0</v>
      </c>
      <c r="G289" s="47">
        <v>0</v>
      </c>
      <c r="H289" s="47">
        <v>0</v>
      </c>
      <c r="I289" s="47">
        <v>0</v>
      </c>
      <c r="J289" s="47">
        <v>0</v>
      </c>
      <c r="K289" s="47">
        <v>0</v>
      </c>
      <c r="L289" s="47">
        <v>2273899.92</v>
      </c>
      <c r="M289" s="47">
        <v>2273899.92</v>
      </c>
      <c r="N289" s="47">
        <v>0</v>
      </c>
      <c r="O289" s="47">
        <v>0</v>
      </c>
      <c r="P289" s="47">
        <v>0</v>
      </c>
      <c r="Q289" s="47">
        <v>0</v>
      </c>
      <c r="R289" s="47">
        <v>0</v>
      </c>
      <c r="S289" s="47">
        <v>0</v>
      </c>
      <c r="T289" s="47">
        <v>0</v>
      </c>
      <c r="U289" s="47">
        <v>0</v>
      </c>
      <c r="V289" s="47">
        <v>0</v>
      </c>
      <c r="W289" s="47">
        <v>0</v>
      </c>
      <c r="X289" s="47">
        <v>0</v>
      </c>
      <c r="Y289" s="48">
        <v>2273899.92</v>
      </c>
      <c r="Z289" s="58">
        <v>1297095.6799999999</v>
      </c>
      <c r="AA289" s="50">
        <v>1297095.6799999999</v>
      </c>
      <c r="AB289" s="50">
        <v>0</v>
      </c>
      <c r="AC289" s="50">
        <v>2393.4699999999998</v>
      </c>
      <c r="AD289" s="50">
        <v>0</v>
      </c>
      <c r="AE289" s="50">
        <v>0</v>
      </c>
      <c r="AF289" s="50">
        <v>0</v>
      </c>
      <c r="AG289" s="49">
        <v>1299489.1499999999</v>
      </c>
      <c r="AH289" s="51" t="s">
        <v>423</v>
      </c>
      <c r="AI289" s="51" t="s">
        <v>74</v>
      </c>
      <c r="AJ289" s="51" t="s">
        <v>424</v>
      </c>
      <c r="AK289" s="51" t="s">
        <v>74</v>
      </c>
      <c r="AL289" s="51" t="s">
        <v>74</v>
      </c>
      <c r="AM289" s="51" t="s">
        <v>74</v>
      </c>
      <c r="AN289" s="52">
        <v>0</v>
      </c>
      <c r="AO289" s="52">
        <v>0</v>
      </c>
      <c r="AP289" s="52">
        <v>0</v>
      </c>
      <c r="AQ289" s="52">
        <v>0</v>
      </c>
      <c r="AR289" s="52">
        <v>0</v>
      </c>
      <c r="AS289" s="52">
        <v>0</v>
      </c>
      <c r="AT289" s="53" t="s">
        <v>74</v>
      </c>
      <c r="AU289" s="52">
        <v>0</v>
      </c>
      <c r="AV289" s="52"/>
      <c r="AW289" s="52">
        <v>0</v>
      </c>
      <c r="AX289" s="52"/>
      <c r="AY289" s="52"/>
      <c r="AZ289" s="52">
        <v>0</v>
      </c>
      <c r="BA289" s="52">
        <v>0</v>
      </c>
      <c r="BB289" s="54" t="s">
        <v>74</v>
      </c>
      <c r="BC289" s="53" t="s">
        <v>74</v>
      </c>
      <c r="BD289" s="55" t="s">
        <v>74</v>
      </c>
      <c r="BE289" s="55" t="s">
        <v>74</v>
      </c>
      <c r="BF289" s="55" t="s">
        <v>74</v>
      </c>
      <c r="BG289" s="55" t="s">
        <v>74</v>
      </c>
      <c r="BH289" s="52">
        <v>0</v>
      </c>
      <c r="BI289" s="52">
        <v>974410.77</v>
      </c>
      <c r="BJ289" s="52">
        <v>974410.77</v>
      </c>
      <c r="BK289" s="56">
        <v>42979</v>
      </c>
      <c r="BL289" s="57">
        <v>974410.77</v>
      </c>
      <c r="BM289" s="47">
        <v>0</v>
      </c>
      <c r="BN289" s="9"/>
      <c r="BO289" s="9"/>
      <c r="BP289" s="9"/>
      <c r="BQ289" s="9"/>
      <c r="BR289" s="9"/>
      <c r="BS289" s="9"/>
      <c r="BT289" s="9"/>
      <c r="BU289" s="9"/>
      <c r="BV289" s="9"/>
      <c r="BW289" s="9"/>
    </row>
    <row r="290" spans="1:75" ht="128.25" hidden="1" outlineLevel="2" x14ac:dyDescent="0.25">
      <c r="A290" s="43" t="s">
        <v>346</v>
      </c>
      <c r="B290" s="110" t="s">
        <v>420</v>
      </c>
      <c r="C290" s="45">
        <v>2017</v>
      </c>
      <c r="D290" s="46" t="s">
        <v>89</v>
      </c>
      <c r="E290" s="47">
        <v>0</v>
      </c>
      <c r="F290" s="47">
        <v>0</v>
      </c>
      <c r="G290" s="47">
        <v>0</v>
      </c>
      <c r="H290" s="47">
        <v>0</v>
      </c>
      <c r="I290" s="47">
        <v>0</v>
      </c>
      <c r="J290" s="47">
        <v>0</v>
      </c>
      <c r="K290" s="47">
        <v>0</v>
      </c>
      <c r="L290" s="47">
        <v>2273899.92</v>
      </c>
      <c r="M290" s="47">
        <v>2273899.92</v>
      </c>
      <c r="N290" s="47">
        <v>0</v>
      </c>
      <c r="O290" s="47">
        <v>0</v>
      </c>
      <c r="P290" s="47">
        <v>0</v>
      </c>
      <c r="Q290" s="47">
        <v>0</v>
      </c>
      <c r="R290" s="47">
        <v>0</v>
      </c>
      <c r="S290" s="47">
        <v>0</v>
      </c>
      <c r="T290" s="47">
        <v>0</v>
      </c>
      <c r="U290" s="47">
        <v>0</v>
      </c>
      <c r="V290" s="47">
        <v>0</v>
      </c>
      <c r="W290" s="47">
        <v>0</v>
      </c>
      <c r="X290" s="47">
        <v>0</v>
      </c>
      <c r="Y290" s="48">
        <v>2273899.92</v>
      </c>
      <c r="Z290" s="58">
        <v>1230676.17</v>
      </c>
      <c r="AA290" s="50">
        <v>1230676.17</v>
      </c>
      <c r="AB290" s="50">
        <v>0</v>
      </c>
      <c r="AC290" s="50">
        <v>2395.02</v>
      </c>
      <c r="AD290" s="50">
        <v>0</v>
      </c>
      <c r="AE290" s="50">
        <v>0</v>
      </c>
      <c r="AF290" s="50">
        <v>0</v>
      </c>
      <c r="AG290" s="49">
        <v>1233071.19</v>
      </c>
      <c r="AH290" s="51" t="s">
        <v>423</v>
      </c>
      <c r="AI290" s="51" t="s">
        <v>74</v>
      </c>
      <c r="AJ290" s="51" t="s">
        <v>424</v>
      </c>
      <c r="AK290" s="51" t="s">
        <v>74</v>
      </c>
      <c r="AL290" s="51" t="s">
        <v>74</v>
      </c>
      <c r="AM290" s="51" t="s">
        <v>74</v>
      </c>
      <c r="AN290" s="52">
        <v>0</v>
      </c>
      <c r="AO290" s="52">
        <v>0</v>
      </c>
      <c r="AP290" s="52">
        <v>0</v>
      </c>
      <c r="AQ290" s="52">
        <v>0</v>
      </c>
      <c r="AR290" s="52">
        <v>0</v>
      </c>
      <c r="AS290" s="52">
        <v>0</v>
      </c>
      <c r="AT290" s="53" t="s">
        <v>74</v>
      </c>
      <c r="AU290" s="52">
        <v>0</v>
      </c>
      <c r="AV290" s="52"/>
      <c r="AW290" s="52">
        <v>0</v>
      </c>
      <c r="AX290" s="52"/>
      <c r="AY290" s="52"/>
      <c r="AZ290" s="52">
        <v>0</v>
      </c>
      <c r="BA290" s="52">
        <v>0</v>
      </c>
      <c r="BB290" s="54" t="s">
        <v>74</v>
      </c>
      <c r="BC290" s="53" t="s">
        <v>74</v>
      </c>
      <c r="BD290" s="55" t="s">
        <v>74</v>
      </c>
      <c r="BE290" s="55" t="s">
        <v>74</v>
      </c>
      <c r="BF290" s="55" t="s">
        <v>74</v>
      </c>
      <c r="BG290" s="55" t="s">
        <v>74</v>
      </c>
      <c r="BH290" s="52">
        <v>0</v>
      </c>
      <c r="BI290" s="52">
        <v>1040828.73</v>
      </c>
      <c r="BJ290" s="52">
        <v>1040828.73</v>
      </c>
      <c r="BK290" s="56">
        <v>43009</v>
      </c>
      <c r="BL290" s="57">
        <v>1040828.73</v>
      </c>
      <c r="BM290" s="47">
        <v>0</v>
      </c>
      <c r="BN290" s="9"/>
      <c r="BO290" s="9"/>
      <c r="BP290" s="9"/>
      <c r="BQ290" s="9"/>
      <c r="BR290" s="9"/>
      <c r="BS290" s="9"/>
      <c r="BT290" s="9"/>
      <c r="BU290" s="9"/>
      <c r="BV290" s="9"/>
      <c r="BW290" s="9"/>
    </row>
    <row r="291" spans="1:75" ht="128.25" hidden="1" outlineLevel="2" x14ac:dyDescent="0.25">
      <c r="A291" s="43" t="s">
        <v>346</v>
      </c>
      <c r="B291" s="110" t="s">
        <v>420</v>
      </c>
      <c r="C291" s="45">
        <v>2017</v>
      </c>
      <c r="D291" s="46" t="s">
        <v>90</v>
      </c>
      <c r="E291" s="47">
        <v>0</v>
      </c>
      <c r="F291" s="47">
        <v>0</v>
      </c>
      <c r="G291" s="47">
        <v>0</v>
      </c>
      <c r="H291" s="47">
        <v>0</v>
      </c>
      <c r="I291" s="47">
        <v>0</v>
      </c>
      <c r="J291" s="47">
        <v>0</v>
      </c>
      <c r="K291" s="47">
        <v>0</v>
      </c>
      <c r="L291" s="47">
        <v>2273899.92</v>
      </c>
      <c r="M291" s="47">
        <v>2273899.92</v>
      </c>
      <c r="N291" s="47">
        <v>0</v>
      </c>
      <c r="O291" s="47">
        <v>0</v>
      </c>
      <c r="P291" s="47">
        <v>0</v>
      </c>
      <c r="Q291" s="47">
        <v>0</v>
      </c>
      <c r="R291" s="47">
        <v>0</v>
      </c>
      <c r="S291" s="47">
        <v>0</v>
      </c>
      <c r="T291" s="47">
        <v>0</v>
      </c>
      <c r="U291" s="47">
        <v>0</v>
      </c>
      <c r="V291" s="47">
        <v>0</v>
      </c>
      <c r="W291" s="47">
        <v>0</v>
      </c>
      <c r="X291" s="47">
        <v>0</v>
      </c>
      <c r="Y291" s="48">
        <v>2273899.92</v>
      </c>
      <c r="Z291" s="58">
        <v>1369849.85</v>
      </c>
      <c r="AA291" s="50">
        <v>1369849.85</v>
      </c>
      <c r="AB291" s="50">
        <v>0</v>
      </c>
      <c r="AC291" s="50">
        <v>2007.25</v>
      </c>
      <c r="AD291" s="50">
        <v>10853.32</v>
      </c>
      <c r="AE291" s="50">
        <v>0</v>
      </c>
      <c r="AF291" s="50">
        <v>0</v>
      </c>
      <c r="AG291" s="49">
        <v>1382710.42</v>
      </c>
      <c r="AH291" s="51" t="s">
        <v>423</v>
      </c>
      <c r="AI291" s="51" t="s">
        <v>74</v>
      </c>
      <c r="AJ291" s="51" t="s">
        <v>424</v>
      </c>
      <c r="AK291" s="51" t="s">
        <v>426</v>
      </c>
      <c r="AL291" s="51" t="s">
        <v>74</v>
      </c>
      <c r="AM291" s="51" t="s">
        <v>74</v>
      </c>
      <c r="AN291" s="52">
        <v>0</v>
      </c>
      <c r="AO291" s="52">
        <v>0</v>
      </c>
      <c r="AP291" s="52">
        <v>0</v>
      </c>
      <c r="AQ291" s="52">
        <v>0</v>
      </c>
      <c r="AR291" s="52">
        <v>0</v>
      </c>
      <c r="AS291" s="52">
        <v>0</v>
      </c>
      <c r="AT291" s="53" t="s">
        <v>74</v>
      </c>
      <c r="AU291" s="52">
        <v>0</v>
      </c>
      <c r="AV291" s="52"/>
      <c r="AW291" s="52">
        <v>0</v>
      </c>
      <c r="AX291" s="52"/>
      <c r="AY291" s="52"/>
      <c r="AZ291" s="52">
        <v>0</v>
      </c>
      <c r="BA291" s="52">
        <v>0</v>
      </c>
      <c r="BB291" s="54" t="s">
        <v>74</v>
      </c>
      <c r="BC291" s="53" t="s">
        <v>74</v>
      </c>
      <c r="BD291" s="55" t="s">
        <v>74</v>
      </c>
      <c r="BE291" s="55" t="s">
        <v>74</v>
      </c>
      <c r="BF291" s="55" t="s">
        <v>74</v>
      </c>
      <c r="BG291" s="55" t="s">
        <v>74</v>
      </c>
      <c r="BH291" s="52">
        <v>0</v>
      </c>
      <c r="BI291" s="52">
        <v>891189.5</v>
      </c>
      <c r="BJ291" s="52">
        <v>891189.5</v>
      </c>
      <c r="BK291" s="56">
        <v>43040</v>
      </c>
      <c r="BL291" s="57">
        <v>891189.5</v>
      </c>
      <c r="BM291" s="47">
        <v>0</v>
      </c>
      <c r="BN291" s="9"/>
      <c r="BO291" s="9"/>
      <c r="BP291" s="9"/>
      <c r="BQ291" s="9"/>
      <c r="BR291" s="9"/>
      <c r="BS291" s="9"/>
      <c r="BT291" s="9"/>
      <c r="BU291" s="9"/>
      <c r="BV291" s="9"/>
      <c r="BW291" s="9"/>
    </row>
    <row r="292" spans="1:75" ht="26.25" hidden="1" outlineLevel="2" x14ac:dyDescent="0.25">
      <c r="A292" s="43" t="s">
        <v>346</v>
      </c>
      <c r="B292" s="110" t="s">
        <v>420</v>
      </c>
      <c r="C292" s="45">
        <v>2017</v>
      </c>
      <c r="D292" s="46" t="s">
        <v>93</v>
      </c>
      <c r="E292" s="47">
        <v>0</v>
      </c>
      <c r="F292" s="47">
        <v>0</v>
      </c>
      <c r="G292" s="47">
        <v>0</v>
      </c>
      <c r="H292" s="47">
        <v>0</v>
      </c>
      <c r="I292" s="47">
        <v>0</v>
      </c>
      <c r="J292" s="47">
        <v>0</v>
      </c>
      <c r="K292" s="47">
        <v>0</v>
      </c>
      <c r="L292" s="47">
        <v>2273899.92</v>
      </c>
      <c r="M292" s="47">
        <v>2273899.92</v>
      </c>
      <c r="N292" s="47">
        <v>0</v>
      </c>
      <c r="O292" s="47">
        <v>0</v>
      </c>
      <c r="P292" s="47">
        <v>0</v>
      </c>
      <c r="Q292" s="47">
        <v>0</v>
      </c>
      <c r="R292" s="47">
        <v>0</v>
      </c>
      <c r="S292" s="47">
        <v>0</v>
      </c>
      <c r="T292" s="47">
        <v>0</v>
      </c>
      <c r="U292" s="47">
        <v>0</v>
      </c>
      <c r="V292" s="47">
        <v>0</v>
      </c>
      <c r="W292" s="47">
        <v>0</v>
      </c>
      <c r="X292" s="47">
        <v>0</v>
      </c>
      <c r="Y292" s="48">
        <v>2273899.92</v>
      </c>
      <c r="Z292" s="58">
        <v>1103211.31</v>
      </c>
      <c r="AA292" s="50">
        <v>1103211.31</v>
      </c>
      <c r="AB292" s="50">
        <v>0</v>
      </c>
      <c r="AC292" s="50">
        <v>2106.94</v>
      </c>
      <c r="AD292" s="50">
        <v>15007.29</v>
      </c>
      <c r="AE292" s="50">
        <v>0</v>
      </c>
      <c r="AF292" s="50">
        <v>0</v>
      </c>
      <c r="AG292" s="49">
        <v>1120325.54</v>
      </c>
      <c r="AH292" s="51" t="s">
        <v>104</v>
      </c>
      <c r="AI292" s="51" t="s">
        <v>74</v>
      </c>
      <c r="AJ292" s="51" t="s">
        <v>427</v>
      </c>
      <c r="AK292" s="51" t="s">
        <v>428</v>
      </c>
      <c r="AL292" s="51" t="s">
        <v>74</v>
      </c>
      <c r="AM292" s="51" t="s">
        <v>74</v>
      </c>
      <c r="AN292" s="52">
        <v>0</v>
      </c>
      <c r="AO292" s="52">
        <v>0</v>
      </c>
      <c r="AP292" s="52">
        <v>0</v>
      </c>
      <c r="AQ292" s="52">
        <v>0</v>
      </c>
      <c r="AR292" s="52">
        <v>0</v>
      </c>
      <c r="AS292" s="52">
        <v>0</v>
      </c>
      <c r="AT292" s="53" t="s">
        <v>74</v>
      </c>
      <c r="AU292" s="52">
        <v>0</v>
      </c>
      <c r="AV292" s="52"/>
      <c r="AW292" s="52">
        <v>0</v>
      </c>
      <c r="AX292" s="52"/>
      <c r="AY292" s="52"/>
      <c r="AZ292" s="52">
        <v>0</v>
      </c>
      <c r="BA292" s="52">
        <v>0</v>
      </c>
      <c r="BB292" s="54" t="s">
        <v>74</v>
      </c>
      <c r="BC292" s="53" t="s">
        <v>74</v>
      </c>
      <c r="BD292" s="55" t="s">
        <v>74</v>
      </c>
      <c r="BE292" s="55" t="s">
        <v>74</v>
      </c>
      <c r="BF292" s="55" t="s">
        <v>74</v>
      </c>
      <c r="BG292" s="55" t="s">
        <v>74</v>
      </c>
      <c r="BH292" s="52">
        <v>0</v>
      </c>
      <c r="BI292" s="52">
        <v>1153574.3799999999</v>
      </c>
      <c r="BJ292" s="52">
        <v>1153574.3799999999</v>
      </c>
      <c r="BK292" s="56">
        <v>43070</v>
      </c>
      <c r="BL292" s="57">
        <v>1153574.3799999999</v>
      </c>
      <c r="BM292" s="47">
        <v>0</v>
      </c>
      <c r="BN292" s="9"/>
      <c r="BO292" s="9"/>
      <c r="BP292" s="9"/>
      <c r="BQ292" s="9"/>
      <c r="BR292" s="9"/>
      <c r="BS292" s="9"/>
      <c r="BT292" s="9"/>
      <c r="BU292" s="9"/>
      <c r="BV292" s="9"/>
      <c r="BW292" s="9"/>
    </row>
    <row r="293" spans="1:75" ht="26.25" hidden="1" outlineLevel="2" x14ac:dyDescent="0.25">
      <c r="A293" s="43" t="s">
        <v>346</v>
      </c>
      <c r="B293" s="110" t="s">
        <v>420</v>
      </c>
      <c r="C293" s="45">
        <v>2018</v>
      </c>
      <c r="D293" s="46" t="s">
        <v>73</v>
      </c>
      <c r="E293" s="47">
        <v>0</v>
      </c>
      <c r="F293" s="47">
        <v>0</v>
      </c>
      <c r="G293" s="47">
        <v>0</v>
      </c>
      <c r="H293" s="47">
        <v>0</v>
      </c>
      <c r="I293" s="47">
        <v>0</v>
      </c>
      <c r="J293" s="47">
        <v>0</v>
      </c>
      <c r="K293" s="47">
        <v>0</v>
      </c>
      <c r="L293" s="47">
        <v>2273899.92</v>
      </c>
      <c r="M293" s="47">
        <v>2273899.92</v>
      </c>
      <c r="N293" s="47">
        <v>0</v>
      </c>
      <c r="O293" s="47">
        <v>0</v>
      </c>
      <c r="P293" s="47">
        <v>0</v>
      </c>
      <c r="Q293" s="47">
        <v>0</v>
      </c>
      <c r="R293" s="47">
        <v>0</v>
      </c>
      <c r="S293" s="47">
        <v>0</v>
      </c>
      <c r="T293" s="47">
        <v>0</v>
      </c>
      <c r="U293" s="47">
        <v>0</v>
      </c>
      <c r="V293" s="47">
        <v>0</v>
      </c>
      <c r="W293" s="47">
        <v>0</v>
      </c>
      <c r="X293" s="47">
        <v>0</v>
      </c>
      <c r="Y293" s="48">
        <v>2273899.92</v>
      </c>
      <c r="Z293" s="58">
        <v>1189055.1599999999</v>
      </c>
      <c r="AA293" s="50">
        <v>1189055.1599999999</v>
      </c>
      <c r="AB293" s="50">
        <v>0</v>
      </c>
      <c r="AC293" s="50">
        <v>2406.9299999999998</v>
      </c>
      <c r="AD293" s="50">
        <v>11745.14</v>
      </c>
      <c r="AE293" s="50">
        <v>0</v>
      </c>
      <c r="AF293" s="50">
        <v>0</v>
      </c>
      <c r="AG293" s="49">
        <v>1203207.23</v>
      </c>
      <c r="AH293" s="51" t="s">
        <v>104</v>
      </c>
      <c r="AI293" s="51" t="s">
        <v>74</v>
      </c>
      <c r="AJ293" s="51" t="s">
        <v>96</v>
      </c>
      <c r="AK293" s="51" t="s">
        <v>97</v>
      </c>
      <c r="AL293" s="51" t="s">
        <v>74</v>
      </c>
      <c r="AM293" s="51" t="s">
        <v>74</v>
      </c>
      <c r="AN293" s="52">
        <v>0</v>
      </c>
      <c r="AO293" s="52">
        <v>0</v>
      </c>
      <c r="AP293" s="52">
        <v>0</v>
      </c>
      <c r="AQ293" s="52">
        <v>0</v>
      </c>
      <c r="AR293" s="52">
        <v>0</v>
      </c>
      <c r="AS293" s="52">
        <v>0</v>
      </c>
      <c r="AT293" s="53" t="s">
        <v>74</v>
      </c>
      <c r="AU293" s="52">
        <v>0</v>
      </c>
      <c r="AV293" s="52"/>
      <c r="AW293" s="52">
        <v>0</v>
      </c>
      <c r="AX293" s="52"/>
      <c r="AY293" s="52"/>
      <c r="AZ293" s="52">
        <v>0</v>
      </c>
      <c r="BA293" s="52">
        <v>0</v>
      </c>
      <c r="BB293" s="54" t="s">
        <v>74</v>
      </c>
      <c r="BC293" s="53" t="s">
        <v>74</v>
      </c>
      <c r="BD293" s="55" t="s">
        <v>74</v>
      </c>
      <c r="BE293" s="55" t="s">
        <v>74</v>
      </c>
      <c r="BF293" s="55" t="s">
        <v>74</v>
      </c>
      <c r="BG293" s="55" t="s">
        <v>74</v>
      </c>
      <c r="BH293" s="52">
        <v>0</v>
      </c>
      <c r="BI293" s="52">
        <v>1070692.69</v>
      </c>
      <c r="BJ293" s="52">
        <v>1070692.69</v>
      </c>
      <c r="BK293" s="56">
        <v>43101</v>
      </c>
      <c r="BL293" s="57">
        <v>1070692.69</v>
      </c>
      <c r="BM293" s="47">
        <v>0</v>
      </c>
      <c r="BN293" s="9"/>
      <c r="BO293" s="9"/>
      <c r="BP293" s="9"/>
      <c r="BQ293" s="9"/>
      <c r="BR293" s="9"/>
      <c r="BS293" s="9"/>
      <c r="BT293" s="9"/>
      <c r="BU293" s="9"/>
      <c r="BV293" s="9"/>
      <c r="BW293" s="9"/>
    </row>
    <row r="294" spans="1:75" ht="26.25" hidden="1" outlineLevel="2" x14ac:dyDescent="0.25">
      <c r="A294" s="43" t="s">
        <v>346</v>
      </c>
      <c r="B294" s="110" t="s">
        <v>420</v>
      </c>
      <c r="C294" s="45">
        <v>2018</v>
      </c>
      <c r="D294" s="46" t="s">
        <v>75</v>
      </c>
      <c r="E294" s="47">
        <v>0</v>
      </c>
      <c r="F294" s="47">
        <v>0</v>
      </c>
      <c r="G294" s="47">
        <v>0</v>
      </c>
      <c r="H294" s="47">
        <v>0</v>
      </c>
      <c r="I294" s="47">
        <v>0</v>
      </c>
      <c r="J294" s="47">
        <v>0</v>
      </c>
      <c r="K294" s="47">
        <v>0</v>
      </c>
      <c r="L294" s="47">
        <v>2273899.92</v>
      </c>
      <c r="M294" s="47">
        <v>2273899.92</v>
      </c>
      <c r="N294" s="47">
        <v>0</v>
      </c>
      <c r="O294" s="47">
        <v>0</v>
      </c>
      <c r="P294" s="47">
        <v>0</v>
      </c>
      <c r="Q294" s="47">
        <v>0</v>
      </c>
      <c r="R294" s="47">
        <v>0</v>
      </c>
      <c r="S294" s="47">
        <v>0</v>
      </c>
      <c r="T294" s="47">
        <v>0</v>
      </c>
      <c r="U294" s="47">
        <v>0</v>
      </c>
      <c r="V294" s="47">
        <v>0</v>
      </c>
      <c r="W294" s="47">
        <v>0</v>
      </c>
      <c r="X294" s="47">
        <v>0</v>
      </c>
      <c r="Y294" s="48">
        <v>2273899.92</v>
      </c>
      <c r="Z294" s="58">
        <v>1212176.33</v>
      </c>
      <c r="AA294" s="50">
        <v>1212176.33</v>
      </c>
      <c r="AB294" s="50">
        <v>0</v>
      </c>
      <c r="AC294" s="50">
        <v>2408.63</v>
      </c>
      <c r="AD294" s="50">
        <v>11738.05</v>
      </c>
      <c r="AE294" s="50">
        <v>0</v>
      </c>
      <c r="AF294" s="50">
        <v>0</v>
      </c>
      <c r="AG294" s="49">
        <v>1226323.01</v>
      </c>
      <c r="AH294" s="51" t="s">
        <v>104</v>
      </c>
      <c r="AI294" s="51" t="s">
        <v>74</v>
      </c>
      <c r="AJ294" s="51" t="s">
        <v>98</v>
      </c>
      <c r="AK294" s="51" t="s">
        <v>99</v>
      </c>
      <c r="AL294" s="51" t="s">
        <v>74</v>
      </c>
      <c r="AM294" s="51" t="s">
        <v>74</v>
      </c>
      <c r="AN294" s="52">
        <v>0</v>
      </c>
      <c r="AO294" s="52">
        <v>0</v>
      </c>
      <c r="AP294" s="52">
        <v>0</v>
      </c>
      <c r="AQ294" s="52">
        <v>0</v>
      </c>
      <c r="AR294" s="52">
        <v>0</v>
      </c>
      <c r="AS294" s="52">
        <v>0</v>
      </c>
      <c r="AT294" s="53" t="s">
        <v>74</v>
      </c>
      <c r="AU294" s="52">
        <v>0</v>
      </c>
      <c r="AV294" s="52"/>
      <c r="AW294" s="52">
        <v>0</v>
      </c>
      <c r="AX294" s="52"/>
      <c r="AY294" s="52"/>
      <c r="AZ294" s="52">
        <v>0</v>
      </c>
      <c r="BA294" s="52">
        <v>0</v>
      </c>
      <c r="BB294" s="54" t="s">
        <v>74</v>
      </c>
      <c r="BC294" s="53" t="s">
        <v>74</v>
      </c>
      <c r="BD294" s="55" t="s">
        <v>74</v>
      </c>
      <c r="BE294" s="55" t="s">
        <v>74</v>
      </c>
      <c r="BF294" s="55" t="s">
        <v>74</v>
      </c>
      <c r="BG294" s="55" t="s">
        <v>74</v>
      </c>
      <c r="BH294" s="52">
        <v>0</v>
      </c>
      <c r="BI294" s="52">
        <v>1047576.91</v>
      </c>
      <c r="BJ294" s="52">
        <v>1047576.91</v>
      </c>
      <c r="BK294" s="56">
        <v>43132</v>
      </c>
      <c r="BL294" s="57">
        <v>1047576.91</v>
      </c>
      <c r="BM294" s="47">
        <v>0</v>
      </c>
      <c r="BN294" s="9"/>
      <c r="BO294" s="9"/>
      <c r="BP294" s="9"/>
      <c r="BQ294" s="9"/>
      <c r="BR294" s="9"/>
      <c r="BS294" s="9"/>
      <c r="BT294" s="9"/>
      <c r="BU294" s="9"/>
      <c r="BV294" s="9"/>
      <c r="BW294" s="9"/>
    </row>
    <row r="295" spans="1:75" ht="26.25" hidden="1" outlineLevel="2" x14ac:dyDescent="0.25">
      <c r="A295" s="43" t="s">
        <v>346</v>
      </c>
      <c r="B295" s="110" t="s">
        <v>420</v>
      </c>
      <c r="C295" s="45">
        <v>2018</v>
      </c>
      <c r="D295" s="46" t="s">
        <v>77</v>
      </c>
      <c r="E295" s="47">
        <v>0</v>
      </c>
      <c r="F295" s="47">
        <v>0</v>
      </c>
      <c r="G295" s="47">
        <v>0</v>
      </c>
      <c r="H295" s="47">
        <v>0</v>
      </c>
      <c r="I295" s="47">
        <v>0</v>
      </c>
      <c r="J295" s="47">
        <v>0</v>
      </c>
      <c r="K295" s="47">
        <v>0</v>
      </c>
      <c r="L295" s="47">
        <v>2273899.92</v>
      </c>
      <c r="M295" s="47">
        <v>2273899.92</v>
      </c>
      <c r="N295" s="47">
        <v>0</v>
      </c>
      <c r="O295" s="47">
        <v>0</v>
      </c>
      <c r="P295" s="47">
        <v>0</v>
      </c>
      <c r="Q295" s="47">
        <v>0</v>
      </c>
      <c r="R295" s="47">
        <v>0</v>
      </c>
      <c r="S295" s="47">
        <v>0</v>
      </c>
      <c r="T295" s="47">
        <v>0</v>
      </c>
      <c r="U295" s="47">
        <v>0</v>
      </c>
      <c r="V295" s="47">
        <v>0</v>
      </c>
      <c r="W295" s="47">
        <v>0</v>
      </c>
      <c r="X295" s="47">
        <v>0</v>
      </c>
      <c r="Y295" s="48">
        <v>2273899.92</v>
      </c>
      <c r="Z295" s="58">
        <v>1192338.3999999999</v>
      </c>
      <c r="AA295" s="50">
        <v>1192338.3999999999</v>
      </c>
      <c r="AB295" s="50">
        <v>0</v>
      </c>
      <c r="AC295" s="50">
        <v>2133.5</v>
      </c>
      <c r="AD295" s="50">
        <v>12766.39</v>
      </c>
      <c r="AE295" s="50">
        <v>0</v>
      </c>
      <c r="AF295" s="50">
        <v>0</v>
      </c>
      <c r="AG295" s="49">
        <v>1207238.29</v>
      </c>
      <c r="AH295" s="51" t="s">
        <v>104</v>
      </c>
      <c r="AI295" s="51" t="s">
        <v>74</v>
      </c>
      <c r="AJ295" s="51" t="s">
        <v>101</v>
      </c>
      <c r="AK295" s="51" t="s">
        <v>102</v>
      </c>
      <c r="AL295" s="51" t="s">
        <v>74</v>
      </c>
      <c r="AM295" s="51" t="s">
        <v>74</v>
      </c>
      <c r="AN295" s="52">
        <v>0</v>
      </c>
      <c r="AO295" s="52">
        <v>0</v>
      </c>
      <c r="AP295" s="52">
        <v>0</v>
      </c>
      <c r="AQ295" s="52">
        <v>0</v>
      </c>
      <c r="AR295" s="52">
        <v>0</v>
      </c>
      <c r="AS295" s="52">
        <v>0</v>
      </c>
      <c r="AT295" s="53" t="s">
        <v>74</v>
      </c>
      <c r="AU295" s="52">
        <v>0</v>
      </c>
      <c r="AV295" s="52"/>
      <c r="AW295" s="52">
        <v>0</v>
      </c>
      <c r="AX295" s="52"/>
      <c r="AY295" s="52"/>
      <c r="AZ295" s="52">
        <v>0</v>
      </c>
      <c r="BA295" s="52">
        <v>0</v>
      </c>
      <c r="BB295" s="54" t="s">
        <v>74</v>
      </c>
      <c r="BC295" s="53" t="s">
        <v>74</v>
      </c>
      <c r="BD295" s="55" t="s">
        <v>74</v>
      </c>
      <c r="BE295" s="55" t="s">
        <v>74</v>
      </c>
      <c r="BF295" s="55" t="s">
        <v>74</v>
      </c>
      <c r="BG295" s="55" t="s">
        <v>74</v>
      </c>
      <c r="BH295" s="52">
        <v>0</v>
      </c>
      <c r="BI295" s="52">
        <v>1066661.6299999999</v>
      </c>
      <c r="BJ295" s="52">
        <v>1066661.6299999999</v>
      </c>
      <c r="BK295" s="56">
        <v>43160</v>
      </c>
      <c r="BL295" s="57">
        <v>1066661.6299999999</v>
      </c>
      <c r="BM295" s="47">
        <v>0</v>
      </c>
      <c r="BN295" s="9"/>
      <c r="BO295" s="9"/>
      <c r="BP295" s="9"/>
      <c r="BQ295" s="9"/>
      <c r="BR295" s="9"/>
      <c r="BS295" s="9"/>
      <c r="BT295" s="9"/>
      <c r="BU295" s="9"/>
      <c r="BV295" s="9"/>
      <c r="BW295" s="9"/>
    </row>
    <row r="296" spans="1:75" ht="26.25" hidden="1" outlineLevel="2" x14ac:dyDescent="0.25">
      <c r="A296" s="43" t="s">
        <v>346</v>
      </c>
      <c r="B296" s="110" t="s">
        <v>420</v>
      </c>
      <c r="C296" s="45">
        <v>2018</v>
      </c>
      <c r="D296" s="46" t="s">
        <v>79</v>
      </c>
      <c r="E296" s="47">
        <v>0</v>
      </c>
      <c r="F296" s="47">
        <v>0</v>
      </c>
      <c r="G296" s="47">
        <v>0</v>
      </c>
      <c r="H296" s="47">
        <v>0</v>
      </c>
      <c r="I296" s="47">
        <v>0</v>
      </c>
      <c r="J296" s="47">
        <v>0</v>
      </c>
      <c r="K296" s="47">
        <v>0</v>
      </c>
      <c r="L296" s="47">
        <v>2273899.92</v>
      </c>
      <c r="M296" s="47">
        <v>2273899.92</v>
      </c>
      <c r="N296" s="47">
        <v>0</v>
      </c>
      <c r="O296" s="47">
        <v>0</v>
      </c>
      <c r="P296" s="47">
        <v>0</v>
      </c>
      <c r="Q296" s="47">
        <v>0</v>
      </c>
      <c r="R296" s="47">
        <v>0</v>
      </c>
      <c r="S296" s="47">
        <v>0</v>
      </c>
      <c r="T296" s="47">
        <v>0</v>
      </c>
      <c r="U296" s="47">
        <v>0</v>
      </c>
      <c r="V296" s="47">
        <v>0</v>
      </c>
      <c r="W296" s="47">
        <v>0</v>
      </c>
      <c r="X296" s="47">
        <v>0</v>
      </c>
      <c r="Y296" s="48">
        <v>2273899.92</v>
      </c>
      <c r="Z296" s="58">
        <v>1195626.31</v>
      </c>
      <c r="AA296" s="50">
        <v>1195626.31</v>
      </c>
      <c r="AB296" s="50">
        <v>0</v>
      </c>
      <c r="AC296" s="50">
        <v>2276.84</v>
      </c>
      <c r="AD296" s="50">
        <v>12367.36</v>
      </c>
      <c r="AE296" s="50">
        <v>0</v>
      </c>
      <c r="AF296" s="50">
        <v>0</v>
      </c>
      <c r="AG296" s="49">
        <v>1210270.51</v>
      </c>
      <c r="AH296" s="51" t="s">
        <v>104</v>
      </c>
      <c r="AI296" s="51" t="s">
        <v>74</v>
      </c>
      <c r="AJ296" s="51" t="s">
        <v>105</v>
      </c>
      <c r="AK296" s="51" t="s">
        <v>106</v>
      </c>
      <c r="AL296" s="51" t="s">
        <v>74</v>
      </c>
      <c r="AM296" s="51" t="s">
        <v>74</v>
      </c>
      <c r="AN296" s="52">
        <v>0</v>
      </c>
      <c r="AO296" s="52">
        <v>0</v>
      </c>
      <c r="AP296" s="52">
        <v>0</v>
      </c>
      <c r="AQ296" s="52">
        <v>0</v>
      </c>
      <c r="AR296" s="52">
        <v>0</v>
      </c>
      <c r="AS296" s="52">
        <v>0</v>
      </c>
      <c r="AT296" s="53" t="s">
        <v>74</v>
      </c>
      <c r="AU296" s="52">
        <v>0</v>
      </c>
      <c r="AV296" s="52"/>
      <c r="AW296" s="52">
        <v>0</v>
      </c>
      <c r="AX296" s="52"/>
      <c r="AY296" s="52"/>
      <c r="AZ296" s="52">
        <v>0</v>
      </c>
      <c r="BA296" s="52">
        <v>0</v>
      </c>
      <c r="BB296" s="54" t="s">
        <v>74</v>
      </c>
      <c r="BC296" s="53" t="s">
        <v>74</v>
      </c>
      <c r="BD296" s="55" t="s">
        <v>74</v>
      </c>
      <c r="BE296" s="55" t="s">
        <v>74</v>
      </c>
      <c r="BF296" s="55" t="s">
        <v>74</v>
      </c>
      <c r="BG296" s="55" t="s">
        <v>74</v>
      </c>
      <c r="BH296" s="52">
        <v>0</v>
      </c>
      <c r="BI296" s="52">
        <v>1063629.4099999999</v>
      </c>
      <c r="BJ296" s="52">
        <v>1063629.4099999999</v>
      </c>
      <c r="BK296" s="56">
        <v>43191</v>
      </c>
      <c r="BL296" s="57">
        <v>1063629.4099999999</v>
      </c>
      <c r="BM296" s="47">
        <v>0</v>
      </c>
      <c r="BN296" s="9"/>
      <c r="BO296" s="9"/>
      <c r="BP296" s="9"/>
      <c r="BQ296" s="9"/>
      <c r="BR296" s="9"/>
      <c r="BS296" s="9"/>
      <c r="BT296" s="9"/>
      <c r="BU296" s="9"/>
      <c r="BV296" s="9"/>
      <c r="BW296" s="9"/>
    </row>
    <row r="297" spans="1:75" ht="26.25" hidden="1" outlineLevel="2" x14ac:dyDescent="0.25">
      <c r="A297" s="43" t="s">
        <v>346</v>
      </c>
      <c r="B297" s="110" t="s">
        <v>420</v>
      </c>
      <c r="C297" s="45">
        <v>2018</v>
      </c>
      <c r="D297" s="46" t="s">
        <v>81</v>
      </c>
      <c r="E297" s="47">
        <v>0</v>
      </c>
      <c r="F297" s="47">
        <v>0</v>
      </c>
      <c r="G297" s="47">
        <v>0</v>
      </c>
      <c r="H297" s="47">
        <v>0</v>
      </c>
      <c r="I297" s="47">
        <v>0</v>
      </c>
      <c r="J297" s="47">
        <v>0</v>
      </c>
      <c r="K297" s="47">
        <v>0</v>
      </c>
      <c r="L297" s="47">
        <v>2273899.92</v>
      </c>
      <c r="M297" s="47">
        <v>2273899.92</v>
      </c>
      <c r="N297" s="47">
        <v>0</v>
      </c>
      <c r="O297" s="47">
        <v>0</v>
      </c>
      <c r="P297" s="47">
        <v>0</v>
      </c>
      <c r="Q297" s="47">
        <v>0</v>
      </c>
      <c r="R297" s="47">
        <v>0</v>
      </c>
      <c r="S297" s="47">
        <v>0</v>
      </c>
      <c r="T297" s="47">
        <v>0</v>
      </c>
      <c r="U297" s="47">
        <v>0</v>
      </c>
      <c r="V297" s="47">
        <v>0</v>
      </c>
      <c r="W297" s="47">
        <v>0</v>
      </c>
      <c r="X297" s="47">
        <v>0</v>
      </c>
      <c r="Y297" s="48">
        <v>2273899.92</v>
      </c>
      <c r="Z297" s="58">
        <v>1170622.8799999999</v>
      </c>
      <c r="AA297" s="50">
        <v>1170622.8799999999</v>
      </c>
      <c r="AB297" s="50">
        <v>0</v>
      </c>
      <c r="AC297" s="50">
        <v>2707.82</v>
      </c>
      <c r="AD297" s="50">
        <v>12603.97</v>
      </c>
      <c r="AE297" s="50">
        <v>0</v>
      </c>
      <c r="AF297" s="50">
        <v>0</v>
      </c>
      <c r="AG297" s="49">
        <v>1185934.67</v>
      </c>
      <c r="AH297" s="51" t="s">
        <v>104</v>
      </c>
      <c r="AI297" s="51" t="s">
        <v>74</v>
      </c>
      <c r="AJ297" s="51" t="s">
        <v>429</v>
      </c>
      <c r="AK297" s="51" t="s">
        <v>197</v>
      </c>
      <c r="AL297" s="51" t="s">
        <v>74</v>
      </c>
      <c r="AM297" s="51" t="s">
        <v>74</v>
      </c>
      <c r="AN297" s="52">
        <v>0</v>
      </c>
      <c r="AO297" s="52">
        <v>0</v>
      </c>
      <c r="AP297" s="52">
        <v>0</v>
      </c>
      <c r="AQ297" s="52">
        <v>0</v>
      </c>
      <c r="AR297" s="52">
        <v>0</v>
      </c>
      <c r="AS297" s="52">
        <v>0</v>
      </c>
      <c r="AT297" s="53" t="s">
        <v>74</v>
      </c>
      <c r="AU297" s="52">
        <v>0</v>
      </c>
      <c r="AV297" s="52"/>
      <c r="AW297" s="52">
        <v>0</v>
      </c>
      <c r="AX297" s="52"/>
      <c r="AY297" s="52"/>
      <c r="AZ297" s="52">
        <v>0</v>
      </c>
      <c r="BA297" s="52">
        <v>0</v>
      </c>
      <c r="BB297" s="54" t="s">
        <v>74</v>
      </c>
      <c r="BC297" s="53" t="s">
        <v>74</v>
      </c>
      <c r="BD297" s="55" t="s">
        <v>74</v>
      </c>
      <c r="BE297" s="55" t="s">
        <v>74</v>
      </c>
      <c r="BF297" s="55" t="s">
        <v>74</v>
      </c>
      <c r="BG297" s="55" t="s">
        <v>74</v>
      </c>
      <c r="BH297" s="52">
        <v>0</v>
      </c>
      <c r="BI297" s="52">
        <v>1087965.25</v>
      </c>
      <c r="BJ297" s="52">
        <v>1087965.25</v>
      </c>
      <c r="BK297" s="56">
        <v>43221</v>
      </c>
      <c r="BL297" s="57">
        <v>1087965.25</v>
      </c>
      <c r="BM297" s="47">
        <v>0</v>
      </c>
      <c r="BN297" s="9"/>
      <c r="BO297" s="9"/>
      <c r="BP297" s="9"/>
      <c r="BQ297" s="9"/>
      <c r="BR297" s="9"/>
      <c r="BS297" s="9"/>
      <c r="BT297" s="9"/>
      <c r="BU297" s="9"/>
      <c r="BV297" s="9"/>
      <c r="BW297" s="9"/>
    </row>
    <row r="298" spans="1:75" ht="39" hidden="1" outlineLevel="2" x14ac:dyDescent="0.25">
      <c r="A298" s="43" t="s">
        <v>346</v>
      </c>
      <c r="B298" s="110" t="s">
        <v>420</v>
      </c>
      <c r="C298" s="45">
        <v>2018</v>
      </c>
      <c r="D298" s="46" t="s">
        <v>83</v>
      </c>
      <c r="E298" s="47">
        <v>0</v>
      </c>
      <c r="F298" s="47">
        <v>0</v>
      </c>
      <c r="G298" s="47">
        <v>0</v>
      </c>
      <c r="H298" s="47">
        <v>0</v>
      </c>
      <c r="I298" s="47">
        <v>0</v>
      </c>
      <c r="J298" s="47">
        <v>0</v>
      </c>
      <c r="K298" s="47">
        <v>0</v>
      </c>
      <c r="L298" s="47">
        <v>2122306.59</v>
      </c>
      <c r="M298" s="47">
        <v>2122306.59</v>
      </c>
      <c r="N298" s="47">
        <v>170139.37</v>
      </c>
      <c r="O298" s="47">
        <v>0</v>
      </c>
      <c r="P298" s="47">
        <v>0</v>
      </c>
      <c r="Q298" s="47">
        <v>0</v>
      </c>
      <c r="R298" s="47">
        <v>0</v>
      </c>
      <c r="S298" s="47">
        <v>0</v>
      </c>
      <c r="T298" s="47">
        <v>0</v>
      </c>
      <c r="U298" s="47">
        <v>0</v>
      </c>
      <c r="V298" s="47">
        <v>0</v>
      </c>
      <c r="W298" s="47">
        <v>0</v>
      </c>
      <c r="X298" s="47">
        <v>0</v>
      </c>
      <c r="Y298" s="48">
        <v>2292445.96</v>
      </c>
      <c r="Z298" s="58">
        <v>1159602.99</v>
      </c>
      <c r="AA298" s="50">
        <v>1159602.99</v>
      </c>
      <c r="AB298" s="50">
        <v>0</v>
      </c>
      <c r="AC298" s="50">
        <v>2699.54</v>
      </c>
      <c r="AD298" s="50">
        <v>11220.17</v>
      </c>
      <c r="AE298" s="50">
        <v>0</v>
      </c>
      <c r="AF298" s="50">
        <v>0</v>
      </c>
      <c r="AG298" s="49">
        <v>1173522.7</v>
      </c>
      <c r="AH298" s="51" t="s">
        <v>104</v>
      </c>
      <c r="AI298" s="51" t="s">
        <v>74</v>
      </c>
      <c r="AJ298" s="51" t="s">
        <v>111</v>
      </c>
      <c r="AK298" s="51" t="s">
        <v>112</v>
      </c>
      <c r="AL298" s="51" t="s">
        <v>74</v>
      </c>
      <c r="AM298" s="51" t="s">
        <v>74</v>
      </c>
      <c r="AN298" s="52">
        <v>0</v>
      </c>
      <c r="AO298" s="52">
        <v>0</v>
      </c>
      <c r="AP298" s="52"/>
      <c r="AQ298" s="52">
        <v>0</v>
      </c>
      <c r="AR298" s="52">
        <v>0</v>
      </c>
      <c r="AS298" s="52">
        <v>0</v>
      </c>
      <c r="AT298" s="53" t="s">
        <v>74</v>
      </c>
      <c r="AU298" s="52">
        <v>62720.17</v>
      </c>
      <c r="AV298" s="52"/>
      <c r="AW298" s="52">
        <v>0</v>
      </c>
      <c r="AX298" s="52"/>
      <c r="AY298" s="52"/>
      <c r="AZ298" s="52">
        <v>0</v>
      </c>
      <c r="BA298" s="52">
        <v>62720.17</v>
      </c>
      <c r="BB298" s="55" t="s">
        <v>430</v>
      </c>
      <c r="BC298" s="51" t="s">
        <v>74</v>
      </c>
      <c r="BD298" s="54" t="s">
        <v>74</v>
      </c>
      <c r="BE298" s="54" t="s">
        <v>74</v>
      </c>
      <c r="BF298" s="54" t="s">
        <v>74</v>
      </c>
      <c r="BG298" s="54" t="s">
        <v>74</v>
      </c>
      <c r="BH298" s="52">
        <v>62720.17</v>
      </c>
      <c r="BI298" s="52">
        <v>1181643.43</v>
      </c>
      <c r="BJ298" s="52">
        <v>1118923.26</v>
      </c>
      <c r="BK298" s="56">
        <v>43252</v>
      </c>
      <c r="BL298" s="57">
        <v>1181643.43</v>
      </c>
      <c r="BM298" s="47">
        <v>0</v>
      </c>
      <c r="BN298" s="9"/>
      <c r="BO298" s="9"/>
      <c r="BP298" s="9"/>
      <c r="BQ298" s="9"/>
      <c r="BR298" s="9"/>
      <c r="BS298" s="9"/>
      <c r="BT298" s="9"/>
      <c r="BU298" s="9"/>
      <c r="BV298" s="9"/>
      <c r="BW298" s="9"/>
    </row>
    <row r="299" spans="1:75" ht="51.75" hidden="1" outlineLevel="2" x14ac:dyDescent="0.25">
      <c r="A299" s="43" t="s">
        <v>346</v>
      </c>
      <c r="B299" s="110" t="s">
        <v>420</v>
      </c>
      <c r="C299" s="45">
        <v>2018</v>
      </c>
      <c r="D299" s="46" t="s">
        <v>84</v>
      </c>
      <c r="E299" s="47">
        <v>0</v>
      </c>
      <c r="F299" s="47">
        <v>0</v>
      </c>
      <c r="G299" s="47">
        <v>0</v>
      </c>
      <c r="H299" s="47">
        <v>0</v>
      </c>
      <c r="I299" s="47">
        <v>0</v>
      </c>
      <c r="J299" s="47">
        <v>0</v>
      </c>
      <c r="K299" s="47">
        <v>0</v>
      </c>
      <c r="L299" s="47">
        <v>0</v>
      </c>
      <c r="M299" s="47">
        <v>0</v>
      </c>
      <c r="N299" s="47">
        <v>4572291.6399999997</v>
      </c>
      <c r="O299" s="47">
        <v>0</v>
      </c>
      <c r="P299" s="47">
        <v>0</v>
      </c>
      <c r="Q299" s="47">
        <v>0</v>
      </c>
      <c r="R299" s="47">
        <v>0</v>
      </c>
      <c r="S299" s="47">
        <v>0</v>
      </c>
      <c r="T299" s="47">
        <v>0</v>
      </c>
      <c r="U299" s="47">
        <v>0</v>
      </c>
      <c r="V299" s="47">
        <v>0</v>
      </c>
      <c r="W299" s="47">
        <v>0</v>
      </c>
      <c r="X299" s="47">
        <v>0</v>
      </c>
      <c r="Y299" s="48">
        <v>4572291.6399999997</v>
      </c>
      <c r="Z299" s="58">
        <v>1114849.98</v>
      </c>
      <c r="AA299" s="50">
        <v>1114849.98</v>
      </c>
      <c r="AB299" s="50">
        <v>0</v>
      </c>
      <c r="AC299" s="50">
        <v>2341.23</v>
      </c>
      <c r="AD299" s="50">
        <v>9599.74</v>
      </c>
      <c r="AE299" s="50">
        <v>147706.07</v>
      </c>
      <c r="AF299" s="50">
        <v>0</v>
      </c>
      <c r="AG299" s="49">
        <v>1274497.02</v>
      </c>
      <c r="AH299" s="51" t="s">
        <v>104</v>
      </c>
      <c r="AI299" s="51" t="s">
        <v>74</v>
      </c>
      <c r="AJ299" s="51" t="s">
        <v>114</v>
      </c>
      <c r="AK299" s="51" t="s">
        <v>115</v>
      </c>
      <c r="AL299" s="51" t="s">
        <v>431</v>
      </c>
      <c r="AM299" s="51" t="s">
        <v>74</v>
      </c>
      <c r="AN299" s="52">
        <v>0</v>
      </c>
      <c r="AO299" s="52">
        <v>0</v>
      </c>
      <c r="AP299" s="52">
        <v>0</v>
      </c>
      <c r="AQ299" s="52">
        <v>0</v>
      </c>
      <c r="AR299" s="52">
        <v>0</v>
      </c>
      <c r="AS299" s="52">
        <v>0</v>
      </c>
      <c r="AT299" s="53" t="s">
        <v>74</v>
      </c>
      <c r="AU299" s="52">
        <v>0</v>
      </c>
      <c r="AV299" s="52"/>
      <c r="AW299" s="52">
        <v>0</v>
      </c>
      <c r="AX299" s="52"/>
      <c r="AY299" s="52"/>
      <c r="AZ299" s="52">
        <v>0</v>
      </c>
      <c r="BA299" s="52">
        <v>0</v>
      </c>
      <c r="BB299" s="54" t="s">
        <v>74</v>
      </c>
      <c r="BC299" s="53" t="s">
        <v>74</v>
      </c>
      <c r="BD299" s="55" t="s">
        <v>74</v>
      </c>
      <c r="BE299" s="55" t="s">
        <v>74</v>
      </c>
      <c r="BF299" s="55" t="s">
        <v>74</v>
      </c>
      <c r="BG299" s="55" t="s">
        <v>74</v>
      </c>
      <c r="BH299" s="52">
        <v>0</v>
      </c>
      <c r="BI299" s="52">
        <v>3297794.62</v>
      </c>
      <c r="BJ299" s="52">
        <v>3295677.43</v>
      </c>
      <c r="BK299" s="56">
        <v>43282</v>
      </c>
      <c r="BL299" s="57">
        <v>3297794.62</v>
      </c>
      <c r="BM299" s="47">
        <v>0</v>
      </c>
      <c r="BN299" s="9"/>
      <c r="BO299" s="9"/>
      <c r="BP299" s="9"/>
      <c r="BQ299" s="9"/>
      <c r="BR299" s="9"/>
      <c r="BS299" s="9"/>
      <c r="BT299" s="9"/>
      <c r="BU299" s="9"/>
      <c r="BV299" s="9"/>
      <c r="BW299" s="9"/>
    </row>
    <row r="300" spans="1:75" ht="26.25" hidden="1" outlineLevel="2" x14ac:dyDescent="0.25">
      <c r="A300" s="43" t="s">
        <v>346</v>
      </c>
      <c r="B300" s="110" t="s">
        <v>420</v>
      </c>
      <c r="C300" s="45">
        <v>2018</v>
      </c>
      <c r="D300" s="46" t="s">
        <v>86</v>
      </c>
      <c r="E300" s="47">
        <v>0</v>
      </c>
      <c r="F300" s="47">
        <v>0</v>
      </c>
      <c r="G300" s="47">
        <v>0</v>
      </c>
      <c r="H300" s="47">
        <v>0</v>
      </c>
      <c r="I300" s="47">
        <v>0</v>
      </c>
      <c r="J300" s="47">
        <v>0</v>
      </c>
      <c r="K300" s="47">
        <v>0</v>
      </c>
      <c r="L300" s="47">
        <v>0</v>
      </c>
      <c r="M300" s="47">
        <v>0</v>
      </c>
      <c r="N300" s="47">
        <v>2552090.6</v>
      </c>
      <c r="O300" s="47">
        <v>0</v>
      </c>
      <c r="P300" s="47">
        <v>0</v>
      </c>
      <c r="Q300" s="47">
        <v>0</v>
      </c>
      <c r="R300" s="47">
        <v>0</v>
      </c>
      <c r="S300" s="47">
        <v>0</v>
      </c>
      <c r="T300" s="47">
        <v>0</v>
      </c>
      <c r="U300" s="47">
        <v>0</v>
      </c>
      <c r="V300" s="47">
        <v>0</v>
      </c>
      <c r="W300" s="47">
        <v>0</v>
      </c>
      <c r="X300" s="47">
        <v>0</v>
      </c>
      <c r="Y300" s="48">
        <v>2552090.6</v>
      </c>
      <c r="Z300" s="58">
        <v>1096039.78</v>
      </c>
      <c r="AA300" s="50">
        <v>1096039.78</v>
      </c>
      <c r="AB300" s="50">
        <v>0</v>
      </c>
      <c r="AC300" s="50">
        <v>2380.0300000000002</v>
      </c>
      <c r="AD300" s="50">
        <v>9158.98</v>
      </c>
      <c r="AE300" s="50">
        <v>0</v>
      </c>
      <c r="AF300" s="50">
        <v>0</v>
      </c>
      <c r="AG300" s="49">
        <v>1107578.79</v>
      </c>
      <c r="AH300" s="51" t="s">
        <v>104</v>
      </c>
      <c r="AI300" s="51" t="s">
        <v>74</v>
      </c>
      <c r="AJ300" s="51" t="s">
        <v>117</v>
      </c>
      <c r="AK300" s="51" t="s">
        <v>118</v>
      </c>
      <c r="AL300" s="51" t="s">
        <v>74</v>
      </c>
      <c r="AM300" s="51" t="s">
        <v>74</v>
      </c>
      <c r="AN300" s="52">
        <v>0</v>
      </c>
      <c r="AO300" s="52">
        <v>0</v>
      </c>
      <c r="AP300" s="52">
        <v>0</v>
      </c>
      <c r="AQ300" s="52">
        <v>0</v>
      </c>
      <c r="AR300" s="52">
        <v>0</v>
      </c>
      <c r="AS300" s="52">
        <v>0</v>
      </c>
      <c r="AT300" s="53" t="s">
        <v>74</v>
      </c>
      <c r="AU300" s="52">
        <v>0</v>
      </c>
      <c r="AV300" s="52"/>
      <c r="AW300" s="52">
        <v>0</v>
      </c>
      <c r="AX300" s="52"/>
      <c r="AY300" s="52"/>
      <c r="AZ300" s="52">
        <v>0</v>
      </c>
      <c r="BA300" s="52">
        <v>0</v>
      </c>
      <c r="BB300" s="54" t="s">
        <v>74</v>
      </c>
      <c r="BC300" s="53" t="s">
        <v>74</v>
      </c>
      <c r="BD300" s="55" t="s">
        <v>74</v>
      </c>
      <c r="BE300" s="55" t="s">
        <v>74</v>
      </c>
      <c r="BF300" s="55" t="s">
        <v>74</v>
      </c>
      <c r="BG300" s="55" t="s">
        <v>74</v>
      </c>
      <c r="BH300" s="52">
        <v>0</v>
      </c>
      <c r="BI300" s="52">
        <v>1444511.81</v>
      </c>
      <c r="BJ300" s="52">
        <v>1444511.81</v>
      </c>
      <c r="BK300" s="56">
        <v>43313</v>
      </c>
      <c r="BL300" s="57">
        <v>1444511.81</v>
      </c>
      <c r="BM300" s="47">
        <v>0</v>
      </c>
      <c r="BN300" s="9"/>
      <c r="BO300" s="9"/>
      <c r="BP300" s="9"/>
      <c r="BQ300" s="9"/>
      <c r="BR300" s="9"/>
      <c r="BS300" s="9"/>
      <c r="BT300" s="9"/>
      <c r="BU300" s="9"/>
      <c r="BV300" s="9"/>
      <c r="BW300" s="9"/>
    </row>
    <row r="301" spans="1:75" ht="26.25" hidden="1" outlineLevel="2" x14ac:dyDescent="0.25">
      <c r="A301" s="43" t="s">
        <v>346</v>
      </c>
      <c r="B301" s="110" t="s">
        <v>420</v>
      </c>
      <c r="C301" s="45">
        <v>2018</v>
      </c>
      <c r="D301" s="46" t="s">
        <v>88</v>
      </c>
      <c r="E301" s="47">
        <v>0</v>
      </c>
      <c r="F301" s="47">
        <v>0</v>
      </c>
      <c r="G301" s="47">
        <v>0</v>
      </c>
      <c r="H301" s="47">
        <v>0</v>
      </c>
      <c r="I301" s="47">
        <v>0</v>
      </c>
      <c r="J301" s="47">
        <v>0</v>
      </c>
      <c r="K301" s="47">
        <v>0</v>
      </c>
      <c r="L301" s="47">
        <v>0</v>
      </c>
      <c r="M301" s="47">
        <v>0</v>
      </c>
      <c r="N301" s="47">
        <v>2552090.6</v>
      </c>
      <c r="O301" s="47">
        <v>0</v>
      </c>
      <c r="P301" s="47">
        <v>0</v>
      </c>
      <c r="Q301" s="47">
        <v>0</v>
      </c>
      <c r="R301" s="47">
        <v>0</v>
      </c>
      <c r="S301" s="47">
        <v>0</v>
      </c>
      <c r="T301" s="47">
        <v>0</v>
      </c>
      <c r="U301" s="47">
        <v>0</v>
      </c>
      <c r="V301" s="47">
        <v>0</v>
      </c>
      <c r="W301" s="47">
        <v>0</v>
      </c>
      <c r="X301" s="47">
        <v>0</v>
      </c>
      <c r="Y301" s="48">
        <v>2552090.6</v>
      </c>
      <c r="Z301" s="58">
        <v>1089737.21</v>
      </c>
      <c r="AA301" s="50">
        <v>1089737.21</v>
      </c>
      <c r="AB301" s="50">
        <v>0</v>
      </c>
      <c r="AC301" s="50">
        <v>2341.02</v>
      </c>
      <c r="AD301" s="50">
        <v>10497.98</v>
      </c>
      <c r="AE301" s="50">
        <v>0</v>
      </c>
      <c r="AF301" s="50">
        <v>0</v>
      </c>
      <c r="AG301" s="49">
        <v>1102576.21</v>
      </c>
      <c r="AH301" s="51" t="s">
        <v>104</v>
      </c>
      <c r="AI301" s="51" t="s">
        <v>74</v>
      </c>
      <c r="AJ301" s="51" t="s">
        <v>120</v>
      </c>
      <c r="AK301" s="51" t="s">
        <v>121</v>
      </c>
      <c r="AL301" s="51" t="s">
        <v>74</v>
      </c>
      <c r="AM301" s="51" t="s">
        <v>74</v>
      </c>
      <c r="AN301" s="52">
        <v>0</v>
      </c>
      <c r="AO301" s="52">
        <v>0</v>
      </c>
      <c r="AP301" s="52">
        <v>0</v>
      </c>
      <c r="AQ301" s="52">
        <v>0</v>
      </c>
      <c r="AR301" s="52">
        <v>0</v>
      </c>
      <c r="AS301" s="52">
        <v>0</v>
      </c>
      <c r="AT301" s="53" t="s">
        <v>74</v>
      </c>
      <c r="AU301" s="52">
        <v>0</v>
      </c>
      <c r="AV301" s="52"/>
      <c r="AW301" s="52">
        <v>0</v>
      </c>
      <c r="AX301" s="52"/>
      <c r="AY301" s="52"/>
      <c r="AZ301" s="52">
        <v>0</v>
      </c>
      <c r="BA301" s="52">
        <v>0</v>
      </c>
      <c r="BB301" s="54" t="s">
        <v>74</v>
      </c>
      <c r="BC301" s="53" t="s">
        <v>74</v>
      </c>
      <c r="BD301" s="55" t="s">
        <v>74</v>
      </c>
      <c r="BE301" s="55" t="s">
        <v>74</v>
      </c>
      <c r="BF301" s="55" t="s">
        <v>74</v>
      </c>
      <c r="BG301" s="55" t="s">
        <v>74</v>
      </c>
      <c r="BH301" s="52">
        <v>0</v>
      </c>
      <c r="BI301" s="52">
        <v>1449514.39</v>
      </c>
      <c r="BJ301" s="52">
        <v>1449514.39</v>
      </c>
      <c r="BK301" s="56">
        <v>43344</v>
      </c>
      <c r="BL301" s="57">
        <v>1449514.39</v>
      </c>
      <c r="BM301" s="47">
        <v>0</v>
      </c>
      <c r="BN301" s="9"/>
      <c r="BO301" s="9"/>
      <c r="BP301" s="9"/>
      <c r="BQ301" s="9"/>
      <c r="BR301" s="9"/>
      <c r="BS301" s="9"/>
      <c r="BT301" s="9"/>
      <c r="BU301" s="9"/>
      <c r="BV301" s="9"/>
      <c r="BW301" s="9"/>
    </row>
    <row r="302" spans="1:75" ht="26.25" hidden="1" outlineLevel="2" x14ac:dyDescent="0.25">
      <c r="A302" s="43" t="s">
        <v>346</v>
      </c>
      <c r="B302" s="110" t="s">
        <v>420</v>
      </c>
      <c r="C302" s="45">
        <v>2018</v>
      </c>
      <c r="D302" s="46" t="s">
        <v>89</v>
      </c>
      <c r="E302" s="47">
        <v>0</v>
      </c>
      <c r="F302" s="47">
        <v>0</v>
      </c>
      <c r="G302" s="47">
        <v>0</v>
      </c>
      <c r="H302" s="47">
        <v>0</v>
      </c>
      <c r="I302" s="47">
        <v>0</v>
      </c>
      <c r="J302" s="47">
        <v>0</v>
      </c>
      <c r="K302" s="47">
        <v>0</v>
      </c>
      <c r="L302" s="47">
        <v>0</v>
      </c>
      <c r="M302" s="47">
        <v>0</v>
      </c>
      <c r="N302" s="47">
        <v>2552090.6</v>
      </c>
      <c r="O302" s="47">
        <v>0</v>
      </c>
      <c r="P302" s="47">
        <v>0</v>
      </c>
      <c r="Q302" s="47">
        <v>0</v>
      </c>
      <c r="R302" s="47">
        <v>0</v>
      </c>
      <c r="S302" s="47">
        <v>0</v>
      </c>
      <c r="T302" s="47">
        <v>0</v>
      </c>
      <c r="U302" s="47">
        <v>0</v>
      </c>
      <c r="V302" s="47">
        <v>0</v>
      </c>
      <c r="W302" s="47">
        <v>0</v>
      </c>
      <c r="X302" s="47">
        <v>0</v>
      </c>
      <c r="Y302" s="48">
        <v>2552090.6</v>
      </c>
      <c r="Z302" s="58">
        <v>1147748.6200000001</v>
      </c>
      <c r="AA302" s="50">
        <v>1147748.6200000001</v>
      </c>
      <c r="AB302" s="50">
        <v>0</v>
      </c>
      <c r="AC302" s="50">
        <v>2212.39</v>
      </c>
      <c r="AD302" s="50">
        <v>12303.92</v>
      </c>
      <c r="AE302" s="50">
        <v>0</v>
      </c>
      <c r="AF302" s="50">
        <v>0</v>
      </c>
      <c r="AG302" s="49">
        <v>1162264.93</v>
      </c>
      <c r="AH302" s="51" t="s">
        <v>104</v>
      </c>
      <c r="AI302" s="51" t="s">
        <v>74</v>
      </c>
      <c r="AJ302" s="51" t="s">
        <v>123</v>
      </c>
      <c r="AK302" s="51" t="s">
        <v>124</v>
      </c>
      <c r="AL302" s="51" t="s">
        <v>74</v>
      </c>
      <c r="AM302" s="51" t="s">
        <v>74</v>
      </c>
      <c r="AN302" s="52">
        <v>0</v>
      </c>
      <c r="AO302" s="52">
        <v>0</v>
      </c>
      <c r="AP302" s="52">
        <v>0</v>
      </c>
      <c r="AQ302" s="52">
        <v>0</v>
      </c>
      <c r="AR302" s="52">
        <v>0</v>
      </c>
      <c r="AS302" s="52">
        <v>0</v>
      </c>
      <c r="AT302" s="53" t="s">
        <v>74</v>
      </c>
      <c r="AU302" s="52">
        <v>0</v>
      </c>
      <c r="AV302" s="52"/>
      <c r="AW302" s="52">
        <v>0</v>
      </c>
      <c r="AX302" s="52"/>
      <c r="AY302" s="52"/>
      <c r="AZ302" s="52">
        <v>0</v>
      </c>
      <c r="BA302" s="52">
        <v>0</v>
      </c>
      <c r="BB302" s="54" t="s">
        <v>74</v>
      </c>
      <c r="BC302" s="53" t="s">
        <v>74</v>
      </c>
      <c r="BD302" s="55" t="s">
        <v>74</v>
      </c>
      <c r="BE302" s="55" t="s">
        <v>74</v>
      </c>
      <c r="BF302" s="55" t="s">
        <v>74</v>
      </c>
      <c r="BG302" s="55" t="s">
        <v>74</v>
      </c>
      <c r="BH302" s="52">
        <v>0</v>
      </c>
      <c r="BI302" s="52">
        <v>1389825.67</v>
      </c>
      <c r="BJ302" s="52">
        <v>1389825.67</v>
      </c>
      <c r="BK302" s="56">
        <v>43374</v>
      </c>
      <c r="BL302" s="57">
        <v>1389825.67</v>
      </c>
      <c r="BM302" s="47">
        <v>0</v>
      </c>
      <c r="BN302" s="9"/>
      <c r="BO302" s="9"/>
      <c r="BP302" s="9"/>
      <c r="BQ302" s="9"/>
      <c r="BR302" s="9"/>
      <c r="BS302" s="9"/>
      <c r="BT302" s="9"/>
      <c r="BU302" s="9"/>
      <c r="BV302" s="9"/>
      <c r="BW302" s="9"/>
    </row>
    <row r="303" spans="1:75" ht="26.25" hidden="1" outlineLevel="2" x14ac:dyDescent="0.25">
      <c r="A303" s="43" t="s">
        <v>346</v>
      </c>
      <c r="B303" s="110" t="s">
        <v>420</v>
      </c>
      <c r="C303" s="45">
        <v>2018</v>
      </c>
      <c r="D303" s="46" t="s">
        <v>90</v>
      </c>
      <c r="E303" s="47">
        <v>0</v>
      </c>
      <c r="F303" s="47">
        <v>0</v>
      </c>
      <c r="G303" s="47">
        <v>0</v>
      </c>
      <c r="H303" s="47">
        <v>0</v>
      </c>
      <c r="I303" s="47">
        <v>0</v>
      </c>
      <c r="J303" s="47">
        <v>0</v>
      </c>
      <c r="K303" s="47">
        <v>0</v>
      </c>
      <c r="L303" s="47">
        <v>0</v>
      </c>
      <c r="M303" s="47">
        <v>0</v>
      </c>
      <c r="N303" s="47">
        <v>2552090.6</v>
      </c>
      <c r="O303" s="47">
        <v>0</v>
      </c>
      <c r="P303" s="47">
        <v>0</v>
      </c>
      <c r="Q303" s="47">
        <v>0</v>
      </c>
      <c r="R303" s="47">
        <v>0</v>
      </c>
      <c r="S303" s="47">
        <v>0</v>
      </c>
      <c r="T303" s="47">
        <v>0</v>
      </c>
      <c r="U303" s="47">
        <v>0</v>
      </c>
      <c r="V303" s="47">
        <v>0</v>
      </c>
      <c r="W303" s="47">
        <v>0</v>
      </c>
      <c r="X303" s="47">
        <v>0</v>
      </c>
      <c r="Y303" s="48">
        <v>2552090.6</v>
      </c>
      <c r="Z303" s="58">
        <v>1044885.47</v>
      </c>
      <c r="AA303" s="50">
        <v>1044885.47</v>
      </c>
      <c r="AB303" s="50">
        <v>0</v>
      </c>
      <c r="AC303" s="50">
        <v>2267.04</v>
      </c>
      <c r="AD303" s="50">
        <v>14189.23</v>
      </c>
      <c r="AE303" s="50">
        <v>0</v>
      </c>
      <c r="AF303" s="50">
        <v>0</v>
      </c>
      <c r="AG303" s="49">
        <v>1061341.74</v>
      </c>
      <c r="AH303" s="51" t="s">
        <v>104</v>
      </c>
      <c r="AI303" s="51" t="s">
        <v>74</v>
      </c>
      <c r="AJ303" s="51" t="s">
        <v>125</v>
      </c>
      <c r="AK303" s="51" t="s">
        <v>126</v>
      </c>
      <c r="AL303" s="51" t="s">
        <v>74</v>
      </c>
      <c r="AM303" s="51" t="s">
        <v>74</v>
      </c>
      <c r="AN303" s="52">
        <v>0</v>
      </c>
      <c r="AO303" s="52">
        <v>0</v>
      </c>
      <c r="AP303" s="52">
        <v>0</v>
      </c>
      <c r="AQ303" s="52">
        <v>0</v>
      </c>
      <c r="AR303" s="52">
        <v>0</v>
      </c>
      <c r="AS303" s="52">
        <v>0</v>
      </c>
      <c r="AT303" s="53" t="s">
        <v>74</v>
      </c>
      <c r="AU303" s="52">
        <v>0</v>
      </c>
      <c r="AV303" s="52"/>
      <c r="AW303" s="52">
        <v>0</v>
      </c>
      <c r="AX303" s="52"/>
      <c r="AY303" s="52"/>
      <c r="AZ303" s="52">
        <v>0</v>
      </c>
      <c r="BA303" s="52">
        <v>0</v>
      </c>
      <c r="BB303" s="54" t="s">
        <v>74</v>
      </c>
      <c r="BC303" s="53" t="s">
        <v>74</v>
      </c>
      <c r="BD303" s="55" t="s">
        <v>74</v>
      </c>
      <c r="BE303" s="55" t="s">
        <v>74</v>
      </c>
      <c r="BF303" s="55" t="s">
        <v>74</v>
      </c>
      <c r="BG303" s="55" t="s">
        <v>74</v>
      </c>
      <c r="BH303" s="52">
        <v>0</v>
      </c>
      <c r="BI303" s="52">
        <v>1490748.86</v>
      </c>
      <c r="BJ303" s="52">
        <v>1490748.86</v>
      </c>
      <c r="BK303" s="56">
        <v>43405</v>
      </c>
      <c r="BL303" s="57">
        <v>1490748.86</v>
      </c>
      <c r="BM303" s="47">
        <v>0</v>
      </c>
      <c r="BN303" s="9"/>
      <c r="BO303" s="9"/>
      <c r="BP303" s="9"/>
      <c r="BQ303" s="9"/>
      <c r="BR303" s="9"/>
      <c r="BS303" s="9"/>
      <c r="BT303" s="9"/>
      <c r="BU303" s="9"/>
      <c r="BV303" s="9"/>
      <c r="BW303" s="9"/>
    </row>
    <row r="304" spans="1:75" ht="409.6" hidden="1" outlineLevel="2" x14ac:dyDescent="0.25">
      <c r="A304" s="43" t="s">
        <v>346</v>
      </c>
      <c r="B304" s="110" t="s">
        <v>420</v>
      </c>
      <c r="C304" s="45">
        <v>2018</v>
      </c>
      <c r="D304" s="46" t="s">
        <v>93</v>
      </c>
      <c r="E304" s="47">
        <v>0</v>
      </c>
      <c r="F304" s="47">
        <v>0</v>
      </c>
      <c r="G304" s="47">
        <v>0</v>
      </c>
      <c r="H304" s="47">
        <v>0</v>
      </c>
      <c r="I304" s="47">
        <v>0</v>
      </c>
      <c r="J304" s="47">
        <v>0</v>
      </c>
      <c r="K304" s="47">
        <v>0</v>
      </c>
      <c r="L304" s="47">
        <v>0</v>
      </c>
      <c r="M304" s="47">
        <v>0</v>
      </c>
      <c r="N304" s="47">
        <v>2552090.6</v>
      </c>
      <c r="O304" s="47">
        <v>0</v>
      </c>
      <c r="P304" s="47">
        <v>0</v>
      </c>
      <c r="Q304" s="47">
        <v>0</v>
      </c>
      <c r="R304" s="47">
        <v>0</v>
      </c>
      <c r="S304" s="47">
        <v>0</v>
      </c>
      <c r="T304" s="47">
        <v>0</v>
      </c>
      <c r="U304" s="47">
        <v>0</v>
      </c>
      <c r="V304" s="47">
        <v>0</v>
      </c>
      <c r="W304" s="47">
        <v>0</v>
      </c>
      <c r="X304" s="47">
        <v>0</v>
      </c>
      <c r="Y304" s="48">
        <v>2552090.6</v>
      </c>
      <c r="Z304" s="58">
        <v>1039847.05</v>
      </c>
      <c r="AA304" s="50">
        <v>1039847.05</v>
      </c>
      <c r="AB304" s="50">
        <v>0</v>
      </c>
      <c r="AC304" s="50">
        <v>2273.48</v>
      </c>
      <c r="AD304" s="50">
        <v>12330.38</v>
      </c>
      <c r="AE304" s="50">
        <v>58606.69</v>
      </c>
      <c r="AF304" s="50">
        <v>0</v>
      </c>
      <c r="AG304" s="49">
        <v>1113057.6000000001</v>
      </c>
      <c r="AH304" s="51" t="s">
        <v>104</v>
      </c>
      <c r="AI304" s="51" t="s">
        <v>74</v>
      </c>
      <c r="AJ304" s="51" t="s">
        <v>127</v>
      </c>
      <c r="AK304" s="51" t="s">
        <v>128</v>
      </c>
      <c r="AL304" s="51" t="s">
        <v>432</v>
      </c>
      <c r="AM304" s="51" t="s">
        <v>74</v>
      </c>
      <c r="AN304" s="52">
        <v>0</v>
      </c>
      <c r="AO304" s="52">
        <v>206199.29</v>
      </c>
      <c r="AP304" s="52">
        <v>0</v>
      </c>
      <c r="AQ304" s="52">
        <v>0</v>
      </c>
      <c r="AR304" s="52">
        <v>0</v>
      </c>
      <c r="AS304" s="52">
        <v>206199.29</v>
      </c>
      <c r="AT304" s="51" t="s">
        <v>433</v>
      </c>
      <c r="AU304" s="52">
        <v>0</v>
      </c>
      <c r="AV304" s="52"/>
      <c r="AW304" s="52">
        <v>0</v>
      </c>
      <c r="AX304" s="52"/>
      <c r="AY304" s="52"/>
      <c r="AZ304" s="52">
        <v>0</v>
      </c>
      <c r="BA304" s="52">
        <v>0</v>
      </c>
      <c r="BB304" s="54" t="s">
        <v>74</v>
      </c>
      <c r="BC304" s="53" t="s">
        <v>74</v>
      </c>
      <c r="BD304" s="55" t="s">
        <v>74</v>
      </c>
      <c r="BE304" s="55" t="s">
        <v>74</v>
      </c>
      <c r="BF304" s="55" t="s">
        <v>74</v>
      </c>
      <c r="BG304" s="55" t="s">
        <v>74</v>
      </c>
      <c r="BH304" s="52">
        <v>206199.29</v>
      </c>
      <c r="BI304" s="52">
        <v>1645232.29</v>
      </c>
      <c r="BJ304" s="52">
        <v>1439033</v>
      </c>
      <c r="BK304" s="56">
        <v>43435</v>
      </c>
      <c r="BL304" s="57">
        <v>1645232.29</v>
      </c>
      <c r="BM304" s="47">
        <v>0</v>
      </c>
      <c r="BN304" s="9"/>
      <c r="BO304" s="9"/>
      <c r="BP304" s="9"/>
      <c r="BQ304" s="9"/>
      <c r="BR304" s="9"/>
      <c r="BS304" s="9"/>
      <c r="BT304" s="9"/>
      <c r="BU304" s="9"/>
      <c r="BV304" s="9"/>
      <c r="BW304" s="9"/>
    </row>
    <row r="305" spans="1:75" ht="51.75" hidden="1" outlineLevel="2" x14ac:dyDescent="0.25">
      <c r="A305" s="43" t="s">
        <v>346</v>
      </c>
      <c r="B305" s="110" t="s">
        <v>420</v>
      </c>
      <c r="C305" s="45">
        <v>2019</v>
      </c>
      <c r="D305" s="46" t="s">
        <v>73</v>
      </c>
      <c r="E305" s="47">
        <v>0</v>
      </c>
      <c r="F305" s="47">
        <v>0</v>
      </c>
      <c r="G305" s="47">
        <v>0</v>
      </c>
      <c r="H305" s="47">
        <v>0</v>
      </c>
      <c r="I305" s="47">
        <v>0</v>
      </c>
      <c r="J305" s="47">
        <v>0</v>
      </c>
      <c r="K305" s="47">
        <v>0</v>
      </c>
      <c r="L305" s="47">
        <v>0</v>
      </c>
      <c r="M305" s="47">
        <v>0</v>
      </c>
      <c r="N305" s="47">
        <v>2552090.6</v>
      </c>
      <c r="O305" s="47">
        <v>0</v>
      </c>
      <c r="P305" s="47">
        <v>0</v>
      </c>
      <c r="Q305" s="47">
        <v>0</v>
      </c>
      <c r="R305" s="47">
        <v>0</v>
      </c>
      <c r="S305" s="47">
        <v>0</v>
      </c>
      <c r="T305" s="47">
        <v>0</v>
      </c>
      <c r="U305" s="47">
        <v>0</v>
      </c>
      <c r="V305" s="47">
        <v>0</v>
      </c>
      <c r="W305" s="47">
        <v>0</v>
      </c>
      <c r="X305" s="47">
        <v>0</v>
      </c>
      <c r="Y305" s="48">
        <v>2552090.6</v>
      </c>
      <c r="Z305" s="58">
        <v>1047885.38</v>
      </c>
      <c r="AA305" s="50">
        <v>1047885.38</v>
      </c>
      <c r="AB305" s="50">
        <v>0</v>
      </c>
      <c r="AC305" s="50">
        <v>1982.76</v>
      </c>
      <c r="AD305" s="50">
        <v>15571.08</v>
      </c>
      <c r="AE305" s="50">
        <v>0</v>
      </c>
      <c r="AF305" s="50">
        <v>0</v>
      </c>
      <c r="AG305" s="49">
        <v>1065439.22</v>
      </c>
      <c r="AH305" s="51" t="s">
        <v>104</v>
      </c>
      <c r="AI305" s="51" t="s">
        <v>74</v>
      </c>
      <c r="AJ305" s="51" t="s">
        <v>96</v>
      </c>
      <c r="AK305" s="51" t="s">
        <v>434</v>
      </c>
      <c r="AL305" s="51" t="s">
        <v>74</v>
      </c>
      <c r="AM305" s="51" t="s">
        <v>74</v>
      </c>
      <c r="AN305" s="52">
        <v>37.42</v>
      </c>
      <c r="AO305" s="52">
        <v>0</v>
      </c>
      <c r="AP305" s="52">
        <v>0</v>
      </c>
      <c r="AQ305" s="52">
        <v>0</v>
      </c>
      <c r="AR305" s="52">
        <v>0</v>
      </c>
      <c r="AS305" s="52">
        <v>37.42</v>
      </c>
      <c r="AT305" s="51" t="s">
        <v>435</v>
      </c>
      <c r="AU305" s="52">
        <v>0</v>
      </c>
      <c r="AV305" s="52"/>
      <c r="AW305" s="52">
        <v>0</v>
      </c>
      <c r="AX305" s="52"/>
      <c r="AY305" s="52"/>
      <c r="AZ305" s="52">
        <v>0</v>
      </c>
      <c r="BA305" s="52">
        <v>0</v>
      </c>
      <c r="BB305" s="54" t="s">
        <v>74</v>
      </c>
      <c r="BC305" s="53" t="s">
        <v>74</v>
      </c>
      <c r="BD305" s="55" t="s">
        <v>74</v>
      </c>
      <c r="BE305" s="55" t="s">
        <v>74</v>
      </c>
      <c r="BF305" s="55" t="s">
        <v>74</v>
      </c>
      <c r="BG305" s="55" t="s">
        <v>74</v>
      </c>
      <c r="BH305" s="52">
        <v>37.42</v>
      </c>
      <c r="BI305" s="52">
        <v>1486688.8</v>
      </c>
      <c r="BJ305" s="52">
        <v>1486651.38</v>
      </c>
      <c r="BK305" s="56">
        <v>43466</v>
      </c>
      <c r="BL305" s="57">
        <v>1486688.8</v>
      </c>
      <c r="BM305" s="47">
        <v>0</v>
      </c>
      <c r="BN305" s="9"/>
      <c r="BO305" s="9"/>
      <c r="BP305" s="9"/>
      <c r="BQ305" s="9"/>
      <c r="BR305" s="9"/>
      <c r="BS305" s="9"/>
      <c r="BT305" s="9"/>
      <c r="BU305" s="9"/>
      <c r="BV305" s="9"/>
      <c r="BW305" s="9"/>
    </row>
    <row r="306" spans="1:75" ht="26.25" hidden="1" outlineLevel="2" x14ac:dyDescent="0.25">
      <c r="A306" s="43" t="s">
        <v>346</v>
      </c>
      <c r="B306" s="110" t="s">
        <v>420</v>
      </c>
      <c r="C306" s="45">
        <v>2019</v>
      </c>
      <c r="D306" s="46" t="s">
        <v>75</v>
      </c>
      <c r="E306" s="47">
        <v>0</v>
      </c>
      <c r="F306" s="47">
        <v>0</v>
      </c>
      <c r="G306" s="47">
        <v>0</v>
      </c>
      <c r="H306" s="47">
        <v>0</v>
      </c>
      <c r="I306" s="47">
        <v>0</v>
      </c>
      <c r="J306" s="47">
        <v>0</v>
      </c>
      <c r="K306" s="47">
        <v>0</v>
      </c>
      <c r="L306" s="47">
        <v>0</v>
      </c>
      <c r="M306" s="47">
        <v>0</v>
      </c>
      <c r="N306" s="47">
        <v>2552090.6</v>
      </c>
      <c r="O306" s="47">
        <v>0</v>
      </c>
      <c r="P306" s="47">
        <v>0</v>
      </c>
      <c r="Q306" s="47">
        <v>0</v>
      </c>
      <c r="R306" s="47">
        <v>0</v>
      </c>
      <c r="S306" s="47">
        <v>0</v>
      </c>
      <c r="T306" s="47">
        <v>0</v>
      </c>
      <c r="U306" s="47">
        <v>0</v>
      </c>
      <c r="V306" s="47">
        <v>0</v>
      </c>
      <c r="W306" s="47">
        <v>0</v>
      </c>
      <c r="X306" s="47">
        <v>0</v>
      </c>
      <c r="Y306" s="48">
        <v>2552090.6</v>
      </c>
      <c r="Z306" s="58">
        <v>1037342.12</v>
      </c>
      <c r="AA306" s="50">
        <v>1037342.12</v>
      </c>
      <c r="AB306" s="50">
        <v>0</v>
      </c>
      <c r="AC306" s="50">
        <v>0</v>
      </c>
      <c r="AD306" s="50">
        <v>0</v>
      </c>
      <c r="AE306" s="50">
        <v>0</v>
      </c>
      <c r="AF306" s="50">
        <v>0</v>
      </c>
      <c r="AG306" s="49">
        <v>1037342.12</v>
      </c>
      <c r="AH306" s="51" t="s">
        <v>104</v>
      </c>
      <c r="AI306" s="51" t="s">
        <v>74</v>
      </c>
      <c r="AJ306" s="51" t="s">
        <v>74</v>
      </c>
      <c r="AK306" s="51" t="s">
        <v>74</v>
      </c>
      <c r="AL306" s="51" t="s">
        <v>74</v>
      </c>
      <c r="AM306" s="51" t="s">
        <v>74</v>
      </c>
      <c r="AN306" s="52">
        <v>0</v>
      </c>
      <c r="AO306" s="52">
        <v>0</v>
      </c>
      <c r="AP306" s="52">
        <v>0</v>
      </c>
      <c r="AQ306" s="52">
        <v>0</v>
      </c>
      <c r="AR306" s="52">
        <v>0</v>
      </c>
      <c r="AS306" s="52">
        <v>0</v>
      </c>
      <c r="AT306" s="53" t="s">
        <v>74</v>
      </c>
      <c r="AU306" s="52">
        <v>0</v>
      </c>
      <c r="AV306" s="52"/>
      <c r="AW306" s="52">
        <v>0</v>
      </c>
      <c r="AX306" s="52"/>
      <c r="AY306" s="52"/>
      <c r="AZ306" s="52">
        <v>0</v>
      </c>
      <c r="BA306" s="52">
        <v>0</v>
      </c>
      <c r="BB306" s="54" t="s">
        <v>74</v>
      </c>
      <c r="BC306" s="53" t="s">
        <v>74</v>
      </c>
      <c r="BD306" s="55" t="s">
        <v>74</v>
      </c>
      <c r="BE306" s="55" t="s">
        <v>74</v>
      </c>
      <c r="BF306" s="55" t="s">
        <v>74</v>
      </c>
      <c r="BG306" s="55" t="s">
        <v>74</v>
      </c>
      <c r="BH306" s="52">
        <v>0</v>
      </c>
      <c r="BI306" s="52">
        <v>1514748.48</v>
      </c>
      <c r="BJ306" s="52">
        <v>1497283.25</v>
      </c>
      <c r="BK306" s="56">
        <v>43497</v>
      </c>
      <c r="BL306" s="57">
        <v>1514748.48</v>
      </c>
      <c r="BM306" s="47">
        <v>0</v>
      </c>
      <c r="BN306" s="9"/>
      <c r="BO306" s="9"/>
      <c r="BP306" s="9"/>
      <c r="BQ306" s="9"/>
      <c r="BR306" s="9"/>
      <c r="BS306" s="9"/>
      <c r="BT306" s="9"/>
      <c r="BU306" s="9"/>
      <c r="BV306" s="9"/>
      <c r="BW306" s="9"/>
    </row>
    <row r="307" spans="1:75" ht="26.25" hidden="1" outlineLevel="2" x14ac:dyDescent="0.25">
      <c r="A307" s="43" t="s">
        <v>346</v>
      </c>
      <c r="B307" s="110" t="s">
        <v>420</v>
      </c>
      <c r="C307" s="45">
        <v>2019</v>
      </c>
      <c r="D307" s="46" t="s">
        <v>77</v>
      </c>
      <c r="E307" s="47">
        <v>0</v>
      </c>
      <c r="F307" s="47">
        <v>0</v>
      </c>
      <c r="G307" s="47">
        <v>0</v>
      </c>
      <c r="H307" s="47">
        <v>0</v>
      </c>
      <c r="I307" s="47">
        <v>0</v>
      </c>
      <c r="J307" s="47">
        <v>0</v>
      </c>
      <c r="K307" s="47">
        <v>0</v>
      </c>
      <c r="L307" s="47">
        <v>0</v>
      </c>
      <c r="M307" s="47">
        <v>0</v>
      </c>
      <c r="N307" s="47">
        <v>2552090.6</v>
      </c>
      <c r="O307" s="47">
        <v>0</v>
      </c>
      <c r="P307" s="47">
        <v>0</v>
      </c>
      <c r="Q307" s="47">
        <v>0</v>
      </c>
      <c r="R307" s="47">
        <v>0</v>
      </c>
      <c r="S307" s="47">
        <v>0</v>
      </c>
      <c r="T307" s="47">
        <v>0</v>
      </c>
      <c r="U307" s="47">
        <v>0</v>
      </c>
      <c r="V307" s="47">
        <v>0</v>
      </c>
      <c r="W307" s="47">
        <v>0</v>
      </c>
      <c r="X307" s="47">
        <v>0</v>
      </c>
      <c r="Y307" s="48">
        <v>2552090.6</v>
      </c>
      <c r="Z307" s="58">
        <v>987871.69</v>
      </c>
      <c r="AA307" s="50">
        <v>987871.69</v>
      </c>
      <c r="AB307" s="50">
        <v>0</v>
      </c>
      <c r="AC307" s="50">
        <v>2166.75</v>
      </c>
      <c r="AD307" s="50">
        <v>16207.12</v>
      </c>
      <c r="AE307" s="50">
        <v>0</v>
      </c>
      <c r="AF307" s="50">
        <v>0</v>
      </c>
      <c r="AG307" s="49">
        <v>1006245.56</v>
      </c>
      <c r="AH307" s="51" t="s">
        <v>104</v>
      </c>
      <c r="AI307" s="51" t="s">
        <v>74</v>
      </c>
      <c r="AJ307" s="51" t="s">
        <v>133</v>
      </c>
      <c r="AK307" s="51" t="s">
        <v>134</v>
      </c>
      <c r="AL307" s="51" t="s">
        <v>74</v>
      </c>
      <c r="AM307" s="51" t="s">
        <v>74</v>
      </c>
      <c r="AN307" s="52">
        <v>0</v>
      </c>
      <c r="AO307" s="52">
        <v>0</v>
      </c>
      <c r="AP307" s="52">
        <v>0</v>
      </c>
      <c r="AQ307" s="52">
        <v>0</v>
      </c>
      <c r="AR307" s="52">
        <v>0</v>
      </c>
      <c r="AS307" s="52">
        <v>0</v>
      </c>
      <c r="AT307" s="53" t="s">
        <v>74</v>
      </c>
      <c r="AU307" s="52">
        <v>0</v>
      </c>
      <c r="AV307" s="52"/>
      <c r="AW307" s="52">
        <v>0</v>
      </c>
      <c r="AX307" s="52"/>
      <c r="AY307" s="52"/>
      <c r="AZ307" s="52">
        <v>0</v>
      </c>
      <c r="BA307" s="52">
        <v>0</v>
      </c>
      <c r="BB307" s="54" t="s">
        <v>74</v>
      </c>
      <c r="BC307" s="53" t="s">
        <v>74</v>
      </c>
      <c r="BD307" s="55" t="s">
        <v>74</v>
      </c>
      <c r="BE307" s="55" t="s">
        <v>74</v>
      </c>
      <c r="BF307" s="55" t="s">
        <v>74</v>
      </c>
      <c r="BG307" s="55" t="s">
        <v>74</v>
      </c>
      <c r="BH307" s="52">
        <v>0</v>
      </c>
      <c r="BI307" s="52">
        <v>1545845.04</v>
      </c>
      <c r="BJ307" s="52">
        <v>1545845.04</v>
      </c>
      <c r="BK307" s="56">
        <v>43525</v>
      </c>
      <c r="BL307" s="57">
        <v>1545845.04</v>
      </c>
      <c r="BM307" s="47">
        <v>0</v>
      </c>
      <c r="BN307" s="9"/>
      <c r="BO307" s="9"/>
      <c r="BP307" s="9"/>
      <c r="BQ307" s="9"/>
      <c r="BR307" s="9"/>
      <c r="BS307" s="9"/>
      <c r="BT307" s="9"/>
      <c r="BU307" s="9"/>
      <c r="BV307" s="9"/>
      <c r="BW307" s="9"/>
    </row>
    <row r="308" spans="1:75" ht="26.25" hidden="1" outlineLevel="2" x14ac:dyDescent="0.25">
      <c r="A308" s="43" t="s">
        <v>346</v>
      </c>
      <c r="B308" s="110" t="s">
        <v>420</v>
      </c>
      <c r="C308" s="45">
        <v>2019</v>
      </c>
      <c r="D308" s="46" t="s">
        <v>79</v>
      </c>
      <c r="E308" s="47">
        <v>0</v>
      </c>
      <c r="F308" s="47">
        <v>0</v>
      </c>
      <c r="G308" s="47">
        <v>0</v>
      </c>
      <c r="H308" s="47">
        <v>0</v>
      </c>
      <c r="I308" s="47">
        <v>0</v>
      </c>
      <c r="J308" s="47">
        <v>0</v>
      </c>
      <c r="K308" s="47">
        <v>0</v>
      </c>
      <c r="L308" s="47">
        <v>0</v>
      </c>
      <c r="M308" s="47">
        <v>0</v>
      </c>
      <c r="N308" s="47">
        <v>2552090.6</v>
      </c>
      <c r="O308" s="47">
        <v>0</v>
      </c>
      <c r="P308" s="47">
        <v>0</v>
      </c>
      <c r="Q308" s="47">
        <v>0</v>
      </c>
      <c r="R308" s="47">
        <v>0</v>
      </c>
      <c r="S308" s="47">
        <v>0</v>
      </c>
      <c r="T308" s="47">
        <v>0</v>
      </c>
      <c r="U308" s="47">
        <v>0</v>
      </c>
      <c r="V308" s="47">
        <v>0</v>
      </c>
      <c r="W308" s="47">
        <v>0</v>
      </c>
      <c r="X308" s="47">
        <v>0</v>
      </c>
      <c r="Y308" s="48">
        <v>2552090.6</v>
      </c>
      <c r="Z308" s="58">
        <v>984650.49</v>
      </c>
      <c r="AA308" s="50">
        <v>984650.49</v>
      </c>
      <c r="AB308" s="50">
        <v>0</v>
      </c>
      <c r="AC308" s="50">
        <v>2368.7800000000002</v>
      </c>
      <c r="AD308" s="50">
        <v>14666.94</v>
      </c>
      <c r="AE308" s="50">
        <v>0</v>
      </c>
      <c r="AF308" s="50">
        <v>0</v>
      </c>
      <c r="AG308" s="49">
        <v>1001686.21</v>
      </c>
      <c r="AH308" s="51" t="s">
        <v>104</v>
      </c>
      <c r="AI308" s="51" t="s">
        <v>74</v>
      </c>
      <c r="AJ308" s="51" t="s">
        <v>436</v>
      </c>
      <c r="AK308" s="51" t="s">
        <v>259</v>
      </c>
      <c r="AL308" s="51" t="s">
        <v>74</v>
      </c>
      <c r="AM308" s="51" t="s">
        <v>74</v>
      </c>
      <c r="AN308" s="52">
        <v>0</v>
      </c>
      <c r="AO308" s="52">
        <v>0</v>
      </c>
      <c r="AP308" s="52">
        <v>0</v>
      </c>
      <c r="AQ308" s="52">
        <v>0</v>
      </c>
      <c r="AR308" s="52">
        <v>0</v>
      </c>
      <c r="AS308" s="52">
        <v>0</v>
      </c>
      <c r="AT308" s="53" t="s">
        <v>74</v>
      </c>
      <c r="AU308" s="52">
        <v>0</v>
      </c>
      <c r="AV308" s="52"/>
      <c r="AW308" s="52">
        <v>0</v>
      </c>
      <c r="AX308" s="52"/>
      <c r="AY308" s="52"/>
      <c r="AZ308" s="52">
        <v>0</v>
      </c>
      <c r="BA308" s="52">
        <v>0</v>
      </c>
      <c r="BB308" s="54" t="s">
        <v>74</v>
      </c>
      <c r="BC308" s="53" t="s">
        <v>74</v>
      </c>
      <c r="BD308" s="55" t="s">
        <v>74</v>
      </c>
      <c r="BE308" s="55" t="s">
        <v>74</v>
      </c>
      <c r="BF308" s="55" t="s">
        <v>74</v>
      </c>
      <c r="BG308" s="55" t="s">
        <v>74</v>
      </c>
      <c r="BH308" s="52">
        <v>0</v>
      </c>
      <c r="BI308" s="52">
        <v>1550404.39</v>
      </c>
      <c r="BJ308" s="52">
        <v>1550404.39</v>
      </c>
      <c r="BK308" s="56">
        <v>43556</v>
      </c>
      <c r="BL308" s="57">
        <v>1550404.39</v>
      </c>
      <c r="BM308" s="47">
        <v>0</v>
      </c>
      <c r="BN308" s="9"/>
      <c r="BO308" s="9"/>
      <c r="BP308" s="9"/>
      <c r="BQ308" s="9"/>
      <c r="BR308" s="9"/>
      <c r="BS308" s="9"/>
      <c r="BT308" s="9"/>
      <c r="BU308" s="9"/>
      <c r="BV308" s="9"/>
      <c r="BW308" s="9"/>
    </row>
    <row r="309" spans="1:75" ht="26.25" hidden="1" outlineLevel="2" x14ac:dyDescent="0.25">
      <c r="A309" s="43" t="s">
        <v>346</v>
      </c>
      <c r="B309" s="110" t="s">
        <v>420</v>
      </c>
      <c r="C309" s="45">
        <v>2019</v>
      </c>
      <c r="D309" s="46" t="s">
        <v>81</v>
      </c>
      <c r="E309" s="47">
        <v>0</v>
      </c>
      <c r="F309" s="47">
        <v>0</v>
      </c>
      <c r="G309" s="47">
        <v>0</v>
      </c>
      <c r="H309" s="47">
        <v>0</v>
      </c>
      <c r="I309" s="47">
        <v>0</v>
      </c>
      <c r="J309" s="47">
        <v>0</v>
      </c>
      <c r="K309" s="47">
        <v>0</v>
      </c>
      <c r="L309" s="47">
        <v>0</v>
      </c>
      <c r="M309" s="47">
        <v>0</v>
      </c>
      <c r="N309" s="47">
        <v>2552090.6</v>
      </c>
      <c r="O309" s="47">
        <v>0</v>
      </c>
      <c r="P309" s="47">
        <v>0</v>
      </c>
      <c r="Q309" s="47">
        <v>0</v>
      </c>
      <c r="R309" s="47">
        <v>0</v>
      </c>
      <c r="S309" s="47">
        <v>0</v>
      </c>
      <c r="T309" s="47">
        <v>0</v>
      </c>
      <c r="U309" s="47">
        <v>0</v>
      </c>
      <c r="V309" s="47">
        <v>0</v>
      </c>
      <c r="W309" s="47">
        <v>0</v>
      </c>
      <c r="X309" s="47">
        <v>0</v>
      </c>
      <c r="Y309" s="48">
        <v>2552090.6</v>
      </c>
      <c r="Z309" s="58">
        <v>975322.02</v>
      </c>
      <c r="AA309" s="50">
        <v>975322.02</v>
      </c>
      <c r="AB309" s="50">
        <v>0</v>
      </c>
      <c r="AC309" s="50">
        <v>2063.2199999999998</v>
      </c>
      <c r="AD309" s="50">
        <v>15129.32</v>
      </c>
      <c r="AE309" s="50">
        <v>0</v>
      </c>
      <c r="AF309" s="50">
        <v>0</v>
      </c>
      <c r="AG309" s="49">
        <v>992514.56000000006</v>
      </c>
      <c r="AH309" s="51" t="s">
        <v>104</v>
      </c>
      <c r="AI309" s="51" t="s">
        <v>74</v>
      </c>
      <c r="AJ309" s="51" t="s">
        <v>437</v>
      </c>
      <c r="AK309" s="51" t="s">
        <v>136</v>
      </c>
      <c r="AL309" s="51" t="s">
        <v>74</v>
      </c>
      <c r="AM309" s="51" t="s">
        <v>74</v>
      </c>
      <c r="AN309" s="52">
        <v>0</v>
      </c>
      <c r="AO309" s="52">
        <v>0</v>
      </c>
      <c r="AP309" s="52">
        <v>0</v>
      </c>
      <c r="AQ309" s="52">
        <v>0</v>
      </c>
      <c r="AR309" s="52">
        <v>0</v>
      </c>
      <c r="AS309" s="52">
        <v>0</v>
      </c>
      <c r="AT309" s="53" t="s">
        <v>74</v>
      </c>
      <c r="AU309" s="52">
        <v>0</v>
      </c>
      <c r="AV309" s="52"/>
      <c r="AW309" s="52">
        <v>0</v>
      </c>
      <c r="AX309" s="52"/>
      <c r="AY309" s="52"/>
      <c r="AZ309" s="52">
        <v>0</v>
      </c>
      <c r="BA309" s="52">
        <v>0</v>
      </c>
      <c r="BB309" s="54" t="s">
        <v>74</v>
      </c>
      <c r="BC309" s="53" t="s">
        <v>74</v>
      </c>
      <c r="BD309" s="55" t="s">
        <v>74</v>
      </c>
      <c r="BE309" s="55" t="s">
        <v>74</v>
      </c>
      <c r="BF309" s="55" t="s">
        <v>74</v>
      </c>
      <c r="BG309" s="55" t="s">
        <v>74</v>
      </c>
      <c r="BH309" s="52">
        <v>0</v>
      </c>
      <c r="BI309" s="52">
        <v>1559576.04</v>
      </c>
      <c r="BJ309" s="52">
        <v>1559576.04</v>
      </c>
      <c r="BK309" s="56">
        <v>43586</v>
      </c>
      <c r="BL309" s="57">
        <v>1559576.04</v>
      </c>
      <c r="BM309" s="47">
        <v>0</v>
      </c>
      <c r="BN309" s="9"/>
      <c r="BO309" s="9"/>
      <c r="BP309" s="9"/>
      <c r="BQ309" s="9"/>
      <c r="BR309" s="9"/>
      <c r="BS309" s="9"/>
      <c r="BT309" s="9"/>
      <c r="BU309" s="9"/>
      <c r="BV309" s="9"/>
      <c r="BW309" s="9"/>
    </row>
    <row r="310" spans="1:75" ht="64.5" hidden="1" outlineLevel="2" x14ac:dyDescent="0.25">
      <c r="A310" s="43" t="s">
        <v>346</v>
      </c>
      <c r="B310" s="110" t="s">
        <v>420</v>
      </c>
      <c r="C310" s="45">
        <v>2019</v>
      </c>
      <c r="D310" s="46" t="s">
        <v>83</v>
      </c>
      <c r="E310" s="47">
        <v>0</v>
      </c>
      <c r="F310" s="47">
        <v>0</v>
      </c>
      <c r="G310" s="47">
        <v>0</v>
      </c>
      <c r="H310" s="47">
        <v>0</v>
      </c>
      <c r="I310" s="47">
        <v>0</v>
      </c>
      <c r="J310" s="47">
        <v>0</v>
      </c>
      <c r="K310" s="47">
        <v>0</v>
      </c>
      <c r="L310" s="47">
        <v>0</v>
      </c>
      <c r="M310" s="47">
        <v>0</v>
      </c>
      <c r="N310" s="47">
        <v>2381951.23</v>
      </c>
      <c r="O310" s="47">
        <v>170139.38</v>
      </c>
      <c r="P310" s="47">
        <v>0</v>
      </c>
      <c r="Q310" s="47">
        <v>0</v>
      </c>
      <c r="R310" s="47">
        <v>0</v>
      </c>
      <c r="S310" s="47">
        <v>0</v>
      </c>
      <c r="T310" s="47">
        <v>0</v>
      </c>
      <c r="U310" s="47">
        <v>0</v>
      </c>
      <c r="V310" s="47">
        <v>0</v>
      </c>
      <c r="W310" s="47">
        <v>0</v>
      </c>
      <c r="X310" s="47">
        <v>0</v>
      </c>
      <c r="Y310" s="48">
        <v>2552090.61</v>
      </c>
      <c r="Z310" s="58">
        <v>971341.52</v>
      </c>
      <c r="AA310" s="50">
        <v>971341.52</v>
      </c>
      <c r="AB310" s="50">
        <v>0</v>
      </c>
      <c r="AC310" s="50">
        <v>4080.85</v>
      </c>
      <c r="AD310" s="50">
        <v>29124.05</v>
      </c>
      <c r="AE310" s="50">
        <v>0</v>
      </c>
      <c r="AF310" s="50">
        <v>0</v>
      </c>
      <c r="AG310" s="49">
        <v>1004546.42</v>
      </c>
      <c r="AH310" s="51" t="s">
        <v>104</v>
      </c>
      <c r="AI310" s="51" t="s">
        <v>74</v>
      </c>
      <c r="AJ310" s="51" t="s">
        <v>438</v>
      </c>
      <c r="AK310" s="51" t="s">
        <v>439</v>
      </c>
      <c r="AL310" s="51" t="s">
        <v>74</v>
      </c>
      <c r="AM310" s="51" t="s">
        <v>74</v>
      </c>
      <c r="AN310" s="52">
        <v>0</v>
      </c>
      <c r="AO310" s="52">
        <v>0</v>
      </c>
      <c r="AP310" s="52">
        <v>0</v>
      </c>
      <c r="AQ310" s="52">
        <v>0</v>
      </c>
      <c r="AR310" s="52">
        <v>0</v>
      </c>
      <c r="AS310" s="52">
        <v>0</v>
      </c>
      <c r="AT310" s="53" t="s">
        <v>74</v>
      </c>
      <c r="AU310" s="52">
        <v>0</v>
      </c>
      <c r="AV310" s="52"/>
      <c r="AW310" s="52">
        <v>0</v>
      </c>
      <c r="AX310" s="52"/>
      <c r="AY310" s="52"/>
      <c r="AZ310" s="52">
        <v>0</v>
      </c>
      <c r="BA310" s="52">
        <v>0</v>
      </c>
      <c r="BB310" s="54" t="s">
        <v>74</v>
      </c>
      <c r="BC310" s="53" t="s">
        <v>74</v>
      </c>
      <c r="BD310" s="55" t="s">
        <v>74</v>
      </c>
      <c r="BE310" s="55" t="s">
        <v>74</v>
      </c>
      <c r="BF310" s="55" t="s">
        <v>74</v>
      </c>
      <c r="BG310" s="55" t="s">
        <v>74</v>
      </c>
      <c r="BH310" s="52">
        <v>0</v>
      </c>
      <c r="BI310" s="52">
        <v>1547544.19</v>
      </c>
      <c r="BJ310" s="52">
        <v>1547544.19</v>
      </c>
      <c r="BK310" s="56">
        <v>43617</v>
      </c>
      <c r="BL310" s="57">
        <v>1547544.19</v>
      </c>
      <c r="BM310" s="47">
        <v>0</v>
      </c>
      <c r="BN310" s="9"/>
      <c r="BO310" s="9"/>
      <c r="BP310" s="9"/>
      <c r="BQ310" s="9"/>
      <c r="BR310" s="9"/>
      <c r="BS310" s="9"/>
      <c r="BT310" s="9"/>
      <c r="BU310" s="9"/>
      <c r="BV310" s="9"/>
      <c r="BW310" s="9"/>
    </row>
    <row r="311" spans="1:75" ht="64.5" hidden="1" outlineLevel="2" x14ac:dyDescent="0.25">
      <c r="A311" s="43" t="s">
        <v>346</v>
      </c>
      <c r="B311" s="110" t="s">
        <v>420</v>
      </c>
      <c r="C311" s="45">
        <v>2019</v>
      </c>
      <c r="D311" s="46" t="s">
        <v>84</v>
      </c>
      <c r="E311" s="47">
        <v>0</v>
      </c>
      <c r="F311" s="47">
        <v>0</v>
      </c>
      <c r="G311" s="47">
        <v>0</v>
      </c>
      <c r="H311" s="47">
        <v>0</v>
      </c>
      <c r="I311" s="47">
        <v>0</v>
      </c>
      <c r="J311" s="47">
        <v>0</v>
      </c>
      <c r="K311" s="47">
        <v>0</v>
      </c>
      <c r="L311" s="47">
        <v>0</v>
      </c>
      <c r="M311" s="47">
        <v>0</v>
      </c>
      <c r="N311" s="47">
        <v>0</v>
      </c>
      <c r="O311" s="47">
        <v>2552090.6</v>
      </c>
      <c r="P311" s="47">
        <v>0</v>
      </c>
      <c r="Q311" s="47">
        <v>0</v>
      </c>
      <c r="R311" s="47">
        <v>0</v>
      </c>
      <c r="S311" s="47">
        <v>0</v>
      </c>
      <c r="T311" s="47">
        <v>0</v>
      </c>
      <c r="U311" s="47">
        <v>0</v>
      </c>
      <c r="V311" s="47">
        <v>0</v>
      </c>
      <c r="W311" s="47">
        <v>0</v>
      </c>
      <c r="X311" s="47">
        <v>0</v>
      </c>
      <c r="Y311" s="48">
        <v>2552090.6</v>
      </c>
      <c r="Z311" s="49">
        <v>978560.87</v>
      </c>
      <c r="AA311" s="50">
        <v>978560.87</v>
      </c>
      <c r="AB311" s="50">
        <v>0</v>
      </c>
      <c r="AC311" s="50">
        <v>2257.9499999999998</v>
      </c>
      <c r="AD311" s="50">
        <v>12337.7</v>
      </c>
      <c r="AE311" s="50">
        <v>0</v>
      </c>
      <c r="AF311" s="50">
        <v>0</v>
      </c>
      <c r="AG311" s="49">
        <v>993156.52</v>
      </c>
      <c r="AH311" s="51" t="s">
        <v>104</v>
      </c>
      <c r="AI311" s="51" t="s">
        <v>74</v>
      </c>
      <c r="AJ311" s="51" t="s">
        <v>440</v>
      </c>
      <c r="AK311" s="51" t="s">
        <v>441</v>
      </c>
      <c r="AL311" s="51" t="s">
        <v>74</v>
      </c>
      <c r="AM311" s="51" t="s">
        <v>74</v>
      </c>
      <c r="AN311" s="52">
        <v>0</v>
      </c>
      <c r="AO311" s="52">
        <v>0</v>
      </c>
      <c r="AP311" s="52">
        <v>0</v>
      </c>
      <c r="AQ311" s="52">
        <v>0</v>
      </c>
      <c r="AR311" s="52">
        <v>0</v>
      </c>
      <c r="AS311" s="52">
        <v>0</v>
      </c>
      <c r="AT311" s="53" t="s">
        <v>74</v>
      </c>
      <c r="AU311" s="52">
        <v>0</v>
      </c>
      <c r="AV311" s="52"/>
      <c r="AW311" s="52">
        <v>0</v>
      </c>
      <c r="AX311" s="52"/>
      <c r="AY311" s="52"/>
      <c r="AZ311" s="52">
        <v>0</v>
      </c>
      <c r="BA311" s="52">
        <v>0</v>
      </c>
      <c r="BB311" s="54" t="s">
        <v>74</v>
      </c>
      <c r="BC311" s="53" t="s">
        <v>74</v>
      </c>
      <c r="BD311" s="55" t="s">
        <v>74</v>
      </c>
      <c r="BE311" s="55" t="s">
        <v>74</v>
      </c>
      <c r="BF311" s="55" t="s">
        <v>74</v>
      </c>
      <c r="BG311" s="55" t="s">
        <v>74</v>
      </c>
      <c r="BH311" s="52">
        <v>0</v>
      </c>
      <c r="BI311" s="52">
        <v>1558934.08</v>
      </c>
      <c r="BJ311" s="52">
        <v>1558934.08</v>
      </c>
      <c r="BK311" s="56">
        <v>43647</v>
      </c>
      <c r="BL311" s="57">
        <v>1558934.08</v>
      </c>
      <c r="BM311" s="47">
        <v>0</v>
      </c>
      <c r="BN311" s="9"/>
      <c r="BO311" s="9"/>
      <c r="BP311" s="9"/>
      <c r="BQ311" s="9"/>
      <c r="BR311" s="9"/>
      <c r="BS311" s="9"/>
      <c r="BT311" s="9"/>
      <c r="BU311" s="9"/>
      <c r="BV311" s="9"/>
      <c r="BW311" s="9"/>
    </row>
    <row r="312" spans="1:75" ht="26.25" hidden="1" outlineLevel="2" x14ac:dyDescent="0.25">
      <c r="A312" s="43" t="s">
        <v>346</v>
      </c>
      <c r="B312" s="110" t="s">
        <v>420</v>
      </c>
      <c r="C312" s="45">
        <v>2019</v>
      </c>
      <c r="D312" s="46" t="s">
        <v>86</v>
      </c>
      <c r="E312" s="47">
        <v>0</v>
      </c>
      <c r="F312" s="47">
        <v>0</v>
      </c>
      <c r="G312" s="47">
        <v>0</v>
      </c>
      <c r="H312" s="47">
        <v>0</v>
      </c>
      <c r="I312" s="47">
        <v>0</v>
      </c>
      <c r="J312" s="47">
        <v>0</v>
      </c>
      <c r="K312" s="47">
        <v>0</v>
      </c>
      <c r="L312" s="47">
        <v>0</v>
      </c>
      <c r="M312" s="47">
        <v>0</v>
      </c>
      <c r="N312" s="47">
        <v>0</v>
      </c>
      <c r="O312" s="47">
        <v>2552090.6</v>
      </c>
      <c r="P312" s="47">
        <v>0</v>
      </c>
      <c r="Q312" s="47">
        <v>0</v>
      </c>
      <c r="R312" s="47">
        <v>0</v>
      </c>
      <c r="S312" s="47">
        <v>0</v>
      </c>
      <c r="T312" s="47">
        <v>0</v>
      </c>
      <c r="U312" s="47">
        <v>0</v>
      </c>
      <c r="V312" s="47">
        <v>0</v>
      </c>
      <c r="W312" s="47">
        <v>0</v>
      </c>
      <c r="X312" s="47">
        <v>0</v>
      </c>
      <c r="Y312" s="48">
        <v>2552090.6</v>
      </c>
      <c r="Z312" s="58">
        <v>928438.02</v>
      </c>
      <c r="AA312" s="50">
        <v>928438.02</v>
      </c>
      <c r="AB312" s="50">
        <v>0</v>
      </c>
      <c r="AC312" s="50">
        <v>0</v>
      </c>
      <c r="AD312" s="50">
        <v>0</v>
      </c>
      <c r="AE312" s="50">
        <v>0</v>
      </c>
      <c r="AF312" s="50">
        <v>0</v>
      </c>
      <c r="AG312" s="49">
        <v>928438.02</v>
      </c>
      <c r="AH312" s="51" t="s">
        <v>104</v>
      </c>
      <c r="AI312" s="51" t="s">
        <v>74</v>
      </c>
      <c r="AJ312" s="51" t="s">
        <v>74</v>
      </c>
      <c r="AK312" s="51" t="s">
        <v>74</v>
      </c>
      <c r="AL312" s="51" t="s">
        <v>74</v>
      </c>
      <c r="AM312" s="51" t="s">
        <v>74</v>
      </c>
      <c r="AN312" s="52">
        <v>0</v>
      </c>
      <c r="AO312" s="52">
        <v>0</v>
      </c>
      <c r="AP312" s="52">
        <v>0</v>
      </c>
      <c r="AQ312" s="52">
        <v>0</v>
      </c>
      <c r="AR312" s="52">
        <v>0</v>
      </c>
      <c r="AS312" s="52">
        <v>0</v>
      </c>
      <c r="AT312" s="53" t="s">
        <v>74</v>
      </c>
      <c r="AU312" s="52">
        <v>0</v>
      </c>
      <c r="AV312" s="52"/>
      <c r="AW312" s="52">
        <v>0</v>
      </c>
      <c r="AX312" s="52"/>
      <c r="AY312" s="52"/>
      <c r="AZ312" s="52">
        <v>0</v>
      </c>
      <c r="BA312" s="52">
        <v>0</v>
      </c>
      <c r="BB312" s="54" t="s">
        <v>74</v>
      </c>
      <c r="BC312" s="53" t="s">
        <v>74</v>
      </c>
      <c r="BD312" s="55" t="s">
        <v>74</v>
      </c>
      <c r="BE312" s="55" t="s">
        <v>74</v>
      </c>
      <c r="BF312" s="55" t="s">
        <v>74</v>
      </c>
      <c r="BG312" s="55" t="s">
        <v>74</v>
      </c>
      <c r="BH312" s="52">
        <v>0</v>
      </c>
      <c r="BI312" s="52">
        <v>1623652.58</v>
      </c>
      <c r="BJ312" s="52">
        <v>1623652.58</v>
      </c>
      <c r="BK312" s="56">
        <v>43678</v>
      </c>
      <c r="BL312" s="57">
        <v>1623652.58</v>
      </c>
      <c r="BM312" s="47">
        <v>0</v>
      </c>
      <c r="BN312" s="9"/>
      <c r="BO312" s="9"/>
      <c r="BP312" s="9"/>
      <c r="BQ312" s="9"/>
      <c r="BR312" s="9"/>
      <c r="BS312" s="9"/>
      <c r="BT312" s="9"/>
      <c r="BU312" s="9"/>
      <c r="BV312" s="9"/>
      <c r="BW312" s="9"/>
    </row>
    <row r="313" spans="1:75" ht="64.5" hidden="1" outlineLevel="2" x14ac:dyDescent="0.25">
      <c r="A313" s="43" t="s">
        <v>346</v>
      </c>
      <c r="B313" s="110" t="s">
        <v>420</v>
      </c>
      <c r="C313" s="45">
        <v>2019</v>
      </c>
      <c r="D313" s="46" t="s">
        <v>88</v>
      </c>
      <c r="E313" s="47">
        <v>0</v>
      </c>
      <c r="F313" s="47">
        <v>0</v>
      </c>
      <c r="G313" s="47">
        <v>0</v>
      </c>
      <c r="H313" s="47">
        <v>0</v>
      </c>
      <c r="I313" s="47">
        <v>0</v>
      </c>
      <c r="J313" s="47">
        <v>0</v>
      </c>
      <c r="K313" s="47">
        <v>0</v>
      </c>
      <c r="L313" s="47">
        <v>0</v>
      </c>
      <c r="M313" s="47">
        <v>0</v>
      </c>
      <c r="N313" s="47">
        <v>0</v>
      </c>
      <c r="O313" s="47">
        <v>2552090.6</v>
      </c>
      <c r="P313" s="47">
        <v>0</v>
      </c>
      <c r="Q313" s="47">
        <v>0</v>
      </c>
      <c r="R313" s="47">
        <v>0</v>
      </c>
      <c r="S313" s="47">
        <v>0</v>
      </c>
      <c r="T313" s="47">
        <v>0</v>
      </c>
      <c r="U313" s="47">
        <v>0</v>
      </c>
      <c r="V313" s="47">
        <v>0</v>
      </c>
      <c r="W313" s="47">
        <v>0</v>
      </c>
      <c r="X313" s="47">
        <v>0</v>
      </c>
      <c r="Y313" s="48">
        <v>2552090.6</v>
      </c>
      <c r="Z313" s="58">
        <v>919634.6</v>
      </c>
      <c r="AA313" s="50">
        <v>919634.6</v>
      </c>
      <c r="AB313" s="50">
        <v>0</v>
      </c>
      <c r="AC313" s="50">
        <v>3657.32</v>
      </c>
      <c r="AD313" s="50">
        <v>23507.94</v>
      </c>
      <c r="AE313" s="50">
        <v>0</v>
      </c>
      <c r="AF313" s="50">
        <v>0</v>
      </c>
      <c r="AG313" s="49">
        <v>946799.86</v>
      </c>
      <c r="AH313" s="51" t="s">
        <v>104</v>
      </c>
      <c r="AI313" s="51" t="s">
        <v>74</v>
      </c>
      <c r="AJ313" s="51" t="s">
        <v>442</v>
      </c>
      <c r="AK313" s="51" t="s">
        <v>443</v>
      </c>
      <c r="AL313" s="51" t="s">
        <v>74</v>
      </c>
      <c r="AM313" s="51" t="s">
        <v>74</v>
      </c>
      <c r="AN313" s="52">
        <v>0</v>
      </c>
      <c r="AO313" s="52">
        <v>0</v>
      </c>
      <c r="AP313" s="52">
        <v>0</v>
      </c>
      <c r="AQ313" s="52">
        <v>0</v>
      </c>
      <c r="AR313" s="52">
        <v>0</v>
      </c>
      <c r="AS313" s="52">
        <v>0</v>
      </c>
      <c r="AT313" s="53" t="s">
        <v>74</v>
      </c>
      <c r="AU313" s="52">
        <v>0</v>
      </c>
      <c r="AV313" s="52"/>
      <c r="AW313" s="52">
        <v>0</v>
      </c>
      <c r="AX313" s="52"/>
      <c r="AY313" s="52"/>
      <c r="AZ313" s="52">
        <v>0</v>
      </c>
      <c r="BA313" s="52">
        <v>0</v>
      </c>
      <c r="BB313" s="54" t="s">
        <v>74</v>
      </c>
      <c r="BC313" s="53" t="s">
        <v>74</v>
      </c>
      <c r="BD313" s="55" t="s">
        <v>74</v>
      </c>
      <c r="BE313" s="55" t="s">
        <v>74</v>
      </c>
      <c r="BF313" s="55" t="s">
        <v>74</v>
      </c>
      <c r="BG313" s="55" t="s">
        <v>74</v>
      </c>
      <c r="BH313" s="52">
        <v>0</v>
      </c>
      <c r="BI313" s="52">
        <v>1605290.74</v>
      </c>
      <c r="BJ313" s="52">
        <v>1605290.74</v>
      </c>
      <c r="BK313" s="56">
        <v>43709</v>
      </c>
      <c r="BL313" s="57">
        <v>1605290.74</v>
      </c>
      <c r="BM313" s="47">
        <v>0</v>
      </c>
      <c r="BN313" s="9"/>
      <c r="BO313" s="9"/>
      <c r="BP313" s="9"/>
      <c r="BQ313" s="9"/>
      <c r="BR313" s="9"/>
      <c r="BS313" s="9"/>
      <c r="BT313" s="9"/>
      <c r="BU313" s="9"/>
      <c r="BV313" s="9"/>
      <c r="BW313" s="9"/>
    </row>
    <row r="314" spans="1:75" ht="268.5" hidden="1" outlineLevel="2" x14ac:dyDescent="0.25">
      <c r="A314" s="43" t="s">
        <v>346</v>
      </c>
      <c r="B314" s="110" t="s">
        <v>420</v>
      </c>
      <c r="C314" s="45">
        <v>2019</v>
      </c>
      <c r="D314" s="46" t="s">
        <v>89</v>
      </c>
      <c r="E314" s="47">
        <v>0</v>
      </c>
      <c r="F314" s="47">
        <v>0</v>
      </c>
      <c r="G314" s="47">
        <v>0</v>
      </c>
      <c r="H314" s="47">
        <v>0</v>
      </c>
      <c r="I314" s="47">
        <v>0</v>
      </c>
      <c r="J314" s="47">
        <v>0</v>
      </c>
      <c r="K314" s="47">
        <v>0</v>
      </c>
      <c r="L314" s="47">
        <v>0</v>
      </c>
      <c r="M314" s="47">
        <v>0</v>
      </c>
      <c r="N314" s="47">
        <v>0</v>
      </c>
      <c r="O314" s="47">
        <v>2552090.6</v>
      </c>
      <c r="P314" s="47">
        <v>0</v>
      </c>
      <c r="Q314" s="47">
        <v>0</v>
      </c>
      <c r="R314" s="47">
        <v>0</v>
      </c>
      <c r="S314" s="47">
        <v>0</v>
      </c>
      <c r="T314" s="47">
        <v>0</v>
      </c>
      <c r="U314" s="47">
        <v>0</v>
      </c>
      <c r="V314" s="47">
        <v>0</v>
      </c>
      <c r="W314" s="47">
        <v>0</v>
      </c>
      <c r="X314" s="47">
        <v>0</v>
      </c>
      <c r="Y314" s="48">
        <v>2552090.6</v>
      </c>
      <c r="Z314" s="58">
        <v>953953.11</v>
      </c>
      <c r="AA314" s="50">
        <v>953953.11</v>
      </c>
      <c r="AB314" s="50">
        <v>1240.6199999999999</v>
      </c>
      <c r="AC314" s="50">
        <v>0</v>
      </c>
      <c r="AD314" s="50">
        <v>0</v>
      </c>
      <c r="AE314" s="50">
        <v>0</v>
      </c>
      <c r="AF314" s="50">
        <v>0</v>
      </c>
      <c r="AG314" s="49">
        <v>955193.73</v>
      </c>
      <c r="AH314" s="51" t="s">
        <v>104</v>
      </c>
      <c r="AI314" s="51" t="s">
        <v>444</v>
      </c>
      <c r="AJ314" s="51" t="s">
        <v>74</v>
      </c>
      <c r="AK314" s="51" t="s">
        <v>74</v>
      </c>
      <c r="AL314" s="51" t="s">
        <v>74</v>
      </c>
      <c r="AM314" s="51" t="s">
        <v>74</v>
      </c>
      <c r="AN314" s="52"/>
      <c r="AO314" s="52"/>
      <c r="AP314" s="52"/>
      <c r="AQ314" s="52"/>
      <c r="AR314" s="52"/>
      <c r="AS314" s="52">
        <v>0</v>
      </c>
      <c r="AT314" s="53" t="s">
        <v>74</v>
      </c>
      <c r="AU314" s="52">
        <v>359458.55</v>
      </c>
      <c r="AV314" s="52"/>
      <c r="AW314" s="52">
        <v>0</v>
      </c>
      <c r="AX314" s="52"/>
      <c r="AY314" s="52"/>
      <c r="AZ314" s="52">
        <v>0</v>
      </c>
      <c r="BA314" s="52">
        <v>359458.55</v>
      </c>
      <c r="BB314" s="55" t="s">
        <v>445</v>
      </c>
      <c r="BC314" s="51" t="s">
        <v>74</v>
      </c>
      <c r="BD314" s="54" t="s">
        <v>74</v>
      </c>
      <c r="BE314" s="54" t="s">
        <v>74</v>
      </c>
      <c r="BF314" s="54" t="s">
        <v>74</v>
      </c>
      <c r="BG314" s="54" t="s">
        <v>74</v>
      </c>
      <c r="BH314" s="52">
        <v>359458.55</v>
      </c>
      <c r="BI314" s="52">
        <v>1956355.42</v>
      </c>
      <c r="BJ314" s="52">
        <v>1596896.87</v>
      </c>
      <c r="BK314" s="56">
        <v>43739</v>
      </c>
      <c r="BL314" s="57">
        <v>1956355.42</v>
      </c>
      <c r="BM314" s="47">
        <v>0</v>
      </c>
      <c r="BN314" s="9"/>
      <c r="BO314" s="9"/>
      <c r="BP314" s="9"/>
      <c r="BQ314" s="9"/>
      <c r="BR314" s="9"/>
      <c r="BS314" s="9"/>
      <c r="BT314" s="9"/>
      <c r="BU314" s="9"/>
      <c r="BV314" s="9"/>
      <c r="BW314" s="9"/>
    </row>
    <row r="315" spans="1:75" ht="64.5" hidden="1" outlineLevel="2" x14ac:dyDescent="0.25">
      <c r="A315" s="43" t="s">
        <v>346</v>
      </c>
      <c r="B315" s="110" t="s">
        <v>420</v>
      </c>
      <c r="C315" s="45">
        <v>2019</v>
      </c>
      <c r="D315" s="46" t="s">
        <v>90</v>
      </c>
      <c r="E315" s="47">
        <v>0</v>
      </c>
      <c r="F315" s="47">
        <v>0</v>
      </c>
      <c r="G315" s="47">
        <v>0</v>
      </c>
      <c r="H315" s="47">
        <v>0</v>
      </c>
      <c r="I315" s="47">
        <v>0</v>
      </c>
      <c r="J315" s="47">
        <v>0</v>
      </c>
      <c r="K315" s="47">
        <v>0</v>
      </c>
      <c r="L315" s="47">
        <v>0</v>
      </c>
      <c r="M315" s="47">
        <v>0</v>
      </c>
      <c r="N315" s="47">
        <v>0</v>
      </c>
      <c r="O315" s="47">
        <v>2552090.6</v>
      </c>
      <c r="P315" s="47">
        <v>0</v>
      </c>
      <c r="Q315" s="47">
        <v>0</v>
      </c>
      <c r="R315" s="47">
        <v>0</v>
      </c>
      <c r="S315" s="47">
        <v>0</v>
      </c>
      <c r="T315" s="47">
        <v>0</v>
      </c>
      <c r="U315" s="47">
        <v>0</v>
      </c>
      <c r="V315" s="47">
        <v>0</v>
      </c>
      <c r="W315" s="47">
        <v>0</v>
      </c>
      <c r="X315" s="47">
        <v>0</v>
      </c>
      <c r="Y315" s="48">
        <v>2552090.6</v>
      </c>
      <c r="Z315" s="58">
        <v>886285.44</v>
      </c>
      <c r="AA315" s="50">
        <v>886285.44</v>
      </c>
      <c r="AB315" s="50">
        <v>0</v>
      </c>
      <c r="AC315" s="50">
        <v>1847.02</v>
      </c>
      <c r="AD315" s="50">
        <v>19496.73</v>
      </c>
      <c r="AE315" s="50">
        <v>0</v>
      </c>
      <c r="AF315" s="50">
        <v>0</v>
      </c>
      <c r="AG315" s="49">
        <v>907629.19</v>
      </c>
      <c r="AH315" s="51" t="s">
        <v>104</v>
      </c>
      <c r="AI315" s="51" t="s">
        <v>74</v>
      </c>
      <c r="AJ315" s="51" t="s">
        <v>149</v>
      </c>
      <c r="AK315" s="51" t="s">
        <v>212</v>
      </c>
      <c r="AL315" s="51" t="s">
        <v>74</v>
      </c>
      <c r="AM315" s="51" t="s">
        <v>74</v>
      </c>
      <c r="AN315" s="52"/>
      <c r="AO315" s="52"/>
      <c r="AP315" s="52"/>
      <c r="AQ315" s="52"/>
      <c r="AR315" s="52"/>
      <c r="AS315" s="52">
        <v>0</v>
      </c>
      <c r="AT315" s="53" t="s">
        <v>74</v>
      </c>
      <c r="AU315" s="59">
        <v>26195.47</v>
      </c>
      <c r="AV315" s="52"/>
      <c r="AW315" s="52">
        <v>0</v>
      </c>
      <c r="AX315" s="52"/>
      <c r="AY315" s="52"/>
      <c r="AZ315" s="52">
        <v>0</v>
      </c>
      <c r="BA315" s="52">
        <v>26195.47</v>
      </c>
      <c r="BB315" s="55" t="s">
        <v>446</v>
      </c>
      <c r="BC315" s="51" t="s">
        <v>74</v>
      </c>
      <c r="BD315" s="54" t="s">
        <v>74</v>
      </c>
      <c r="BE315" s="54" t="s">
        <v>74</v>
      </c>
      <c r="BF315" s="54" t="s">
        <v>74</v>
      </c>
      <c r="BG315" s="54" t="s">
        <v>74</v>
      </c>
      <c r="BH315" s="52">
        <v>26195.47</v>
      </c>
      <c r="BI315" s="52">
        <v>1670656.88</v>
      </c>
      <c r="BJ315" s="52">
        <v>1644461.41</v>
      </c>
      <c r="BK315" s="56">
        <v>43770</v>
      </c>
      <c r="BL315" s="57">
        <v>1670656.88</v>
      </c>
      <c r="BM315" s="47">
        <v>0</v>
      </c>
      <c r="BN315" s="9"/>
      <c r="BO315" s="9"/>
      <c r="BP315" s="9"/>
      <c r="BQ315" s="9"/>
      <c r="BR315" s="9"/>
      <c r="BS315" s="9"/>
      <c r="BT315" s="9"/>
      <c r="BU315" s="9"/>
      <c r="BV315" s="9"/>
      <c r="BW315" s="9"/>
    </row>
    <row r="316" spans="1:75" ht="192" hidden="1" outlineLevel="2" x14ac:dyDescent="0.25">
      <c r="A316" s="43" t="s">
        <v>346</v>
      </c>
      <c r="B316" s="110" t="s">
        <v>420</v>
      </c>
      <c r="C316" s="45">
        <v>2019</v>
      </c>
      <c r="D316" s="46" t="s">
        <v>93</v>
      </c>
      <c r="E316" s="47">
        <v>0</v>
      </c>
      <c r="F316" s="47">
        <v>0</v>
      </c>
      <c r="G316" s="47">
        <v>0</v>
      </c>
      <c r="H316" s="47">
        <v>0</v>
      </c>
      <c r="I316" s="47">
        <v>0</v>
      </c>
      <c r="J316" s="47">
        <v>0</v>
      </c>
      <c r="K316" s="47">
        <v>0</v>
      </c>
      <c r="L316" s="47">
        <v>0</v>
      </c>
      <c r="M316" s="47">
        <v>0</v>
      </c>
      <c r="N316" s="47">
        <v>0</v>
      </c>
      <c r="O316" s="47">
        <v>2381951.2200000002</v>
      </c>
      <c r="P316" s="134">
        <v>425348.433333333</v>
      </c>
      <c r="Q316" s="47">
        <v>0</v>
      </c>
      <c r="R316" s="47">
        <v>0</v>
      </c>
      <c r="S316" s="47">
        <v>0</v>
      </c>
      <c r="T316" s="47">
        <v>0</v>
      </c>
      <c r="U316" s="47">
        <v>0</v>
      </c>
      <c r="V316" s="47">
        <v>0</v>
      </c>
      <c r="W316" s="47">
        <v>0</v>
      </c>
      <c r="X316" s="47">
        <v>0</v>
      </c>
      <c r="Y316" s="48">
        <v>2807299.6533333301</v>
      </c>
      <c r="Z316" s="58">
        <v>835671.11</v>
      </c>
      <c r="AA316" s="50">
        <v>835671.11</v>
      </c>
      <c r="AB316" s="50">
        <v>0</v>
      </c>
      <c r="AC316" s="111">
        <v>3556.72</v>
      </c>
      <c r="AD316" s="111">
        <v>50426.53</v>
      </c>
      <c r="AE316" s="50">
        <v>0</v>
      </c>
      <c r="AF316" s="50">
        <v>0</v>
      </c>
      <c r="AG316" s="49">
        <v>889654.36</v>
      </c>
      <c r="AH316" s="51" t="s">
        <v>104</v>
      </c>
      <c r="AI316" s="51" t="s">
        <v>74</v>
      </c>
      <c r="AJ316" s="51" t="s">
        <v>447</v>
      </c>
      <c r="AK316" s="51" t="s">
        <v>448</v>
      </c>
      <c r="AL316" s="51" t="s">
        <v>74</v>
      </c>
      <c r="AM316" s="51" t="s">
        <v>74</v>
      </c>
      <c r="AN316" s="52"/>
      <c r="AO316" s="52"/>
      <c r="AP316" s="52"/>
      <c r="AQ316" s="52"/>
      <c r="AR316" s="52"/>
      <c r="AS316" s="52">
        <v>0</v>
      </c>
      <c r="AT316" s="53" t="s">
        <v>74</v>
      </c>
      <c r="AU316" s="59">
        <v>76780.800000000003</v>
      </c>
      <c r="AV316" s="52"/>
      <c r="AW316" s="52">
        <v>0</v>
      </c>
      <c r="AX316" s="52"/>
      <c r="AY316" s="52"/>
      <c r="AZ316" s="52">
        <v>0</v>
      </c>
      <c r="BA316" s="52">
        <v>76780.800000000003</v>
      </c>
      <c r="BB316" s="55" t="s">
        <v>449</v>
      </c>
      <c r="BC316" s="51" t="s">
        <v>74</v>
      </c>
      <c r="BD316" s="54" t="s">
        <v>74</v>
      </c>
      <c r="BE316" s="54" t="s">
        <v>74</v>
      </c>
      <c r="BF316" s="54" t="s">
        <v>74</v>
      </c>
      <c r="BG316" s="54" t="s">
        <v>74</v>
      </c>
      <c r="BH316" s="52">
        <v>76780.800000000003</v>
      </c>
      <c r="BI316" s="52">
        <v>1994426.09333333</v>
      </c>
      <c r="BJ316" s="52">
        <v>1917645.29333333</v>
      </c>
      <c r="BK316" s="56">
        <v>43800</v>
      </c>
      <c r="BL316" s="57">
        <v>1994426.09</v>
      </c>
      <c r="BM316" s="47">
        <v>0</v>
      </c>
      <c r="BN316" s="9"/>
      <c r="BO316" s="9"/>
      <c r="BP316" s="9"/>
      <c r="BQ316" s="9"/>
      <c r="BR316" s="9"/>
      <c r="BS316" s="9"/>
      <c r="BT316" s="9"/>
      <c r="BU316" s="9"/>
      <c r="BV316" s="9"/>
      <c r="BW316" s="9"/>
    </row>
    <row r="317" spans="1:75" ht="26.25" hidden="1" outlineLevel="2" x14ac:dyDescent="0.25">
      <c r="A317" s="43" t="s">
        <v>346</v>
      </c>
      <c r="B317" s="110" t="s">
        <v>420</v>
      </c>
      <c r="C317" s="45">
        <v>2020</v>
      </c>
      <c r="D317" s="46" t="s">
        <v>73</v>
      </c>
      <c r="E317" s="47">
        <v>0</v>
      </c>
      <c r="F317" s="47">
        <v>0</v>
      </c>
      <c r="G317" s="47">
        <v>0</v>
      </c>
      <c r="H317" s="47">
        <v>0</v>
      </c>
      <c r="I317" s="47">
        <v>0</v>
      </c>
      <c r="J317" s="47">
        <v>0</v>
      </c>
      <c r="K317" s="47">
        <v>0</v>
      </c>
      <c r="L317" s="47">
        <v>0</v>
      </c>
      <c r="M317" s="47">
        <v>0</v>
      </c>
      <c r="N317" s="47">
        <v>0</v>
      </c>
      <c r="O317" s="47">
        <v>0</v>
      </c>
      <c r="P317" s="134">
        <v>2552090.6</v>
      </c>
      <c r="Q317" s="47">
        <v>0</v>
      </c>
      <c r="R317" s="47">
        <v>0</v>
      </c>
      <c r="S317" s="47">
        <v>0</v>
      </c>
      <c r="T317" s="47">
        <v>0</v>
      </c>
      <c r="U317" s="47">
        <v>0</v>
      </c>
      <c r="V317" s="47">
        <v>0</v>
      </c>
      <c r="W317" s="47">
        <v>0</v>
      </c>
      <c r="X317" s="47">
        <v>0</v>
      </c>
      <c r="Y317" s="48">
        <v>2552090.6</v>
      </c>
      <c r="Z317" s="58">
        <v>861729.05</v>
      </c>
      <c r="AA317" s="50">
        <v>861729.05</v>
      </c>
      <c r="AB317" s="50">
        <v>0</v>
      </c>
      <c r="AC317" s="50">
        <v>1728.16</v>
      </c>
      <c r="AD317" s="50">
        <v>0</v>
      </c>
      <c r="AE317" s="50">
        <v>0</v>
      </c>
      <c r="AF317" s="50">
        <v>0</v>
      </c>
      <c r="AG317" s="49">
        <v>863457.21</v>
      </c>
      <c r="AH317" s="51" t="s">
        <v>104</v>
      </c>
      <c r="AI317" s="51" t="s">
        <v>74</v>
      </c>
      <c r="AJ317" s="51" t="s">
        <v>156</v>
      </c>
      <c r="AK317" s="51" t="s">
        <v>74</v>
      </c>
      <c r="AL317" s="51" t="s">
        <v>74</v>
      </c>
      <c r="AM317" s="51" t="s">
        <v>74</v>
      </c>
      <c r="AN317" s="52">
        <v>0</v>
      </c>
      <c r="AO317" s="52">
        <v>0</v>
      </c>
      <c r="AP317" s="52">
        <v>0</v>
      </c>
      <c r="AQ317" s="52">
        <v>0</v>
      </c>
      <c r="AR317" s="52">
        <v>0</v>
      </c>
      <c r="AS317" s="52">
        <v>0</v>
      </c>
      <c r="AT317" s="53" t="s">
        <v>74</v>
      </c>
      <c r="AU317" s="52">
        <v>0</v>
      </c>
      <c r="AV317" s="52"/>
      <c r="AW317" s="52">
        <v>0</v>
      </c>
      <c r="AX317" s="52"/>
      <c r="AY317" s="52"/>
      <c r="AZ317" s="52">
        <v>0</v>
      </c>
      <c r="BA317" s="52">
        <v>0</v>
      </c>
      <c r="BB317" s="54" t="s">
        <v>74</v>
      </c>
      <c r="BC317" s="53" t="s">
        <v>74</v>
      </c>
      <c r="BD317" s="55" t="s">
        <v>74</v>
      </c>
      <c r="BE317" s="55" t="s">
        <v>74</v>
      </c>
      <c r="BF317" s="55" t="s">
        <v>74</v>
      </c>
      <c r="BG317" s="55" t="s">
        <v>74</v>
      </c>
      <c r="BH317" s="52">
        <v>0</v>
      </c>
      <c r="BI317" s="52">
        <v>1688633.39</v>
      </c>
      <c r="BJ317" s="52">
        <v>1688633.39</v>
      </c>
      <c r="BK317" s="56">
        <v>43831</v>
      </c>
      <c r="BL317" s="57">
        <v>1688633.39</v>
      </c>
      <c r="BM317" s="47">
        <v>0</v>
      </c>
      <c r="BN317" s="9"/>
      <c r="BO317" s="9"/>
      <c r="BP317" s="9"/>
      <c r="BQ317" s="9"/>
      <c r="BR317" s="9"/>
      <c r="BS317" s="9"/>
      <c r="BT317" s="9"/>
      <c r="BU317" s="9"/>
      <c r="BV317" s="9"/>
      <c r="BW317" s="9"/>
    </row>
    <row r="318" spans="1:75" ht="153.75" hidden="1" outlineLevel="2" x14ac:dyDescent="0.25">
      <c r="A318" s="43" t="s">
        <v>346</v>
      </c>
      <c r="B318" s="110" t="s">
        <v>420</v>
      </c>
      <c r="C318" s="45">
        <v>2020</v>
      </c>
      <c r="D318" s="46" t="s">
        <v>75</v>
      </c>
      <c r="E318" s="47">
        <v>0</v>
      </c>
      <c r="F318" s="47">
        <v>0</v>
      </c>
      <c r="G318" s="47">
        <v>0</v>
      </c>
      <c r="H318" s="47">
        <v>0</v>
      </c>
      <c r="I318" s="47">
        <v>0</v>
      </c>
      <c r="J318" s="47">
        <v>0</v>
      </c>
      <c r="K318" s="47">
        <v>0</v>
      </c>
      <c r="L318" s="47">
        <v>0</v>
      </c>
      <c r="M318" s="47">
        <v>0</v>
      </c>
      <c r="N318" s="47">
        <v>0</v>
      </c>
      <c r="O318" s="47">
        <v>0</v>
      </c>
      <c r="P318" s="134">
        <v>2552090.6</v>
      </c>
      <c r="Q318" s="47">
        <v>0</v>
      </c>
      <c r="R318" s="47">
        <v>0</v>
      </c>
      <c r="S318" s="47">
        <v>0</v>
      </c>
      <c r="T318" s="47">
        <v>0</v>
      </c>
      <c r="U318" s="47">
        <v>0</v>
      </c>
      <c r="V318" s="47">
        <v>0</v>
      </c>
      <c r="W318" s="47">
        <v>0</v>
      </c>
      <c r="X318" s="47">
        <v>0</v>
      </c>
      <c r="Y318" s="48">
        <v>2552090.6</v>
      </c>
      <c r="Z318" s="58">
        <v>854930.34</v>
      </c>
      <c r="AA318" s="50">
        <v>854930.34</v>
      </c>
      <c r="AB318" s="50">
        <v>0</v>
      </c>
      <c r="AC318" s="50">
        <v>0</v>
      </c>
      <c r="AD318" s="62">
        <v>14462.05</v>
      </c>
      <c r="AE318" s="50">
        <v>0</v>
      </c>
      <c r="AF318" s="50">
        <v>0</v>
      </c>
      <c r="AG318" s="49">
        <v>869392.39</v>
      </c>
      <c r="AH318" s="51" t="s">
        <v>104</v>
      </c>
      <c r="AI318" s="51" t="s">
        <v>74</v>
      </c>
      <c r="AJ318" s="51" t="s">
        <v>74</v>
      </c>
      <c r="AK318" s="51" t="s">
        <v>219</v>
      </c>
      <c r="AL318" s="51" t="s">
        <v>74</v>
      </c>
      <c r="AM318" s="51" t="s">
        <v>74</v>
      </c>
      <c r="AN318" s="52"/>
      <c r="AO318" s="52"/>
      <c r="AP318" s="52"/>
      <c r="AQ318" s="52"/>
      <c r="AR318" s="52"/>
      <c r="AS318" s="52">
        <v>0</v>
      </c>
      <c r="AT318" s="53" t="s">
        <v>74</v>
      </c>
      <c r="AU318" s="52">
        <v>72984.820000000007</v>
      </c>
      <c r="AV318" s="52"/>
      <c r="AW318" s="52">
        <v>0</v>
      </c>
      <c r="AX318" s="52"/>
      <c r="AY318" s="52"/>
      <c r="AZ318" s="52">
        <v>0</v>
      </c>
      <c r="BA318" s="52">
        <v>72984.820000000007</v>
      </c>
      <c r="BB318" s="55" t="s">
        <v>450</v>
      </c>
      <c r="BC318" s="51" t="s">
        <v>74</v>
      </c>
      <c r="BD318" s="54" t="s">
        <v>74</v>
      </c>
      <c r="BE318" s="54" t="s">
        <v>74</v>
      </c>
      <c r="BF318" s="54" t="s">
        <v>74</v>
      </c>
      <c r="BG318" s="54" t="s">
        <v>74</v>
      </c>
      <c r="BH318" s="52">
        <v>72984.820000000007</v>
      </c>
      <c r="BI318" s="52">
        <v>1755683.03</v>
      </c>
      <c r="BJ318" s="52">
        <v>1555968.58</v>
      </c>
      <c r="BK318" s="56">
        <v>43862</v>
      </c>
      <c r="BL318" s="57">
        <v>1755683.03</v>
      </c>
      <c r="BM318" s="47">
        <v>0</v>
      </c>
      <c r="BN318" s="9"/>
      <c r="BO318" s="9"/>
      <c r="BP318" s="9"/>
      <c r="BQ318" s="9"/>
      <c r="BR318" s="9"/>
      <c r="BS318" s="9"/>
      <c r="BT318" s="9"/>
      <c r="BU318" s="9"/>
      <c r="BV318" s="9"/>
      <c r="BW318" s="9"/>
    </row>
    <row r="319" spans="1:75" ht="409.6" hidden="1" outlineLevel="2" x14ac:dyDescent="0.25">
      <c r="A319" s="43" t="s">
        <v>346</v>
      </c>
      <c r="B319" s="110" t="s">
        <v>420</v>
      </c>
      <c r="C319" s="45">
        <v>2020</v>
      </c>
      <c r="D319" s="46" t="s">
        <v>77</v>
      </c>
      <c r="E319" s="47">
        <v>0</v>
      </c>
      <c r="F319" s="47">
        <v>0</v>
      </c>
      <c r="G319" s="47">
        <v>0</v>
      </c>
      <c r="H319" s="47">
        <v>0</v>
      </c>
      <c r="I319" s="47">
        <v>0</v>
      </c>
      <c r="J319" s="47">
        <v>0</v>
      </c>
      <c r="K319" s="47">
        <v>0</v>
      </c>
      <c r="L319" s="47">
        <v>0</v>
      </c>
      <c r="M319" s="47">
        <v>0</v>
      </c>
      <c r="N319" s="47">
        <v>0</v>
      </c>
      <c r="O319" s="47">
        <v>0</v>
      </c>
      <c r="P319" s="134">
        <v>2552090.6</v>
      </c>
      <c r="Q319" s="47">
        <v>0</v>
      </c>
      <c r="R319" s="47">
        <v>0</v>
      </c>
      <c r="S319" s="47">
        <v>0</v>
      </c>
      <c r="T319" s="47">
        <v>0</v>
      </c>
      <c r="U319" s="47">
        <v>0</v>
      </c>
      <c r="V319" s="47">
        <v>0</v>
      </c>
      <c r="W319" s="47">
        <v>0</v>
      </c>
      <c r="X319" s="47">
        <v>0</v>
      </c>
      <c r="Y319" s="48">
        <v>2552090.6</v>
      </c>
      <c r="Z319" s="58">
        <v>860345.67</v>
      </c>
      <c r="AA319" s="50">
        <v>860345.67</v>
      </c>
      <c r="AB319" s="50">
        <v>0</v>
      </c>
      <c r="AC319" s="50">
        <v>0</v>
      </c>
      <c r="AD319" s="62">
        <v>13240.621300000001</v>
      </c>
      <c r="AE319" s="50">
        <v>0</v>
      </c>
      <c r="AF319" s="50">
        <v>0</v>
      </c>
      <c r="AG319" s="49">
        <v>873586.29130000004</v>
      </c>
      <c r="AH319" s="51" t="s">
        <v>104</v>
      </c>
      <c r="AI319" s="51" t="s">
        <v>74</v>
      </c>
      <c r="AJ319" s="51" t="s">
        <v>74</v>
      </c>
      <c r="AK319" s="51" t="s">
        <v>313</v>
      </c>
      <c r="AL319" s="51" t="s">
        <v>74</v>
      </c>
      <c r="AM319" s="51" t="s">
        <v>74</v>
      </c>
      <c r="AN319" s="52"/>
      <c r="AO319" s="52"/>
      <c r="AP319" s="52"/>
      <c r="AQ319" s="52"/>
      <c r="AR319" s="52"/>
      <c r="AS319" s="52">
        <v>0</v>
      </c>
      <c r="AT319" s="53" t="s">
        <v>74</v>
      </c>
      <c r="AU319" s="52">
        <v>292754.34999999998</v>
      </c>
      <c r="AV319" s="52"/>
      <c r="AW319" s="52">
        <v>0</v>
      </c>
      <c r="AX319" s="52"/>
      <c r="AY319" s="52"/>
      <c r="AZ319" s="52">
        <v>0</v>
      </c>
      <c r="BA319" s="52">
        <v>292754.34999999998</v>
      </c>
      <c r="BB319" s="55" t="s">
        <v>451</v>
      </c>
      <c r="BC319" s="51" t="s">
        <v>74</v>
      </c>
      <c r="BD319" s="54" t="s">
        <v>74</v>
      </c>
      <c r="BE319" s="54" t="s">
        <v>74</v>
      </c>
      <c r="BF319" s="54" t="s">
        <v>74</v>
      </c>
      <c r="BG319" s="54" t="s">
        <v>74</v>
      </c>
      <c r="BH319" s="52">
        <v>292754.34999999998</v>
      </c>
      <c r="BI319" s="52">
        <v>1971258.6587</v>
      </c>
      <c r="BJ319" s="52">
        <v>1678504.3086999999</v>
      </c>
      <c r="BK319" s="56">
        <v>43891</v>
      </c>
      <c r="BL319" s="57">
        <v>1971258.66</v>
      </c>
      <c r="BM319" s="47">
        <v>0</v>
      </c>
      <c r="BN319" s="9"/>
      <c r="BO319" s="9"/>
      <c r="BP319" s="9"/>
      <c r="BQ319" s="9"/>
      <c r="BR319" s="9"/>
      <c r="BS319" s="9"/>
      <c r="BT319" s="9"/>
      <c r="BU319" s="9"/>
      <c r="BV319" s="9"/>
      <c r="BW319" s="9"/>
    </row>
    <row r="320" spans="1:75" ht="204.75" hidden="1" outlineLevel="2" x14ac:dyDescent="0.25">
      <c r="A320" s="43" t="s">
        <v>346</v>
      </c>
      <c r="B320" s="110" t="s">
        <v>420</v>
      </c>
      <c r="C320" s="45">
        <v>2020</v>
      </c>
      <c r="D320" s="46" t="s">
        <v>79</v>
      </c>
      <c r="E320" s="47">
        <v>0</v>
      </c>
      <c r="F320" s="47">
        <v>0</v>
      </c>
      <c r="G320" s="47">
        <v>0</v>
      </c>
      <c r="H320" s="47">
        <v>0</v>
      </c>
      <c r="I320" s="47">
        <v>0</v>
      </c>
      <c r="J320" s="47">
        <v>0</v>
      </c>
      <c r="K320" s="47">
        <v>0</v>
      </c>
      <c r="L320" s="47">
        <v>0</v>
      </c>
      <c r="M320" s="47">
        <v>0</v>
      </c>
      <c r="N320" s="47">
        <v>0</v>
      </c>
      <c r="O320" s="47">
        <v>0</v>
      </c>
      <c r="P320" s="134">
        <v>2552090.6</v>
      </c>
      <c r="Q320" s="47">
        <v>0</v>
      </c>
      <c r="R320" s="47">
        <v>0</v>
      </c>
      <c r="S320" s="47">
        <v>0</v>
      </c>
      <c r="T320" s="47">
        <v>0</v>
      </c>
      <c r="U320" s="47">
        <v>0</v>
      </c>
      <c r="V320" s="47">
        <v>0</v>
      </c>
      <c r="W320" s="47">
        <v>0</v>
      </c>
      <c r="X320" s="47">
        <v>0</v>
      </c>
      <c r="Y320" s="48">
        <v>2552090.6</v>
      </c>
      <c r="Z320" s="58">
        <v>861426.12</v>
      </c>
      <c r="AA320" s="50">
        <v>861426.12</v>
      </c>
      <c r="AB320" s="50">
        <v>0</v>
      </c>
      <c r="AC320" s="50">
        <v>0</v>
      </c>
      <c r="AD320" s="62">
        <v>11009.4</v>
      </c>
      <c r="AE320" s="50">
        <v>0</v>
      </c>
      <c r="AF320" s="50">
        <v>0</v>
      </c>
      <c r="AG320" s="49">
        <v>872435.52</v>
      </c>
      <c r="AH320" s="51" t="s">
        <v>104</v>
      </c>
      <c r="AI320" s="51" t="s">
        <v>74</v>
      </c>
      <c r="AJ320" s="51" t="s">
        <v>74</v>
      </c>
      <c r="AK320" s="51" t="s">
        <v>315</v>
      </c>
      <c r="AL320" s="51" t="s">
        <v>74</v>
      </c>
      <c r="AM320" s="51" t="s">
        <v>74</v>
      </c>
      <c r="AN320" s="52"/>
      <c r="AO320" s="52"/>
      <c r="AP320" s="52"/>
      <c r="AQ320" s="52"/>
      <c r="AR320" s="52"/>
      <c r="AS320" s="52">
        <v>0</v>
      </c>
      <c r="AT320" s="53" t="s">
        <v>74</v>
      </c>
      <c r="AU320" s="52">
        <v>7946.47</v>
      </c>
      <c r="AV320" s="52"/>
      <c r="AW320" s="52">
        <v>0</v>
      </c>
      <c r="AX320" s="52"/>
      <c r="AY320" s="52"/>
      <c r="AZ320" s="52">
        <v>0</v>
      </c>
      <c r="BA320" s="52">
        <v>7946.47</v>
      </c>
      <c r="BB320" s="55" t="s">
        <v>452</v>
      </c>
      <c r="BC320" s="51" t="s">
        <v>74</v>
      </c>
      <c r="BD320" s="54" t="s">
        <v>74</v>
      </c>
      <c r="BE320" s="54" t="s">
        <v>74</v>
      </c>
      <c r="BF320" s="54" t="s">
        <v>74</v>
      </c>
      <c r="BG320" s="54" t="s">
        <v>74</v>
      </c>
      <c r="BH320" s="52">
        <v>7946.47</v>
      </c>
      <c r="BI320" s="52">
        <v>1687601.55</v>
      </c>
      <c r="BJ320" s="52">
        <v>1679655.08</v>
      </c>
      <c r="BK320" s="56">
        <v>43922</v>
      </c>
      <c r="BL320" s="57">
        <v>1687601.55</v>
      </c>
      <c r="BM320" s="47">
        <v>0</v>
      </c>
      <c r="BN320" s="9"/>
      <c r="BO320" s="9"/>
      <c r="BP320" s="9"/>
      <c r="BQ320" s="9"/>
      <c r="BR320" s="9"/>
      <c r="BS320" s="9"/>
      <c r="BT320" s="9"/>
      <c r="BU320" s="9"/>
      <c r="BV320" s="9"/>
      <c r="BW320" s="9"/>
    </row>
    <row r="321" spans="1:75" ht="26.25" hidden="1" outlineLevel="2" x14ac:dyDescent="0.25">
      <c r="A321" s="43" t="s">
        <v>346</v>
      </c>
      <c r="B321" s="110" t="s">
        <v>420</v>
      </c>
      <c r="C321" s="45">
        <v>2020</v>
      </c>
      <c r="D321" s="46" t="s">
        <v>81</v>
      </c>
      <c r="E321" s="47">
        <v>0</v>
      </c>
      <c r="F321" s="47">
        <v>0</v>
      </c>
      <c r="G321" s="47">
        <v>0</v>
      </c>
      <c r="H321" s="47">
        <v>0</v>
      </c>
      <c r="I321" s="47">
        <v>0</v>
      </c>
      <c r="J321" s="47">
        <v>0</v>
      </c>
      <c r="K321" s="47">
        <v>0</v>
      </c>
      <c r="L321" s="47">
        <v>0</v>
      </c>
      <c r="M321" s="47">
        <v>0</v>
      </c>
      <c r="N321" s="47">
        <v>0</v>
      </c>
      <c r="O321" s="47">
        <v>0</v>
      </c>
      <c r="P321" s="134">
        <v>2552090.6</v>
      </c>
      <c r="Q321" s="47">
        <v>0</v>
      </c>
      <c r="R321" s="47">
        <v>0</v>
      </c>
      <c r="S321" s="47">
        <v>0</v>
      </c>
      <c r="T321" s="47">
        <v>0</v>
      </c>
      <c r="U321" s="47">
        <v>0</v>
      </c>
      <c r="V321" s="47">
        <v>0</v>
      </c>
      <c r="W321" s="47">
        <v>0</v>
      </c>
      <c r="X321" s="47">
        <v>0</v>
      </c>
      <c r="Y321" s="48">
        <v>2552090.6</v>
      </c>
      <c r="Z321" s="60">
        <v>869153.98</v>
      </c>
      <c r="AA321" s="50">
        <v>869153.98</v>
      </c>
      <c r="AB321" s="50">
        <v>0</v>
      </c>
      <c r="AC321" s="50">
        <v>0</v>
      </c>
      <c r="AD321" s="50">
        <v>12755.2</v>
      </c>
      <c r="AE321" s="50">
        <v>0</v>
      </c>
      <c r="AF321" s="50">
        <v>0</v>
      </c>
      <c r="AG321" s="49">
        <v>881909.18</v>
      </c>
      <c r="AH321" s="51" t="s">
        <v>104</v>
      </c>
      <c r="AI321" s="51" t="s">
        <v>74</v>
      </c>
      <c r="AJ321" s="51" t="s">
        <v>74</v>
      </c>
      <c r="AK321" s="51" t="s">
        <v>162</v>
      </c>
      <c r="AL321" s="51" t="s">
        <v>74</v>
      </c>
      <c r="AM321" s="51" t="s">
        <v>74</v>
      </c>
      <c r="AN321" s="52">
        <v>0</v>
      </c>
      <c r="AO321" s="52">
        <v>0</v>
      </c>
      <c r="AP321" s="52">
        <v>0</v>
      </c>
      <c r="AQ321" s="52">
        <v>0</v>
      </c>
      <c r="AR321" s="52">
        <v>0</v>
      </c>
      <c r="AS321" s="52">
        <v>0</v>
      </c>
      <c r="AT321" s="53" t="s">
        <v>74</v>
      </c>
      <c r="AU321" s="52">
        <v>0</v>
      </c>
      <c r="AV321" s="52"/>
      <c r="AW321" s="52">
        <v>0</v>
      </c>
      <c r="AX321" s="52"/>
      <c r="AY321" s="52"/>
      <c r="AZ321" s="52">
        <v>0</v>
      </c>
      <c r="BA321" s="52">
        <v>0</v>
      </c>
      <c r="BB321" s="54" t="s">
        <v>74</v>
      </c>
      <c r="BC321" s="53" t="s">
        <v>74</v>
      </c>
      <c r="BD321" s="55" t="s">
        <v>74</v>
      </c>
      <c r="BE321" s="55" t="s">
        <v>74</v>
      </c>
      <c r="BF321" s="55" t="s">
        <v>74</v>
      </c>
      <c r="BG321" s="55" t="s">
        <v>74</v>
      </c>
      <c r="BH321" s="52">
        <v>0</v>
      </c>
      <c r="BI321" s="52">
        <v>1670181.42</v>
      </c>
      <c r="BJ321" s="52">
        <v>1670181.42</v>
      </c>
      <c r="BK321" s="56">
        <v>43952</v>
      </c>
      <c r="BL321" s="57">
        <v>1670181.42</v>
      </c>
      <c r="BM321" s="47">
        <v>0</v>
      </c>
      <c r="BN321" s="9"/>
      <c r="BO321" s="9"/>
      <c r="BP321" s="9"/>
      <c r="BQ321" s="9"/>
      <c r="BR321" s="9"/>
      <c r="BS321" s="9"/>
      <c r="BT321" s="9"/>
      <c r="BU321" s="9"/>
      <c r="BV321" s="9"/>
      <c r="BW321" s="9"/>
    </row>
    <row r="322" spans="1:75" ht="230.25" hidden="1" outlineLevel="2" x14ac:dyDescent="0.25">
      <c r="A322" s="43" t="s">
        <v>346</v>
      </c>
      <c r="B322" s="110" t="s">
        <v>420</v>
      </c>
      <c r="C322" s="45">
        <v>2020</v>
      </c>
      <c r="D322" s="46" t="s">
        <v>83</v>
      </c>
      <c r="E322" s="47">
        <v>0</v>
      </c>
      <c r="F322" s="47">
        <v>0</v>
      </c>
      <c r="G322" s="47">
        <v>0</v>
      </c>
      <c r="H322" s="47">
        <v>0</v>
      </c>
      <c r="I322" s="47">
        <v>0</v>
      </c>
      <c r="J322" s="47">
        <v>0</v>
      </c>
      <c r="K322" s="47">
        <v>0</v>
      </c>
      <c r="L322" s="47">
        <v>0</v>
      </c>
      <c r="M322" s="47">
        <v>0</v>
      </c>
      <c r="N322" s="47">
        <v>0</v>
      </c>
      <c r="O322" s="47">
        <v>0</v>
      </c>
      <c r="P322" s="134">
        <v>2126742.1666666698</v>
      </c>
      <c r="Q322" s="134">
        <v>425348.433333333</v>
      </c>
      <c r="R322" s="47">
        <v>0</v>
      </c>
      <c r="S322" s="47">
        <v>0</v>
      </c>
      <c r="T322" s="47">
        <v>0</v>
      </c>
      <c r="U322" s="47">
        <v>0</v>
      </c>
      <c r="V322" s="47">
        <v>0</v>
      </c>
      <c r="W322" s="47">
        <v>0</v>
      </c>
      <c r="X322" s="47">
        <v>0</v>
      </c>
      <c r="Y322" s="48">
        <v>2552090.6</v>
      </c>
      <c r="Z322" s="58">
        <v>846930.46</v>
      </c>
      <c r="AA322" s="50">
        <v>846930.46</v>
      </c>
      <c r="AB322" s="50">
        <v>0</v>
      </c>
      <c r="AC322" s="50">
        <v>0</v>
      </c>
      <c r="AD322" s="62">
        <v>10496.81</v>
      </c>
      <c r="AE322" s="50">
        <v>0</v>
      </c>
      <c r="AF322" s="50">
        <v>0</v>
      </c>
      <c r="AG322" s="49">
        <v>857427.27</v>
      </c>
      <c r="AH322" s="51" t="s">
        <v>104</v>
      </c>
      <c r="AI322" s="51" t="s">
        <v>74</v>
      </c>
      <c r="AJ322" s="51" t="s">
        <v>74</v>
      </c>
      <c r="AK322" s="51" t="s">
        <v>163</v>
      </c>
      <c r="AL322" s="51" t="s">
        <v>74</v>
      </c>
      <c r="AM322" s="51" t="s">
        <v>74</v>
      </c>
      <c r="AN322" s="52"/>
      <c r="AO322" s="52"/>
      <c r="AP322" s="52"/>
      <c r="AQ322" s="52"/>
      <c r="AR322" s="52"/>
      <c r="AS322" s="52">
        <v>0</v>
      </c>
      <c r="AT322" s="53" t="s">
        <v>74</v>
      </c>
      <c r="AU322" s="59">
        <v>30036.43</v>
      </c>
      <c r="AV322" s="52"/>
      <c r="AW322" s="52">
        <v>0</v>
      </c>
      <c r="AX322" s="158"/>
      <c r="AY322" s="158"/>
      <c r="AZ322" s="52">
        <v>0</v>
      </c>
      <c r="BA322" s="52">
        <v>30036.43</v>
      </c>
      <c r="BB322" s="53" t="s">
        <v>453</v>
      </c>
      <c r="BC322" s="53" t="s">
        <v>74</v>
      </c>
      <c r="BD322" s="55" t="s">
        <v>74</v>
      </c>
      <c r="BE322" s="55" t="s">
        <v>74</v>
      </c>
      <c r="BF322" s="55" t="s">
        <v>74</v>
      </c>
      <c r="BG322" s="55" t="s">
        <v>74</v>
      </c>
      <c r="BH322" s="52">
        <v>30036.43</v>
      </c>
      <c r="BI322" s="52">
        <v>1724699.76</v>
      </c>
      <c r="BJ322" s="52">
        <v>1694663.33</v>
      </c>
      <c r="BK322" s="56">
        <v>43983</v>
      </c>
      <c r="BL322" s="57">
        <v>1724699.76</v>
      </c>
      <c r="BM322" s="47">
        <v>0</v>
      </c>
      <c r="BN322" s="9"/>
      <c r="BO322" s="9"/>
      <c r="BP322" s="9"/>
      <c r="BQ322" s="9"/>
      <c r="BR322" s="9"/>
      <c r="BS322" s="9"/>
      <c r="BT322" s="9"/>
      <c r="BU322" s="9"/>
      <c r="BV322" s="9"/>
      <c r="BW322" s="9"/>
    </row>
    <row r="323" spans="1:75" ht="166.5" hidden="1" outlineLevel="2" x14ac:dyDescent="0.25">
      <c r="A323" s="43" t="s">
        <v>346</v>
      </c>
      <c r="B323" s="110" t="s">
        <v>420</v>
      </c>
      <c r="C323" s="45">
        <v>2020</v>
      </c>
      <c r="D323" s="46" t="s">
        <v>84</v>
      </c>
      <c r="E323" s="47">
        <v>0</v>
      </c>
      <c r="F323" s="47">
        <v>0</v>
      </c>
      <c r="G323" s="47">
        <v>0</v>
      </c>
      <c r="H323" s="47">
        <v>0</v>
      </c>
      <c r="I323" s="47">
        <v>0</v>
      </c>
      <c r="J323" s="47">
        <v>0</v>
      </c>
      <c r="K323" s="47">
        <v>0</v>
      </c>
      <c r="L323" s="47">
        <v>0</v>
      </c>
      <c r="M323" s="47">
        <v>0</v>
      </c>
      <c r="N323" s="47">
        <v>0</v>
      </c>
      <c r="O323" s="47">
        <v>0</v>
      </c>
      <c r="P323" s="47">
        <v>0</v>
      </c>
      <c r="Q323" s="113">
        <v>2552090.6</v>
      </c>
      <c r="R323" s="47">
        <v>0</v>
      </c>
      <c r="S323" s="47">
        <v>0</v>
      </c>
      <c r="T323" s="47">
        <v>0</v>
      </c>
      <c r="U323" s="47">
        <v>0</v>
      </c>
      <c r="V323" s="47">
        <v>0</v>
      </c>
      <c r="W323" s="47">
        <v>0</v>
      </c>
      <c r="X323" s="47">
        <v>0</v>
      </c>
      <c r="Y323" s="48">
        <v>2552090.6</v>
      </c>
      <c r="Z323" s="58">
        <v>824800.15</v>
      </c>
      <c r="AA323" s="50">
        <v>824800.15</v>
      </c>
      <c r="AB323" s="50">
        <v>0</v>
      </c>
      <c r="AC323" s="62">
        <v>1691.02</v>
      </c>
      <c r="AD323" s="62">
        <v>8752.5300000000007</v>
      </c>
      <c r="AE323" s="50">
        <v>0</v>
      </c>
      <c r="AF323" s="50">
        <v>0</v>
      </c>
      <c r="AG323" s="49">
        <v>835243.7</v>
      </c>
      <c r="AH323" s="51" t="s">
        <v>104</v>
      </c>
      <c r="AI323" s="51" t="s">
        <v>74</v>
      </c>
      <c r="AJ323" s="51" t="s">
        <v>164</v>
      </c>
      <c r="AK323" s="51" t="s">
        <v>165</v>
      </c>
      <c r="AL323" s="51" t="s">
        <v>74</v>
      </c>
      <c r="AM323" s="51" t="s">
        <v>74</v>
      </c>
      <c r="AN323" s="52"/>
      <c r="AO323" s="52"/>
      <c r="AP323" s="52"/>
      <c r="AQ323" s="52"/>
      <c r="AR323" s="52"/>
      <c r="AS323" s="52">
        <v>0</v>
      </c>
      <c r="AT323" s="53" t="s">
        <v>74</v>
      </c>
      <c r="AU323" s="59">
        <v>2781.35</v>
      </c>
      <c r="AV323" s="52"/>
      <c r="AW323" s="59">
        <v>177000</v>
      </c>
      <c r="AX323" s="158"/>
      <c r="AY323" s="158"/>
      <c r="AZ323" s="52">
        <v>0</v>
      </c>
      <c r="BA323" s="52">
        <v>179781.35</v>
      </c>
      <c r="BB323" s="53" t="s">
        <v>454</v>
      </c>
      <c r="BC323" s="53" t="s">
        <v>74</v>
      </c>
      <c r="BD323" s="55" t="s">
        <v>455</v>
      </c>
      <c r="BE323" s="55" t="s">
        <v>74</v>
      </c>
      <c r="BF323" s="55" t="s">
        <v>74</v>
      </c>
      <c r="BG323" s="55" t="s">
        <v>74</v>
      </c>
      <c r="BH323" s="52">
        <v>179781.35</v>
      </c>
      <c r="BI323" s="52">
        <v>1896628.25</v>
      </c>
      <c r="BJ323" s="52">
        <v>1716846.9</v>
      </c>
      <c r="BK323" s="56">
        <v>44013</v>
      </c>
      <c r="BL323" s="57">
        <v>1896628.25</v>
      </c>
      <c r="BM323" s="47">
        <v>0</v>
      </c>
      <c r="BN323" s="9"/>
      <c r="BO323" s="9"/>
      <c r="BP323" s="9"/>
      <c r="BQ323" s="9"/>
      <c r="BR323" s="9"/>
      <c r="BS323" s="9"/>
      <c r="BT323" s="9"/>
      <c r="BU323" s="9"/>
      <c r="BV323" s="9"/>
      <c r="BW323" s="9"/>
    </row>
    <row r="324" spans="1:75" ht="64.5" hidden="1" outlineLevel="2" x14ac:dyDescent="0.25">
      <c r="A324" s="43" t="s">
        <v>346</v>
      </c>
      <c r="B324" s="110" t="s">
        <v>420</v>
      </c>
      <c r="C324" s="45">
        <v>2020</v>
      </c>
      <c r="D324" s="46" t="s">
        <v>86</v>
      </c>
      <c r="E324" s="47">
        <v>0</v>
      </c>
      <c r="F324" s="47">
        <v>0</v>
      </c>
      <c r="G324" s="47">
        <v>0</v>
      </c>
      <c r="H324" s="47">
        <v>0</v>
      </c>
      <c r="I324" s="47">
        <v>0</v>
      </c>
      <c r="J324" s="47">
        <v>0</v>
      </c>
      <c r="K324" s="47">
        <v>0</v>
      </c>
      <c r="L324" s="47">
        <v>0</v>
      </c>
      <c r="M324" s="47">
        <v>0</v>
      </c>
      <c r="N324" s="47">
        <v>0</v>
      </c>
      <c r="O324" s="47">
        <v>0</v>
      </c>
      <c r="P324" s="47">
        <v>0</v>
      </c>
      <c r="Q324" s="113">
        <v>2552090.6</v>
      </c>
      <c r="R324" s="47">
        <v>0</v>
      </c>
      <c r="S324" s="47">
        <v>0</v>
      </c>
      <c r="T324" s="47">
        <v>0</v>
      </c>
      <c r="U324" s="47">
        <v>0</v>
      </c>
      <c r="V324" s="47">
        <v>0</v>
      </c>
      <c r="W324" s="47">
        <v>0</v>
      </c>
      <c r="X324" s="47">
        <v>0</v>
      </c>
      <c r="Y324" s="48">
        <v>2552090.6</v>
      </c>
      <c r="Z324" s="65">
        <v>794897.42</v>
      </c>
      <c r="AA324" s="61">
        <v>794897.42</v>
      </c>
      <c r="AB324" s="50">
        <v>0</v>
      </c>
      <c r="AC324" s="62">
        <v>1800.27</v>
      </c>
      <c r="AD324" s="62">
        <v>8630.85</v>
      </c>
      <c r="AE324" s="50">
        <v>0</v>
      </c>
      <c r="AF324" s="50">
        <v>0</v>
      </c>
      <c r="AG324" s="49">
        <v>805328.54</v>
      </c>
      <c r="AH324" s="51" t="s">
        <v>104</v>
      </c>
      <c r="AI324" s="51" t="s">
        <v>74</v>
      </c>
      <c r="AJ324" s="51" t="s">
        <v>167</v>
      </c>
      <c r="AK324" s="51" t="s">
        <v>168</v>
      </c>
      <c r="AL324" s="51" t="s">
        <v>74</v>
      </c>
      <c r="AM324" s="51" t="s">
        <v>74</v>
      </c>
      <c r="AN324" s="52"/>
      <c r="AO324" s="52">
        <v>0</v>
      </c>
      <c r="AP324" s="52"/>
      <c r="AQ324" s="52"/>
      <c r="AR324" s="52"/>
      <c r="AS324" s="52">
        <v>0</v>
      </c>
      <c r="AT324" s="53" t="s">
        <v>74</v>
      </c>
      <c r="AU324" s="59">
        <v>14144.22</v>
      </c>
      <c r="AV324" s="52"/>
      <c r="AW324" s="52">
        <v>0</v>
      </c>
      <c r="AX324" s="158"/>
      <c r="AY324" s="158"/>
      <c r="AZ324" s="52">
        <v>0</v>
      </c>
      <c r="BA324" s="52">
        <v>14144.22</v>
      </c>
      <c r="BB324" s="53" t="s">
        <v>456</v>
      </c>
      <c r="BC324" s="53" t="s">
        <v>74</v>
      </c>
      <c r="BD324" s="55" t="s">
        <v>74</v>
      </c>
      <c r="BE324" s="55" t="s">
        <v>74</v>
      </c>
      <c r="BF324" s="55" t="s">
        <v>74</v>
      </c>
      <c r="BG324" s="55" t="s">
        <v>74</v>
      </c>
      <c r="BH324" s="52">
        <v>14144.22</v>
      </c>
      <c r="BI324" s="52">
        <v>1760906.28</v>
      </c>
      <c r="BJ324" s="52">
        <v>1746762.06</v>
      </c>
      <c r="BK324" s="56">
        <v>44044</v>
      </c>
      <c r="BL324" s="63">
        <v>1760906.28</v>
      </c>
      <c r="BM324" s="47">
        <v>0</v>
      </c>
      <c r="BN324" s="9"/>
      <c r="BO324" s="9"/>
      <c r="BP324" s="9"/>
      <c r="BQ324" s="9"/>
      <c r="BR324" s="9"/>
      <c r="BS324" s="9"/>
      <c r="BT324" s="9"/>
      <c r="BU324" s="9"/>
      <c r="BV324" s="9"/>
      <c r="BW324" s="9"/>
    </row>
    <row r="325" spans="1:75" ht="77.25" hidden="1" outlineLevel="2" x14ac:dyDescent="0.25">
      <c r="A325" s="43" t="s">
        <v>346</v>
      </c>
      <c r="B325" s="110" t="s">
        <v>420</v>
      </c>
      <c r="C325" s="45">
        <v>2020</v>
      </c>
      <c r="D325" s="46" t="s">
        <v>88</v>
      </c>
      <c r="E325" s="47">
        <v>0</v>
      </c>
      <c r="F325" s="47">
        <v>0</v>
      </c>
      <c r="G325" s="47">
        <v>0</v>
      </c>
      <c r="H325" s="47">
        <v>0</v>
      </c>
      <c r="I325" s="47">
        <v>0</v>
      </c>
      <c r="J325" s="47">
        <v>0</v>
      </c>
      <c r="K325" s="47">
        <v>0</v>
      </c>
      <c r="L325" s="47">
        <v>0</v>
      </c>
      <c r="M325" s="47">
        <v>0</v>
      </c>
      <c r="N325" s="47">
        <v>0</v>
      </c>
      <c r="O325" s="47">
        <v>0</v>
      </c>
      <c r="P325" s="47">
        <v>0</v>
      </c>
      <c r="Q325" s="113">
        <v>2552090.6</v>
      </c>
      <c r="R325" s="47">
        <v>0</v>
      </c>
      <c r="S325" s="47">
        <v>0</v>
      </c>
      <c r="T325" s="47">
        <v>0</v>
      </c>
      <c r="U325" s="47">
        <v>0</v>
      </c>
      <c r="V325" s="47">
        <v>0</v>
      </c>
      <c r="W325" s="47">
        <v>0</v>
      </c>
      <c r="X325" s="47">
        <v>0</v>
      </c>
      <c r="Y325" s="48">
        <v>2552090.6</v>
      </c>
      <c r="Z325" s="66">
        <v>860524.66</v>
      </c>
      <c r="AA325" s="62">
        <v>860524.66</v>
      </c>
      <c r="AB325" s="50">
        <v>0</v>
      </c>
      <c r="AC325" s="62">
        <v>1697.16</v>
      </c>
      <c r="AD325" s="62">
        <v>9353.06</v>
      </c>
      <c r="AE325" s="50">
        <v>153125.44</v>
      </c>
      <c r="AF325" s="50">
        <v>0</v>
      </c>
      <c r="AG325" s="49">
        <v>1024700.32</v>
      </c>
      <c r="AH325" s="51" t="s">
        <v>104</v>
      </c>
      <c r="AI325" s="51" t="s">
        <v>74</v>
      </c>
      <c r="AJ325" s="51" t="s">
        <v>169</v>
      </c>
      <c r="AK325" s="51" t="s">
        <v>170</v>
      </c>
      <c r="AL325" s="51" t="s">
        <v>457</v>
      </c>
      <c r="AM325" s="51" t="s">
        <v>74</v>
      </c>
      <c r="AN325" s="52">
        <v>0</v>
      </c>
      <c r="AO325" s="52">
        <v>0</v>
      </c>
      <c r="AP325" s="52">
        <v>0</v>
      </c>
      <c r="AQ325" s="52">
        <v>0</v>
      </c>
      <c r="AR325" s="52">
        <v>0</v>
      </c>
      <c r="AS325" s="52">
        <v>0</v>
      </c>
      <c r="AT325" s="53" t="s">
        <v>74</v>
      </c>
      <c r="AU325" s="52">
        <v>0</v>
      </c>
      <c r="AV325" s="52"/>
      <c r="AW325" s="52">
        <v>0</v>
      </c>
      <c r="AX325" s="158"/>
      <c r="AY325" s="158"/>
      <c r="AZ325" s="52">
        <v>0</v>
      </c>
      <c r="BA325" s="52">
        <v>0</v>
      </c>
      <c r="BB325" s="54" t="s">
        <v>74</v>
      </c>
      <c r="BC325" s="53" t="s">
        <v>74</v>
      </c>
      <c r="BD325" s="55" t="s">
        <v>74</v>
      </c>
      <c r="BE325" s="55" t="s">
        <v>74</v>
      </c>
      <c r="BF325" s="55" t="s">
        <v>74</v>
      </c>
      <c r="BG325" s="55" t="s">
        <v>74</v>
      </c>
      <c r="BH325" s="52">
        <v>0</v>
      </c>
      <c r="BI325" s="52">
        <v>1527390.28</v>
      </c>
      <c r="BJ325" s="52">
        <v>1527390.28</v>
      </c>
      <c r="BK325" s="56">
        <v>44075</v>
      </c>
      <c r="BL325" s="63">
        <v>1527390.28</v>
      </c>
      <c r="BM325" s="47">
        <v>0</v>
      </c>
      <c r="BN325" s="9"/>
      <c r="BO325" s="9"/>
      <c r="BP325" s="9"/>
      <c r="BQ325" s="9"/>
      <c r="BR325" s="9"/>
      <c r="BS325" s="9"/>
      <c r="BT325" s="9"/>
      <c r="BU325" s="9"/>
      <c r="BV325" s="9"/>
      <c r="BW325" s="9"/>
    </row>
    <row r="326" spans="1:75" ht="51.75" hidden="1" outlineLevel="2" x14ac:dyDescent="0.25">
      <c r="A326" s="43" t="s">
        <v>346</v>
      </c>
      <c r="B326" s="110" t="s">
        <v>420</v>
      </c>
      <c r="C326" s="45">
        <v>2020</v>
      </c>
      <c r="D326" s="46" t="s">
        <v>89</v>
      </c>
      <c r="E326" s="47">
        <v>0</v>
      </c>
      <c r="F326" s="47">
        <v>0</v>
      </c>
      <c r="G326" s="47">
        <v>0</v>
      </c>
      <c r="H326" s="47">
        <v>0</v>
      </c>
      <c r="I326" s="47">
        <v>0</v>
      </c>
      <c r="J326" s="47">
        <v>0</v>
      </c>
      <c r="K326" s="47">
        <v>0</v>
      </c>
      <c r="L326" s="47">
        <v>0</v>
      </c>
      <c r="M326" s="47">
        <v>0</v>
      </c>
      <c r="N326" s="47">
        <v>0</v>
      </c>
      <c r="O326" s="47">
        <v>0</v>
      </c>
      <c r="P326" s="47">
        <v>0</v>
      </c>
      <c r="Q326" s="113">
        <v>2552090.6</v>
      </c>
      <c r="R326" s="47">
        <v>0</v>
      </c>
      <c r="S326" s="47">
        <v>0</v>
      </c>
      <c r="T326" s="47">
        <v>0</v>
      </c>
      <c r="U326" s="47">
        <v>0</v>
      </c>
      <c r="V326" s="47">
        <v>0</v>
      </c>
      <c r="W326" s="47">
        <v>0</v>
      </c>
      <c r="X326" s="47">
        <v>0</v>
      </c>
      <c r="Y326" s="48">
        <v>2552090.6</v>
      </c>
      <c r="Z326" s="66">
        <v>873763.08</v>
      </c>
      <c r="AA326" s="62">
        <v>873763.08</v>
      </c>
      <c r="AB326" s="50">
        <v>0</v>
      </c>
      <c r="AC326" s="62">
        <v>10131.9</v>
      </c>
      <c r="AD326" s="62">
        <v>11065.62</v>
      </c>
      <c r="AE326" s="50">
        <v>0</v>
      </c>
      <c r="AF326" s="50">
        <v>0</v>
      </c>
      <c r="AG326" s="49">
        <v>894960.6</v>
      </c>
      <c r="AH326" s="51" t="s">
        <v>104</v>
      </c>
      <c r="AI326" s="51" t="s">
        <v>74</v>
      </c>
      <c r="AJ326" s="51" t="s">
        <v>171</v>
      </c>
      <c r="AK326" s="51" t="s">
        <v>172</v>
      </c>
      <c r="AL326" s="51" t="s">
        <v>74</v>
      </c>
      <c r="AM326" s="51" t="s">
        <v>74</v>
      </c>
      <c r="AN326" s="52">
        <v>0</v>
      </c>
      <c r="AO326" s="52">
        <v>0</v>
      </c>
      <c r="AP326" s="52">
        <v>0</v>
      </c>
      <c r="AQ326" s="52">
        <v>0</v>
      </c>
      <c r="AR326" s="52">
        <v>0</v>
      </c>
      <c r="AS326" s="52">
        <v>0</v>
      </c>
      <c r="AT326" s="53" t="s">
        <v>74</v>
      </c>
      <c r="AU326" s="52">
        <v>0</v>
      </c>
      <c r="AV326" s="52"/>
      <c r="AW326" s="52">
        <v>0</v>
      </c>
      <c r="AX326" s="158"/>
      <c r="AY326" s="158"/>
      <c r="AZ326" s="52">
        <v>0</v>
      </c>
      <c r="BA326" s="52">
        <v>0</v>
      </c>
      <c r="BB326" s="54" t="s">
        <v>74</v>
      </c>
      <c r="BC326" s="53" t="s">
        <v>74</v>
      </c>
      <c r="BD326" s="55" t="s">
        <v>74</v>
      </c>
      <c r="BE326" s="55" t="s">
        <v>74</v>
      </c>
      <c r="BF326" s="55" t="s">
        <v>74</v>
      </c>
      <c r="BG326" s="55" t="s">
        <v>74</v>
      </c>
      <c r="BH326" s="52">
        <v>0</v>
      </c>
      <c r="BI326" s="52">
        <v>1657130</v>
      </c>
      <c r="BJ326" s="52">
        <v>1657130</v>
      </c>
      <c r="BK326" s="56">
        <v>44105</v>
      </c>
      <c r="BL326" s="63">
        <v>1657130</v>
      </c>
      <c r="BM326" s="47">
        <v>0</v>
      </c>
      <c r="BN326" s="9"/>
      <c r="BO326" s="9"/>
      <c r="BP326" s="9"/>
      <c r="BQ326" s="9"/>
      <c r="BR326" s="9"/>
      <c r="BS326" s="9"/>
      <c r="BT326" s="9"/>
      <c r="BU326" s="9"/>
      <c r="BV326" s="9"/>
      <c r="BW326" s="9"/>
    </row>
    <row r="327" spans="1:75" hidden="1" outlineLevel="2" x14ac:dyDescent="0.25">
      <c r="A327" s="43" t="s">
        <v>346</v>
      </c>
      <c r="B327" s="110" t="s">
        <v>420</v>
      </c>
      <c r="C327" s="45">
        <v>2020</v>
      </c>
      <c r="D327" s="46" t="s">
        <v>90</v>
      </c>
      <c r="E327" s="47">
        <v>0</v>
      </c>
      <c r="F327" s="47">
        <v>0</v>
      </c>
      <c r="G327" s="47">
        <v>0</v>
      </c>
      <c r="H327" s="47">
        <v>0</v>
      </c>
      <c r="I327" s="47">
        <v>0</v>
      </c>
      <c r="J327" s="47">
        <v>0</v>
      </c>
      <c r="K327" s="47">
        <v>0</v>
      </c>
      <c r="L327" s="47">
        <v>0</v>
      </c>
      <c r="M327" s="47">
        <v>0</v>
      </c>
      <c r="N327" s="47">
        <v>0</v>
      </c>
      <c r="O327" s="47">
        <v>0</v>
      </c>
      <c r="P327" s="47">
        <v>0</v>
      </c>
      <c r="Q327" s="113">
        <v>2552090.6</v>
      </c>
      <c r="R327" s="47">
        <v>0</v>
      </c>
      <c r="S327" s="47">
        <v>0</v>
      </c>
      <c r="T327" s="47">
        <v>0</v>
      </c>
      <c r="U327" s="47">
        <v>0</v>
      </c>
      <c r="V327" s="47">
        <v>0</v>
      </c>
      <c r="W327" s="47">
        <v>0</v>
      </c>
      <c r="X327" s="47">
        <v>0</v>
      </c>
      <c r="Y327" s="48">
        <v>2552090.6</v>
      </c>
      <c r="Z327" s="66">
        <v>826662.61</v>
      </c>
      <c r="AA327" s="62">
        <v>826662.61</v>
      </c>
      <c r="AB327" s="50">
        <v>0</v>
      </c>
      <c r="AC327" s="62">
        <v>1760.06</v>
      </c>
      <c r="AD327" s="62">
        <v>14005.59</v>
      </c>
      <c r="AE327" s="50">
        <v>0</v>
      </c>
      <c r="AF327" s="50">
        <v>0</v>
      </c>
      <c r="AG327" s="49">
        <v>842428.26</v>
      </c>
      <c r="AH327" s="51" t="s">
        <v>173</v>
      </c>
      <c r="AI327" s="51" t="s">
        <v>74</v>
      </c>
      <c r="AJ327" s="51" t="s">
        <v>174</v>
      </c>
      <c r="AK327" s="51" t="s">
        <v>175</v>
      </c>
      <c r="AL327" s="51" t="s">
        <v>74</v>
      </c>
      <c r="AM327" s="51" t="s">
        <v>74</v>
      </c>
      <c r="AN327" s="52">
        <v>0</v>
      </c>
      <c r="AO327" s="52">
        <v>0</v>
      </c>
      <c r="AP327" s="52">
        <v>0</v>
      </c>
      <c r="AQ327" s="52">
        <v>0</v>
      </c>
      <c r="AR327" s="52">
        <v>0</v>
      </c>
      <c r="AS327" s="52">
        <v>0</v>
      </c>
      <c r="AT327" s="53" t="s">
        <v>74</v>
      </c>
      <c r="AU327" s="52">
        <v>0</v>
      </c>
      <c r="AV327" s="52"/>
      <c r="AW327" s="52">
        <v>0</v>
      </c>
      <c r="AX327" s="158"/>
      <c r="AY327" s="158"/>
      <c r="AZ327" s="52">
        <v>0</v>
      </c>
      <c r="BA327" s="52">
        <v>0</v>
      </c>
      <c r="BB327" s="54" t="s">
        <v>74</v>
      </c>
      <c r="BC327" s="53" t="s">
        <v>74</v>
      </c>
      <c r="BD327" s="55" t="s">
        <v>74</v>
      </c>
      <c r="BE327" s="55" t="s">
        <v>74</v>
      </c>
      <c r="BF327" s="55" t="s">
        <v>74</v>
      </c>
      <c r="BG327" s="55" t="s">
        <v>74</v>
      </c>
      <c r="BH327" s="52">
        <v>0</v>
      </c>
      <c r="BI327" s="52">
        <v>1709662.34</v>
      </c>
      <c r="BJ327" s="52">
        <v>1709662.34</v>
      </c>
      <c r="BK327" s="56">
        <v>44136</v>
      </c>
      <c r="BL327" s="63">
        <v>1709662.34</v>
      </c>
      <c r="BM327" s="47">
        <v>0</v>
      </c>
      <c r="BN327" s="9"/>
      <c r="BO327" s="9"/>
      <c r="BP327" s="9"/>
      <c r="BQ327" s="9"/>
      <c r="BR327" s="9"/>
      <c r="BS327" s="9"/>
      <c r="BT327" s="9"/>
      <c r="BU327" s="9"/>
      <c r="BV327" s="9"/>
      <c r="BW327" s="9"/>
    </row>
    <row r="328" spans="1:75" ht="90" hidden="1" outlineLevel="2" x14ac:dyDescent="0.25">
      <c r="A328" s="43" t="s">
        <v>346</v>
      </c>
      <c r="B328" s="110" t="s">
        <v>420</v>
      </c>
      <c r="C328" s="45">
        <v>2020</v>
      </c>
      <c r="D328" s="46" t="s">
        <v>93</v>
      </c>
      <c r="E328" s="47">
        <v>0</v>
      </c>
      <c r="F328" s="47">
        <v>0</v>
      </c>
      <c r="G328" s="47">
        <v>0</v>
      </c>
      <c r="H328" s="47">
        <v>0</v>
      </c>
      <c r="I328" s="47">
        <v>0</v>
      </c>
      <c r="J328" s="47">
        <v>0</v>
      </c>
      <c r="K328" s="47">
        <v>0</v>
      </c>
      <c r="L328" s="47">
        <v>0</v>
      </c>
      <c r="M328" s="47">
        <v>0</v>
      </c>
      <c r="N328" s="47">
        <v>0</v>
      </c>
      <c r="O328" s="47">
        <v>0</v>
      </c>
      <c r="P328" s="47">
        <v>0</v>
      </c>
      <c r="Q328" s="113">
        <v>2552090.6</v>
      </c>
      <c r="R328" s="47">
        <v>0</v>
      </c>
      <c r="S328" s="47">
        <v>0</v>
      </c>
      <c r="T328" s="47">
        <v>0</v>
      </c>
      <c r="U328" s="47">
        <v>0</v>
      </c>
      <c r="V328" s="47">
        <v>0</v>
      </c>
      <c r="W328" s="47">
        <v>0</v>
      </c>
      <c r="X328" s="47">
        <v>0</v>
      </c>
      <c r="Y328" s="48">
        <v>2552090.6</v>
      </c>
      <c r="Z328" s="67">
        <v>821459.31</v>
      </c>
      <c r="AA328" s="62">
        <v>821459.31</v>
      </c>
      <c r="AB328" s="50">
        <v>0</v>
      </c>
      <c r="AC328" s="62">
        <v>1680.04</v>
      </c>
      <c r="AD328" s="62">
        <v>25861.45</v>
      </c>
      <c r="AE328" s="50">
        <v>0</v>
      </c>
      <c r="AF328" s="50">
        <v>0</v>
      </c>
      <c r="AG328" s="49">
        <v>849000.8</v>
      </c>
      <c r="AH328" s="51" t="s">
        <v>104</v>
      </c>
      <c r="AI328" s="51" t="s">
        <v>74</v>
      </c>
      <c r="AJ328" s="51" t="s">
        <v>176</v>
      </c>
      <c r="AK328" s="51" t="s">
        <v>458</v>
      </c>
      <c r="AL328" s="51" t="s">
        <v>74</v>
      </c>
      <c r="AM328" s="51" t="s">
        <v>74</v>
      </c>
      <c r="AN328" s="52">
        <v>0</v>
      </c>
      <c r="AO328" s="52">
        <v>0</v>
      </c>
      <c r="AP328" s="52">
        <v>0</v>
      </c>
      <c r="AQ328" s="52">
        <v>0</v>
      </c>
      <c r="AR328" s="52">
        <v>0</v>
      </c>
      <c r="AS328" s="52">
        <v>0</v>
      </c>
      <c r="AT328" s="53" t="s">
        <v>74</v>
      </c>
      <c r="AU328" s="52">
        <v>0</v>
      </c>
      <c r="AV328" s="52"/>
      <c r="AW328" s="52">
        <v>0</v>
      </c>
      <c r="AX328" s="158"/>
      <c r="AY328" s="158"/>
      <c r="AZ328" s="52">
        <v>0</v>
      </c>
      <c r="BA328" s="52">
        <v>0</v>
      </c>
      <c r="BB328" s="54" t="s">
        <v>74</v>
      </c>
      <c r="BC328" s="53" t="s">
        <v>74</v>
      </c>
      <c r="BD328" s="55" t="s">
        <v>74</v>
      </c>
      <c r="BE328" s="55" t="s">
        <v>74</v>
      </c>
      <c r="BF328" s="55" t="s">
        <v>74</v>
      </c>
      <c r="BG328" s="55" t="s">
        <v>74</v>
      </c>
      <c r="BH328" s="52">
        <v>0</v>
      </c>
      <c r="BI328" s="52">
        <v>1703089.8</v>
      </c>
      <c r="BJ328" s="52">
        <v>1703089.8</v>
      </c>
      <c r="BK328" s="56">
        <v>44166</v>
      </c>
      <c r="BL328" s="63">
        <v>1703089.8</v>
      </c>
      <c r="BM328" s="47">
        <v>0</v>
      </c>
      <c r="BN328" s="9"/>
      <c r="BO328" s="9"/>
      <c r="BP328" s="9"/>
      <c r="BQ328" s="9"/>
      <c r="BR328" s="9"/>
      <c r="BS328" s="9"/>
      <c r="BT328" s="9"/>
      <c r="BU328" s="9"/>
      <c r="BV328" s="9"/>
      <c r="BW328" s="9"/>
    </row>
    <row r="329" spans="1:75" ht="51.75" hidden="1" outlineLevel="2" x14ac:dyDescent="0.25">
      <c r="A329" s="43" t="s">
        <v>346</v>
      </c>
      <c r="B329" s="110" t="s">
        <v>420</v>
      </c>
      <c r="C329" s="45">
        <v>2021</v>
      </c>
      <c r="D329" s="46" t="s">
        <v>73</v>
      </c>
      <c r="E329" s="47">
        <v>0</v>
      </c>
      <c r="F329" s="47">
        <v>0</v>
      </c>
      <c r="G329" s="47">
        <v>0</v>
      </c>
      <c r="H329" s="47">
        <v>0</v>
      </c>
      <c r="I329" s="47">
        <v>0</v>
      </c>
      <c r="J329" s="47">
        <v>0</v>
      </c>
      <c r="K329" s="47">
        <v>0</v>
      </c>
      <c r="L329" s="47">
        <v>0</v>
      </c>
      <c r="M329" s="47">
        <v>0</v>
      </c>
      <c r="N329" s="47">
        <v>0</v>
      </c>
      <c r="O329" s="47">
        <v>0</v>
      </c>
      <c r="P329" s="47">
        <v>0</v>
      </c>
      <c r="Q329" s="113">
        <v>2552090.6</v>
      </c>
      <c r="R329" s="47">
        <v>0</v>
      </c>
      <c r="S329" s="47">
        <v>0</v>
      </c>
      <c r="T329" s="47">
        <v>0</v>
      </c>
      <c r="U329" s="47">
        <v>0</v>
      </c>
      <c r="V329" s="47">
        <v>0</v>
      </c>
      <c r="W329" s="47">
        <v>0</v>
      </c>
      <c r="X329" s="47">
        <v>0</v>
      </c>
      <c r="Y329" s="48">
        <f t="shared" ref="Y329:Y334" si="36">SUM(E329:X329)</f>
        <v>2552090.6</v>
      </c>
      <c r="Z329" s="66">
        <v>840153.26</v>
      </c>
      <c r="AA329" s="62">
        <v>840153.26</v>
      </c>
      <c r="AB329" s="50">
        <v>0</v>
      </c>
      <c r="AC329" s="62">
        <v>1709.17</v>
      </c>
      <c r="AD329" s="50">
        <v>0</v>
      </c>
      <c r="AE329" s="50">
        <v>0</v>
      </c>
      <c r="AF329" s="50">
        <v>0</v>
      </c>
      <c r="AG329" s="49">
        <f t="shared" ref="AG329:AG334" si="37">SUM(AA329:AF329)</f>
        <v>841862.43</v>
      </c>
      <c r="AH329" s="51" t="s">
        <v>104</v>
      </c>
      <c r="AI329" s="51" t="s">
        <v>74</v>
      </c>
      <c r="AJ329" s="51" t="s">
        <v>459</v>
      </c>
      <c r="AK329" s="51" t="s">
        <v>74</v>
      </c>
      <c r="AL329" s="51" t="s">
        <v>74</v>
      </c>
      <c r="AM329" s="51" t="s">
        <v>74</v>
      </c>
      <c r="AN329" s="52">
        <v>0</v>
      </c>
      <c r="AO329" s="52">
        <v>0</v>
      </c>
      <c r="AP329" s="52">
        <v>0</v>
      </c>
      <c r="AQ329" s="52">
        <v>0</v>
      </c>
      <c r="AR329" s="52">
        <v>0</v>
      </c>
      <c r="AS329" s="52">
        <f t="shared" ref="AS329:AS334" si="38">AN329+AO329+AP329+AQ329+AR329</f>
        <v>0</v>
      </c>
      <c r="AT329" s="53" t="s">
        <v>74</v>
      </c>
      <c r="AU329" s="52">
        <v>0</v>
      </c>
      <c r="AV329" s="52"/>
      <c r="AW329" s="52">
        <v>0</v>
      </c>
      <c r="AX329" s="158"/>
      <c r="AY329" s="158"/>
      <c r="AZ329" s="52">
        <v>0</v>
      </c>
      <c r="BA329" s="52">
        <f t="shared" ref="BA329:BA338" si="39">AU329+AW329+AX329+AZ329</f>
        <v>0</v>
      </c>
      <c r="BB329" s="54" t="s">
        <v>74</v>
      </c>
      <c r="BC329" s="53" t="s">
        <v>74</v>
      </c>
      <c r="BD329" s="55" t="s">
        <v>74</v>
      </c>
      <c r="BE329" s="55" t="s">
        <v>74</v>
      </c>
      <c r="BF329" s="55" t="s">
        <v>74</v>
      </c>
      <c r="BG329" s="55" t="s">
        <v>74</v>
      </c>
      <c r="BH329" s="52">
        <f t="shared" ref="BH329:BH338" si="40">AS329+BA329</f>
        <v>0</v>
      </c>
      <c r="BI329" s="52">
        <f t="shared" ref="BI329:BI338" si="41">Y329-AG329+BH329</f>
        <v>1710228.17</v>
      </c>
      <c r="BJ329" s="52">
        <v>1710228.17</v>
      </c>
      <c r="BK329" s="56">
        <v>44197</v>
      </c>
      <c r="BL329" s="57">
        <v>1710228.17</v>
      </c>
      <c r="BM329" s="47">
        <v>0</v>
      </c>
      <c r="BN329" s="9"/>
      <c r="BO329" s="9"/>
      <c r="BP329" s="9"/>
      <c r="BQ329" s="9"/>
      <c r="BR329" s="9"/>
      <c r="BS329" s="9"/>
      <c r="BT329" s="9"/>
      <c r="BU329" s="9"/>
      <c r="BV329" s="9"/>
      <c r="BW329" s="9"/>
    </row>
    <row r="330" spans="1:75" ht="51.75" hidden="1" outlineLevel="2" x14ac:dyDescent="0.25">
      <c r="A330" s="43" t="s">
        <v>346</v>
      </c>
      <c r="B330" s="110" t="s">
        <v>420</v>
      </c>
      <c r="C330" s="45">
        <v>2021</v>
      </c>
      <c r="D330" s="46" t="s">
        <v>75</v>
      </c>
      <c r="E330" s="47">
        <v>0</v>
      </c>
      <c r="F330" s="47">
        <v>0</v>
      </c>
      <c r="G330" s="47">
        <v>0</v>
      </c>
      <c r="H330" s="47">
        <v>0</v>
      </c>
      <c r="I330" s="47">
        <v>0</v>
      </c>
      <c r="J330" s="47">
        <v>0</v>
      </c>
      <c r="K330" s="47">
        <v>0</v>
      </c>
      <c r="L330" s="47">
        <v>0</v>
      </c>
      <c r="M330" s="47">
        <v>0</v>
      </c>
      <c r="N330" s="47">
        <v>0</v>
      </c>
      <c r="O330" s="47">
        <v>0</v>
      </c>
      <c r="P330" s="47">
        <v>0</v>
      </c>
      <c r="Q330" s="113">
        <v>2552090.6</v>
      </c>
      <c r="R330" s="47">
        <v>0</v>
      </c>
      <c r="S330" s="47">
        <v>0</v>
      </c>
      <c r="T330" s="47">
        <v>0</v>
      </c>
      <c r="U330" s="47">
        <v>0</v>
      </c>
      <c r="V330" s="47">
        <v>0</v>
      </c>
      <c r="W330" s="47">
        <v>0</v>
      </c>
      <c r="X330" s="47">
        <v>0</v>
      </c>
      <c r="Y330" s="48">
        <f t="shared" si="36"/>
        <v>2552090.6</v>
      </c>
      <c r="Z330" s="66">
        <v>825952.97</v>
      </c>
      <c r="AA330" s="62">
        <v>825952.97</v>
      </c>
      <c r="AB330" s="50">
        <v>0</v>
      </c>
      <c r="AC330" s="62">
        <v>1668.67</v>
      </c>
      <c r="AD330" s="62">
        <v>13597.79</v>
      </c>
      <c r="AE330" s="50">
        <v>0</v>
      </c>
      <c r="AF330" s="50">
        <v>0</v>
      </c>
      <c r="AG330" s="49">
        <f t="shared" si="37"/>
        <v>841219.43</v>
      </c>
      <c r="AH330" s="51" t="s">
        <v>104</v>
      </c>
      <c r="AI330" s="51" t="s">
        <v>74</v>
      </c>
      <c r="AJ330" s="51" t="s">
        <v>460</v>
      </c>
      <c r="AK330" s="51" t="s">
        <v>180</v>
      </c>
      <c r="AL330" s="51" t="s">
        <v>74</v>
      </c>
      <c r="AM330" s="51" t="s">
        <v>74</v>
      </c>
      <c r="AN330" s="52">
        <v>0</v>
      </c>
      <c r="AO330" s="52">
        <v>0</v>
      </c>
      <c r="AP330" s="52">
        <v>0</v>
      </c>
      <c r="AQ330" s="52">
        <v>0</v>
      </c>
      <c r="AR330" s="52">
        <v>0</v>
      </c>
      <c r="AS330" s="52">
        <f t="shared" si="38"/>
        <v>0</v>
      </c>
      <c r="AT330" s="53" t="s">
        <v>74</v>
      </c>
      <c r="AU330" s="52">
        <v>0</v>
      </c>
      <c r="AV330" s="52"/>
      <c r="AW330" s="52">
        <v>0</v>
      </c>
      <c r="AX330" s="158"/>
      <c r="AY330" s="158"/>
      <c r="AZ330" s="52">
        <v>0</v>
      </c>
      <c r="BA330" s="52">
        <f t="shared" si="39"/>
        <v>0</v>
      </c>
      <c r="BB330" s="54" t="s">
        <v>74</v>
      </c>
      <c r="BC330" s="53" t="s">
        <v>74</v>
      </c>
      <c r="BD330" s="55" t="s">
        <v>74</v>
      </c>
      <c r="BE330" s="55" t="s">
        <v>74</v>
      </c>
      <c r="BF330" s="55" t="s">
        <v>74</v>
      </c>
      <c r="BG330" s="55" t="s">
        <v>74</v>
      </c>
      <c r="BH330" s="52">
        <f t="shared" si="40"/>
        <v>0</v>
      </c>
      <c r="BI330" s="52">
        <f t="shared" si="41"/>
        <v>1710871.17</v>
      </c>
      <c r="BJ330" s="52">
        <v>1710871.17</v>
      </c>
      <c r="BK330" s="56">
        <v>44228</v>
      </c>
      <c r="BL330" s="57">
        <v>1710871.17</v>
      </c>
      <c r="BM330" s="47">
        <v>0</v>
      </c>
      <c r="BN330" s="9"/>
      <c r="BO330" s="9"/>
      <c r="BP330" s="9"/>
      <c r="BQ330" s="9"/>
      <c r="BR330" s="9"/>
      <c r="BS330" s="9"/>
      <c r="BT330" s="9"/>
      <c r="BU330" s="9"/>
      <c r="BV330" s="9"/>
      <c r="BW330" s="9"/>
    </row>
    <row r="331" spans="1:75" ht="179.25" hidden="1" outlineLevel="2" x14ac:dyDescent="0.25">
      <c r="A331" s="43" t="s">
        <v>346</v>
      </c>
      <c r="B331" s="110" t="s">
        <v>420</v>
      </c>
      <c r="C331" s="45">
        <v>2021</v>
      </c>
      <c r="D331" s="46" t="s">
        <v>77</v>
      </c>
      <c r="E331" s="47">
        <v>0</v>
      </c>
      <c r="F331" s="47">
        <v>0</v>
      </c>
      <c r="G331" s="47">
        <v>0</v>
      </c>
      <c r="H331" s="47">
        <v>0</v>
      </c>
      <c r="I331" s="47">
        <v>0</v>
      </c>
      <c r="J331" s="47">
        <v>0</v>
      </c>
      <c r="K331" s="47">
        <v>0</v>
      </c>
      <c r="L331" s="47">
        <v>0</v>
      </c>
      <c r="M331" s="47">
        <v>0</v>
      </c>
      <c r="N331" s="47">
        <v>0</v>
      </c>
      <c r="O331" s="47">
        <v>0</v>
      </c>
      <c r="P331" s="47">
        <v>0</v>
      </c>
      <c r="Q331" s="113">
        <v>2552090.6</v>
      </c>
      <c r="R331" s="47">
        <v>0</v>
      </c>
      <c r="S331" s="47">
        <v>0</v>
      </c>
      <c r="T331" s="47">
        <v>0</v>
      </c>
      <c r="U331" s="47">
        <v>0</v>
      </c>
      <c r="V331" s="47">
        <v>0</v>
      </c>
      <c r="W331" s="47">
        <v>0</v>
      </c>
      <c r="X331" s="47">
        <v>0</v>
      </c>
      <c r="Y331" s="48">
        <f t="shared" si="36"/>
        <v>2552090.6</v>
      </c>
      <c r="Z331" s="66">
        <v>830404.89</v>
      </c>
      <c r="AA331" s="62">
        <v>830404.89</v>
      </c>
      <c r="AB331" s="50">
        <v>0</v>
      </c>
      <c r="AC331" s="62">
        <v>1690.57</v>
      </c>
      <c r="AD331" s="62">
        <v>15435.66</v>
      </c>
      <c r="AE331" s="50">
        <v>0</v>
      </c>
      <c r="AF331" s="50">
        <v>0</v>
      </c>
      <c r="AG331" s="49">
        <f t="shared" si="37"/>
        <v>847531.12</v>
      </c>
      <c r="AH331" s="51" t="s">
        <v>104</v>
      </c>
      <c r="AI331" s="51" t="s">
        <v>74</v>
      </c>
      <c r="AJ331" s="51" t="s">
        <v>461</v>
      </c>
      <c r="AK331" s="51" t="s">
        <v>182</v>
      </c>
      <c r="AL331" s="51" t="s">
        <v>74</v>
      </c>
      <c r="AM331" s="51" t="s">
        <v>74</v>
      </c>
      <c r="AN331" s="52"/>
      <c r="AO331" s="52"/>
      <c r="AP331" s="52"/>
      <c r="AQ331" s="52"/>
      <c r="AR331" s="52"/>
      <c r="AS331" s="52">
        <f t="shared" si="38"/>
        <v>0</v>
      </c>
      <c r="AT331" s="53" t="s">
        <v>74</v>
      </c>
      <c r="AU331" s="52">
        <v>0</v>
      </c>
      <c r="AV331" s="52"/>
      <c r="AW331" s="59">
        <v>178632.48</v>
      </c>
      <c r="AX331" s="158"/>
      <c r="AY331" s="158"/>
      <c r="AZ331" s="52">
        <v>0</v>
      </c>
      <c r="BA331" s="52">
        <f t="shared" si="39"/>
        <v>178632.48</v>
      </c>
      <c r="BB331" s="54" t="s">
        <v>74</v>
      </c>
      <c r="BC331" s="53" t="s">
        <v>74</v>
      </c>
      <c r="BD331" s="55" t="s">
        <v>462</v>
      </c>
      <c r="BE331" s="55" t="s">
        <v>74</v>
      </c>
      <c r="BF331" s="55" t="s">
        <v>74</v>
      </c>
      <c r="BG331" s="55" t="s">
        <v>74</v>
      </c>
      <c r="BH331" s="52">
        <f t="shared" si="40"/>
        <v>178632.48</v>
      </c>
      <c r="BI331" s="52">
        <f t="shared" si="41"/>
        <v>1883191.96</v>
      </c>
      <c r="BJ331" s="52">
        <v>1704559.48</v>
      </c>
      <c r="BK331" s="56">
        <v>44256</v>
      </c>
      <c r="BL331" s="63">
        <v>1883191.96</v>
      </c>
      <c r="BM331" s="47">
        <v>0</v>
      </c>
      <c r="BN331" s="9"/>
      <c r="BO331" s="9"/>
      <c r="BP331" s="9"/>
      <c r="BQ331" s="9"/>
      <c r="BR331" s="9"/>
      <c r="BS331" s="9"/>
      <c r="BT331" s="9"/>
      <c r="BU331" s="9"/>
      <c r="BV331" s="9"/>
      <c r="BW331" s="9"/>
    </row>
    <row r="332" spans="1:75" ht="39" hidden="1" outlineLevel="2" x14ac:dyDescent="0.25">
      <c r="A332" s="43" t="s">
        <v>346</v>
      </c>
      <c r="B332" s="110" t="s">
        <v>420</v>
      </c>
      <c r="C332" s="45">
        <v>2021</v>
      </c>
      <c r="D332" s="46" t="s">
        <v>79</v>
      </c>
      <c r="E332" s="47">
        <v>0</v>
      </c>
      <c r="F332" s="47">
        <v>0</v>
      </c>
      <c r="G332" s="47">
        <v>0</v>
      </c>
      <c r="H332" s="47">
        <v>0</v>
      </c>
      <c r="I332" s="47">
        <v>0</v>
      </c>
      <c r="J332" s="47">
        <v>0</v>
      </c>
      <c r="K332" s="47">
        <v>0</v>
      </c>
      <c r="L332" s="47">
        <v>0</v>
      </c>
      <c r="M332" s="47">
        <v>0</v>
      </c>
      <c r="N332" s="47">
        <v>0</v>
      </c>
      <c r="O332" s="47">
        <v>0</v>
      </c>
      <c r="P332" s="47">
        <v>0</v>
      </c>
      <c r="Q332" s="113">
        <v>2552090.6</v>
      </c>
      <c r="R332" s="47">
        <v>0</v>
      </c>
      <c r="S332" s="47">
        <v>0</v>
      </c>
      <c r="T332" s="47">
        <v>0</v>
      </c>
      <c r="U332" s="47">
        <v>0</v>
      </c>
      <c r="V332" s="47">
        <v>0</v>
      </c>
      <c r="W332" s="47">
        <v>0</v>
      </c>
      <c r="X332" s="47">
        <v>0</v>
      </c>
      <c r="Y332" s="48">
        <f t="shared" si="36"/>
        <v>2552090.6</v>
      </c>
      <c r="Z332" s="66">
        <v>822510</v>
      </c>
      <c r="AA332" s="62">
        <v>822510</v>
      </c>
      <c r="AB332" s="50">
        <v>0</v>
      </c>
      <c r="AC332" s="62">
        <v>1576.7</v>
      </c>
      <c r="AD332" s="62">
        <v>13249.99</v>
      </c>
      <c r="AE332" s="50">
        <v>0</v>
      </c>
      <c r="AF332" s="50">
        <v>0</v>
      </c>
      <c r="AG332" s="49">
        <f t="shared" si="37"/>
        <v>837336.69</v>
      </c>
      <c r="AH332" s="51" t="s">
        <v>104</v>
      </c>
      <c r="AI332" s="51" t="s">
        <v>74</v>
      </c>
      <c r="AJ332" s="51" t="s">
        <v>463</v>
      </c>
      <c r="AK332" s="51" t="s">
        <v>409</v>
      </c>
      <c r="AL332" s="51" t="s">
        <v>74</v>
      </c>
      <c r="AM332" s="51" t="s">
        <v>74</v>
      </c>
      <c r="AN332" s="52">
        <v>0</v>
      </c>
      <c r="AO332" s="52">
        <v>0</v>
      </c>
      <c r="AP332" s="52">
        <v>0</v>
      </c>
      <c r="AQ332" s="52">
        <v>0</v>
      </c>
      <c r="AR332" s="52">
        <v>0</v>
      </c>
      <c r="AS332" s="52">
        <f t="shared" si="38"/>
        <v>0</v>
      </c>
      <c r="AT332" s="53" t="s">
        <v>74</v>
      </c>
      <c r="AU332" s="52">
        <v>0</v>
      </c>
      <c r="AV332" s="52"/>
      <c r="AW332" s="52">
        <v>0</v>
      </c>
      <c r="AX332" s="158"/>
      <c r="AY332" s="158"/>
      <c r="AZ332" s="52">
        <v>0</v>
      </c>
      <c r="BA332" s="52">
        <f t="shared" si="39"/>
        <v>0</v>
      </c>
      <c r="BB332" s="54" t="s">
        <v>74</v>
      </c>
      <c r="BC332" s="53" t="s">
        <v>74</v>
      </c>
      <c r="BD332" s="55" t="s">
        <v>74</v>
      </c>
      <c r="BE332" s="55" t="s">
        <v>74</v>
      </c>
      <c r="BF332" s="55" t="s">
        <v>74</v>
      </c>
      <c r="BG332" s="55" t="s">
        <v>74</v>
      </c>
      <c r="BH332" s="52">
        <f t="shared" si="40"/>
        <v>0</v>
      </c>
      <c r="BI332" s="52">
        <f t="shared" si="41"/>
        <v>1714753.9100000001</v>
      </c>
      <c r="BJ332" s="52">
        <v>1714753.91</v>
      </c>
      <c r="BK332" s="56">
        <v>44287</v>
      </c>
      <c r="BL332" s="63">
        <v>1714753.91</v>
      </c>
      <c r="BM332" s="47">
        <v>0</v>
      </c>
      <c r="BN332" s="9"/>
      <c r="BO332" s="9"/>
      <c r="BP332" s="9"/>
      <c r="BQ332" s="9"/>
      <c r="BR332" s="9"/>
      <c r="BS332" s="9"/>
      <c r="BT332" s="9"/>
      <c r="BU332" s="9"/>
      <c r="BV332" s="9"/>
      <c r="BW332" s="9"/>
    </row>
    <row r="333" spans="1:75" ht="39" hidden="1" outlineLevel="2" x14ac:dyDescent="0.25">
      <c r="A333" s="43" t="s">
        <v>346</v>
      </c>
      <c r="B333" s="110" t="s">
        <v>420</v>
      </c>
      <c r="C333" s="45">
        <v>2021</v>
      </c>
      <c r="D333" s="46" t="s">
        <v>81</v>
      </c>
      <c r="E333" s="47">
        <v>0</v>
      </c>
      <c r="F333" s="47">
        <v>0</v>
      </c>
      <c r="G333" s="47">
        <v>0</v>
      </c>
      <c r="H333" s="47">
        <v>0</v>
      </c>
      <c r="I333" s="47">
        <v>0</v>
      </c>
      <c r="J333" s="47">
        <v>0</v>
      </c>
      <c r="K333" s="47">
        <v>0</v>
      </c>
      <c r="L333" s="47">
        <v>0</v>
      </c>
      <c r="M333" s="47">
        <v>0</v>
      </c>
      <c r="N333" s="47">
        <v>0</v>
      </c>
      <c r="O333" s="47">
        <v>0</v>
      </c>
      <c r="P333" s="47">
        <v>0</v>
      </c>
      <c r="Q333" s="113">
        <v>2552090.6</v>
      </c>
      <c r="R333" s="47">
        <v>0</v>
      </c>
      <c r="S333" s="47">
        <v>0</v>
      </c>
      <c r="T333" s="47">
        <v>0</v>
      </c>
      <c r="U333" s="47">
        <v>0</v>
      </c>
      <c r="V333" s="47">
        <v>0</v>
      </c>
      <c r="W333" s="47">
        <v>0</v>
      </c>
      <c r="X333" s="47">
        <v>0</v>
      </c>
      <c r="Y333" s="48">
        <f t="shared" si="36"/>
        <v>2552090.6</v>
      </c>
      <c r="Z333" s="66">
        <v>834315.75</v>
      </c>
      <c r="AA333" s="62">
        <v>834315.75</v>
      </c>
      <c r="AB333" s="50">
        <v>0</v>
      </c>
      <c r="AC333" s="62">
        <v>1705.42</v>
      </c>
      <c r="AD333" s="62">
        <v>13824.53</v>
      </c>
      <c r="AE333" s="50">
        <v>0</v>
      </c>
      <c r="AF333" s="50">
        <v>0</v>
      </c>
      <c r="AG333" s="49">
        <f t="shared" si="37"/>
        <v>849845.70000000007</v>
      </c>
      <c r="AH333" s="51" t="s">
        <v>104</v>
      </c>
      <c r="AI333" s="51" t="s">
        <v>74</v>
      </c>
      <c r="AJ333" s="51" t="s">
        <v>464</v>
      </c>
      <c r="AK333" s="51" t="s">
        <v>411</v>
      </c>
      <c r="AL333" s="51" t="s">
        <v>74</v>
      </c>
      <c r="AM333" s="51" t="s">
        <v>74</v>
      </c>
      <c r="AN333" s="52">
        <v>0</v>
      </c>
      <c r="AO333" s="52">
        <v>0</v>
      </c>
      <c r="AP333" s="52">
        <v>0</v>
      </c>
      <c r="AQ333" s="52">
        <v>0</v>
      </c>
      <c r="AR333" s="52">
        <v>0</v>
      </c>
      <c r="AS333" s="52">
        <f t="shared" si="38"/>
        <v>0</v>
      </c>
      <c r="AT333" s="53" t="s">
        <v>74</v>
      </c>
      <c r="AU333" s="52">
        <v>0</v>
      </c>
      <c r="AV333" s="52"/>
      <c r="AW333" s="52">
        <v>0</v>
      </c>
      <c r="AX333" s="158"/>
      <c r="AY333" s="158"/>
      <c r="AZ333" s="52">
        <v>0</v>
      </c>
      <c r="BA333" s="52">
        <f t="shared" si="39"/>
        <v>0</v>
      </c>
      <c r="BB333" s="54" t="s">
        <v>74</v>
      </c>
      <c r="BC333" s="53" t="s">
        <v>74</v>
      </c>
      <c r="BD333" s="55" t="s">
        <v>74</v>
      </c>
      <c r="BE333" s="55" t="s">
        <v>74</v>
      </c>
      <c r="BF333" s="55" t="s">
        <v>74</v>
      </c>
      <c r="BG333" s="55" t="s">
        <v>74</v>
      </c>
      <c r="BH333" s="52">
        <f t="shared" si="40"/>
        <v>0</v>
      </c>
      <c r="BI333" s="52">
        <f t="shared" si="41"/>
        <v>1702244.9</v>
      </c>
      <c r="BJ333" s="52">
        <v>1702244.9</v>
      </c>
      <c r="BK333" s="56">
        <v>44317</v>
      </c>
      <c r="BL333" s="63">
        <v>1702244.9</v>
      </c>
      <c r="BM333" s="47">
        <v>0</v>
      </c>
      <c r="BN333" s="9"/>
      <c r="BO333" s="9"/>
      <c r="BP333" s="9"/>
      <c r="BQ333" s="9"/>
      <c r="BR333" s="9"/>
      <c r="BS333" s="9"/>
      <c r="BT333" s="9"/>
      <c r="BU333" s="9"/>
      <c r="BV333" s="9"/>
      <c r="BW333" s="9"/>
    </row>
    <row r="334" spans="1:75" ht="128.25" hidden="1" outlineLevel="2" x14ac:dyDescent="0.25">
      <c r="A334" s="43" t="s">
        <v>346</v>
      </c>
      <c r="B334" s="110" t="s">
        <v>420</v>
      </c>
      <c r="C334" s="45">
        <v>2021</v>
      </c>
      <c r="D334" s="46" t="s">
        <v>83</v>
      </c>
      <c r="E334" s="47">
        <v>0</v>
      </c>
      <c r="F334" s="47">
        <v>0</v>
      </c>
      <c r="G334" s="47">
        <v>0</v>
      </c>
      <c r="H334" s="47">
        <v>0</v>
      </c>
      <c r="I334" s="47">
        <v>0</v>
      </c>
      <c r="J334" s="47">
        <v>0</v>
      </c>
      <c r="K334" s="47">
        <v>0</v>
      </c>
      <c r="L334" s="47">
        <v>0</v>
      </c>
      <c r="M334" s="47">
        <v>0</v>
      </c>
      <c r="N334" s="47">
        <v>0</v>
      </c>
      <c r="O334" s="47">
        <v>0</v>
      </c>
      <c r="P334" s="47">
        <v>0</v>
      </c>
      <c r="Q334" s="134">
        <v>2126742.1666666698</v>
      </c>
      <c r="R334" s="47">
        <v>0</v>
      </c>
      <c r="S334" s="47">
        <v>0</v>
      </c>
      <c r="T334" s="47">
        <v>0</v>
      </c>
      <c r="U334" s="47">
        <v>0</v>
      </c>
      <c r="V334" s="47">
        <v>0</v>
      </c>
      <c r="W334" s="47">
        <v>0</v>
      </c>
      <c r="X334" s="47">
        <v>0</v>
      </c>
      <c r="Y334" s="48">
        <f t="shared" si="36"/>
        <v>2126742.1666666698</v>
      </c>
      <c r="Z334" s="146">
        <v>799125.48</v>
      </c>
      <c r="AA334" s="147">
        <v>799125.48</v>
      </c>
      <c r="AB334" s="159">
        <v>0</v>
      </c>
      <c r="AC334" s="159"/>
      <c r="AD334" s="148">
        <v>12474.5</v>
      </c>
      <c r="AE334" s="50">
        <v>0</v>
      </c>
      <c r="AF334" s="50">
        <v>0</v>
      </c>
      <c r="AG334" s="49">
        <f t="shared" si="37"/>
        <v>811599.98</v>
      </c>
      <c r="AH334" s="51" t="s">
        <v>104</v>
      </c>
      <c r="AI334" s="51" t="s">
        <v>74</v>
      </c>
      <c r="AJ334" s="51" t="s">
        <v>74</v>
      </c>
      <c r="AK334" s="51" t="s">
        <v>413</v>
      </c>
      <c r="AL334" s="51" t="s">
        <v>74</v>
      </c>
      <c r="AM334" s="51" t="s">
        <v>74</v>
      </c>
      <c r="AN334" s="52">
        <v>0</v>
      </c>
      <c r="AO334" s="52">
        <v>0</v>
      </c>
      <c r="AP334" s="52">
        <v>0</v>
      </c>
      <c r="AQ334" s="52">
        <v>0</v>
      </c>
      <c r="AR334" s="52">
        <v>0</v>
      </c>
      <c r="AS334" s="52">
        <f t="shared" si="38"/>
        <v>0</v>
      </c>
      <c r="AT334" s="53" t="s">
        <v>74</v>
      </c>
      <c r="AU334" s="52">
        <v>0</v>
      </c>
      <c r="AV334" s="52"/>
      <c r="AW334" s="52">
        <v>0</v>
      </c>
      <c r="AX334" s="68">
        <v>425348.43</v>
      </c>
      <c r="AY334" s="158"/>
      <c r="AZ334" s="52">
        <v>0</v>
      </c>
      <c r="BA334" s="52">
        <f t="shared" si="39"/>
        <v>425348.43</v>
      </c>
      <c r="BB334" s="54" t="s">
        <v>74</v>
      </c>
      <c r="BC334" s="53" t="s">
        <v>74</v>
      </c>
      <c r="BD334" s="55" t="s">
        <v>74</v>
      </c>
      <c r="BE334" s="55" t="s">
        <v>465</v>
      </c>
      <c r="BF334" s="55" t="s">
        <v>74</v>
      </c>
      <c r="BG334" s="55" t="s">
        <v>74</v>
      </c>
      <c r="BH334" s="52">
        <f t="shared" si="40"/>
        <v>425348.43</v>
      </c>
      <c r="BI334" s="52">
        <f t="shared" si="41"/>
        <v>1740490.6166666697</v>
      </c>
      <c r="BJ334" s="52">
        <f>Y334-AG334+AX334</f>
        <v>1740490.6166666697</v>
      </c>
      <c r="BK334" s="56">
        <v>44348</v>
      </c>
      <c r="BL334" s="63">
        <f>1228742.17+86400.02+425348.43</f>
        <v>1740490.6199999999</v>
      </c>
      <c r="BM334" s="47">
        <v>0</v>
      </c>
      <c r="BN334" s="9"/>
      <c r="BO334" s="9"/>
      <c r="BP334" s="9"/>
      <c r="BQ334" s="9"/>
      <c r="BR334" s="9"/>
      <c r="BS334" s="9"/>
      <c r="BT334" s="9"/>
      <c r="BU334" s="9"/>
      <c r="BV334" s="9"/>
      <c r="BW334" s="9"/>
    </row>
    <row r="335" spans="1:75" ht="281.25" hidden="1" outlineLevel="2" x14ac:dyDescent="0.25">
      <c r="A335" s="43" t="s">
        <v>346</v>
      </c>
      <c r="B335" s="110" t="s">
        <v>420</v>
      </c>
      <c r="C335" s="45">
        <v>2021</v>
      </c>
      <c r="D335" s="46" t="s">
        <v>84</v>
      </c>
      <c r="E335" s="47"/>
      <c r="F335" s="47"/>
      <c r="G335" s="47"/>
      <c r="H335" s="47"/>
      <c r="I335" s="47"/>
      <c r="J335" s="47"/>
      <c r="K335" s="47"/>
      <c r="L335" s="47"/>
      <c r="M335" s="47"/>
      <c r="N335" s="47"/>
      <c r="O335" s="47"/>
      <c r="P335" s="47"/>
      <c r="Q335" s="134"/>
      <c r="R335" s="47"/>
      <c r="S335" s="47"/>
      <c r="T335" s="47"/>
      <c r="U335" s="47"/>
      <c r="V335" s="47"/>
      <c r="W335" s="47">
        <v>0</v>
      </c>
      <c r="X335" s="47">
        <v>0</v>
      </c>
      <c r="Y335" s="48"/>
      <c r="Z335" s="149"/>
      <c r="AA335" s="147"/>
      <c r="AB335" s="159"/>
      <c r="AC335" s="159"/>
      <c r="AD335" s="148"/>
      <c r="AE335" s="50"/>
      <c r="AF335" s="50"/>
      <c r="AG335" s="49"/>
      <c r="AH335" s="70" t="s">
        <v>74</v>
      </c>
      <c r="AI335" s="70" t="s">
        <v>74</v>
      </c>
      <c r="AJ335" s="70" t="s">
        <v>74</v>
      </c>
      <c r="AK335" s="70" t="s">
        <v>74</v>
      </c>
      <c r="AL335" s="70" t="s">
        <v>74</v>
      </c>
      <c r="AM335" s="70" t="s">
        <v>74</v>
      </c>
      <c r="AN335" s="52"/>
      <c r="AO335" s="52"/>
      <c r="AP335" s="52"/>
      <c r="AQ335" s="52"/>
      <c r="AR335" s="52"/>
      <c r="AS335" s="52"/>
      <c r="AT335" s="70" t="s">
        <v>74</v>
      </c>
      <c r="AU335" s="52"/>
      <c r="AV335" s="52"/>
      <c r="AW335" s="52"/>
      <c r="AX335" s="68">
        <f>945901.26+1606189.34</f>
        <v>2552090.6</v>
      </c>
      <c r="AY335" s="158"/>
      <c r="AZ335" s="52"/>
      <c r="BA335" s="52">
        <f t="shared" si="39"/>
        <v>2552090.6</v>
      </c>
      <c r="BB335" s="52" t="s">
        <v>74</v>
      </c>
      <c r="BC335" s="52" t="s">
        <v>74</v>
      </c>
      <c r="BD335" s="52" t="s">
        <v>74</v>
      </c>
      <c r="BE335" s="55" t="s">
        <v>466</v>
      </c>
      <c r="BF335" s="52" t="s">
        <v>74</v>
      </c>
      <c r="BG335" s="52"/>
      <c r="BH335" s="52">
        <f t="shared" si="40"/>
        <v>2552090.6</v>
      </c>
      <c r="BI335" s="52">
        <f t="shared" si="41"/>
        <v>2552090.6</v>
      </c>
      <c r="BJ335" s="52">
        <f>Y335-AG335+AX335</f>
        <v>2552090.6</v>
      </c>
      <c r="BK335" s="56">
        <v>44378</v>
      </c>
      <c r="BL335" s="63">
        <f>945901.26+1606189.34</f>
        <v>2552090.6</v>
      </c>
      <c r="BM335" s="47">
        <v>0</v>
      </c>
      <c r="BN335" s="9"/>
      <c r="BO335" s="9"/>
      <c r="BP335" s="9"/>
      <c r="BQ335" s="9"/>
      <c r="BR335" s="9"/>
      <c r="BS335" s="9"/>
      <c r="BT335" s="9"/>
      <c r="BU335" s="9"/>
      <c r="BV335" s="9"/>
      <c r="BW335" s="9"/>
    </row>
    <row r="336" spans="1:75" ht="166.5" hidden="1" outlineLevel="2" x14ac:dyDescent="0.25">
      <c r="A336" s="43" t="s">
        <v>346</v>
      </c>
      <c r="B336" s="110" t="s">
        <v>420</v>
      </c>
      <c r="C336" s="45">
        <v>2021</v>
      </c>
      <c r="D336" s="46" t="s">
        <v>86</v>
      </c>
      <c r="E336" s="47"/>
      <c r="F336" s="47"/>
      <c r="G336" s="47"/>
      <c r="H336" s="47"/>
      <c r="I336" s="47"/>
      <c r="J336" s="47"/>
      <c r="K336" s="47"/>
      <c r="L336" s="47"/>
      <c r="M336" s="47"/>
      <c r="N336" s="47"/>
      <c r="O336" s="47"/>
      <c r="P336" s="47"/>
      <c r="Q336" s="134"/>
      <c r="R336" s="47"/>
      <c r="S336" s="47"/>
      <c r="T336" s="47"/>
      <c r="U336" s="47"/>
      <c r="V336" s="47"/>
      <c r="W336" s="47">
        <v>0</v>
      </c>
      <c r="X336" s="47">
        <v>0</v>
      </c>
      <c r="Y336" s="48"/>
      <c r="Z336" s="149"/>
      <c r="AA336" s="147"/>
      <c r="AB336" s="159"/>
      <c r="AC336" s="159"/>
      <c r="AD336" s="148"/>
      <c r="AE336" s="50"/>
      <c r="AF336" s="50"/>
      <c r="AG336" s="49"/>
      <c r="AH336" s="70" t="s">
        <v>74</v>
      </c>
      <c r="AI336" s="70" t="s">
        <v>74</v>
      </c>
      <c r="AJ336" s="70" t="s">
        <v>74</v>
      </c>
      <c r="AK336" s="70" t="s">
        <v>74</v>
      </c>
      <c r="AL336" s="70" t="s">
        <v>74</v>
      </c>
      <c r="AM336" s="70" t="s">
        <v>74</v>
      </c>
      <c r="AN336" s="52"/>
      <c r="AO336" s="52"/>
      <c r="AP336" s="52"/>
      <c r="AQ336" s="52"/>
      <c r="AR336" s="52"/>
      <c r="AS336" s="52"/>
      <c r="AT336" s="70" t="s">
        <v>74</v>
      </c>
      <c r="AU336" s="52"/>
      <c r="AV336" s="52"/>
      <c r="AW336" s="52"/>
      <c r="AX336" s="68">
        <v>2552090.6</v>
      </c>
      <c r="AY336" s="158"/>
      <c r="AZ336" s="52"/>
      <c r="BA336" s="52">
        <f t="shared" si="39"/>
        <v>2552090.6</v>
      </c>
      <c r="BB336" s="52" t="s">
        <v>74</v>
      </c>
      <c r="BC336" s="52" t="s">
        <v>74</v>
      </c>
      <c r="BD336" s="52" t="s">
        <v>74</v>
      </c>
      <c r="BE336" s="55" t="s">
        <v>467</v>
      </c>
      <c r="BF336" s="52" t="s">
        <v>74</v>
      </c>
      <c r="BG336" s="52"/>
      <c r="BH336" s="52">
        <f t="shared" si="40"/>
        <v>2552090.6</v>
      </c>
      <c r="BI336" s="52">
        <f t="shared" si="41"/>
        <v>2552090.6</v>
      </c>
      <c r="BJ336" s="52">
        <f>Y336-AG336+AX336</f>
        <v>2552090.6</v>
      </c>
      <c r="BK336" s="56"/>
      <c r="BL336" s="63">
        <v>2552090.6</v>
      </c>
      <c r="BM336" s="47">
        <v>0</v>
      </c>
      <c r="BN336" s="9"/>
      <c r="BO336" s="9"/>
      <c r="BP336" s="9"/>
      <c r="BQ336" s="9"/>
      <c r="BR336" s="9"/>
      <c r="BS336" s="9"/>
      <c r="BT336" s="9"/>
      <c r="BU336" s="9"/>
      <c r="BV336" s="9"/>
      <c r="BW336" s="9"/>
    </row>
    <row r="337" spans="1:75" ht="153.75" hidden="1" outlineLevel="2" x14ac:dyDescent="0.25">
      <c r="A337" s="43" t="s">
        <v>346</v>
      </c>
      <c r="B337" s="110" t="s">
        <v>420</v>
      </c>
      <c r="C337" s="45">
        <v>2021</v>
      </c>
      <c r="D337" s="46" t="s">
        <v>88</v>
      </c>
      <c r="E337" s="47"/>
      <c r="F337" s="47"/>
      <c r="G337" s="47"/>
      <c r="H337" s="47"/>
      <c r="I337" s="47"/>
      <c r="J337" s="47"/>
      <c r="K337" s="47"/>
      <c r="L337" s="47"/>
      <c r="M337" s="47"/>
      <c r="N337" s="47"/>
      <c r="O337" s="47"/>
      <c r="P337" s="47"/>
      <c r="Q337" s="134"/>
      <c r="R337" s="47"/>
      <c r="S337" s="47"/>
      <c r="T337" s="47"/>
      <c r="U337" s="47"/>
      <c r="V337" s="47"/>
      <c r="W337" s="47">
        <v>0</v>
      </c>
      <c r="X337" s="47">
        <v>0</v>
      </c>
      <c r="Y337" s="48"/>
      <c r="Z337" s="149"/>
      <c r="AA337" s="147"/>
      <c r="AB337" s="159"/>
      <c r="AC337" s="159"/>
      <c r="AD337" s="148"/>
      <c r="AE337" s="50"/>
      <c r="AF337" s="50"/>
      <c r="AG337" s="49"/>
      <c r="AH337" s="70" t="s">
        <v>74</v>
      </c>
      <c r="AI337" s="70" t="s">
        <v>74</v>
      </c>
      <c r="AJ337" s="70" t="s">
        <v>74</v>
      </c>
      <c r="AK337" s="70" t="s">
        <v>74</v>
      </c>
      <c r="AL337" s="70" t="s">
        <v>74</v>
      </c>
      <c r="AM337" s="70" t="s">
        <v>74</v>
      </c>
      <c r="AN337" s="52"/>
      <c r="AO337" s="52"/>
      <c r="AP337" s="52"/>
      <c r="AQ337" s="52"/>
      <c r="AR337" s="52"/>
      <c r="AS337" s="52"/>
      <c r="AT337" s="70" t="s">
        <v>74</v>
      </c>
      <c r="AU337" s="52"/>
      <c r="AV337" s="52"/>
      <c r="AW337" s="52"/>
      <c r="AX337" s="68">
        <v>1363683.21</v>
      </c>
      <c r="AY337" s="158"/>
      <c r="AZ337" s="52"/>
      <c r="BA337" s="52">
        <f t="shared" si="39"/>
        <v>1363683.21</v>
      </c>
      <c r="BB337" s="52" t="s">
        <v>74</v>
      </c>
      <c r="BC337" s="52" t="s">
        <v>74</v>
      </c>
      <c r="BD337" s="52" t="s">
        <v>74</v>
      </c>
      <c r="BE337" s="55" t="s">
        <v>468</v>
      </c>
      <c r="BF337" s="52" t="s">
        <v>74</v>
      </c>
      <c r="BG337" s="52"/>
      <c r="BH337" s="52">
        <f t="shared" si="40"/>
        <v>1363683.21</v>
      </c>
      <c r="BI337" s="52">
        <f t="shared" si="41"/>
        <v>1363683.21</v>
      </c>
      <c r="BJ337" s="52">
        <f>Y337-AG337+AX337</f>
        <v>1363683.21</v>
      </c>
      <c r="BK337" s="56">
        <v>44440</v>
      </c>
      <c r="BL337" s="63">
        <v>1363683.21</v>
      </c>
      <c r="BM337" s="47">
        <v>0</v>
      </c>
      <c r="BN337" s="9"/>
      <c r="BO337" s="9"/>
      <c r="BP337" s="9"/>
      <c r="BQ337" s="9"/>
      <c r="BR337" s="9"/>
      <c r="BS337" s="9"/>
      <c r="BT337" s="9"/>
      <c r="BU337" s="9"/>
      <c r="BV337" s="9"/>
      <c r="BW337" s="9"/>
    </row>
    <row r="338" spans="1:75" hidden="1" outlineLevel="2" x14ac:dyDescent="0.25">
      <c r="A338" s="71" t="s">
        <v>346</v>
      </c>
      <c r="B338" s="116" t="s">
        <v>420</v>
      </c>
      <c r="C338" s="73">
        <v>2021</v>
      </c>
      <c r="D338" s="74" t="s">
        <v>89</v>
      </c>
      <c r="E338" s="75"/>
      <c r="F338" s="75"/>
      <c r="G338" s="75"/>
      <c r="H338" s="75"/>
      <c r="I338" s="75"/>
      <c r="J338" s="75"/>
      <c r="K338" s="75"/>
      <c r="L338" s="75"/>
      <c r="M338" s="75"/>
      <c r="N338" s="75"/>
      <c r="O338" s="75"/>
      <c r="P338" s="75"/>
      <c r="Q338" s="139"/>
      <c r="R338" s="75"/>
      <c r="S338" s="75"/>
      <c r="T338" s="75"/>
      <c r="U338" s="75"/>
      <c r="V338" s="75"/>
      <c r="W338" s="75">
        <v>0</v>
      </c>
      <c r="X338" s="75">
        <v>0</v>
      </c>
      <c r="Y338" s="76"/>
      <c r="Z338" s="150"/>
      <c r="AA338" s="151"/>
      <c r="AB338" s="160"/>
      <c r="AC338" s="160"/>
      <c r="AD338" s="153"/>
      <c r="AE338" s="79"/>
      <c r="AF338" s="79"/>
      <c r="AG338" s="80">
        <f>SUM(AA338:AF338)</f>
        <v>0</v>
      </c>
      <c r="AH338" s="81" t="s">
        <v>74</v>
      </c>
      <c r="AI338" s="81" t="s">
        <v>74</v>
      </c>
      <c r="AJ338" s="81" t="s">
        <v>74</v>
      </c>
      <c r="AK338" s="81" t="s">
        <v>74</v>
      </c>
      <c r="AL338" s="81" t="s">
        <v>74</v>
      </c>
      <c r="AM338" s="81" t="s">
        <v>74</v>
      </c>
      <c r="AN338" s="82"/>
      <c r="AO338" s="82"/>
      <c r="AP338" s="82"/>
      <c r="AQ338" s="82"/>
      <c r="AR338" s="82"/>
      <c r="AS338" s="82"/>
      <c r="AT338" s="81" t="s">
        <v>74</v>
      </c>
      <c r="AU338" s="82"/>
      <c r="AV338" s="82"/>
      <c r="AW338" s="82"/>
      <c r="AX338" s="119"/>
      <c r="AY338" s="161"/>
      <c r="AZ338" s="82"/>
      <c r="BA338" s="82">
        <f t="shared" si="39"/>
        <v>0</v>
      </c>
      <c r="BB338" s="82" t="s">
        <v>74</v>
      </c>
      <c r="BC338" s="82" t="s">
        <v>74</v>
      </c>
      <c r="BD338" s="82" t="s">
        <v>74</v>
      </c>
      <c r="BE338" s="82" t="s">
        <v>74</v>
      </c>
      <c r="BF338" s="82" t="s">
        <v>74</v>
      </c>
      <c r="BG338" s="82"/>
      <c r="BH338" s="82">
        <f t="shared" si="40"/>
        <v>0</v>
      </c>
      <c r="BI338" s="82">
        <f t="shared" si="41"/>
        <v>0</v>
      </c>
      <c r="BJ338" s="52">
        <f>Y338-AG338+AX338</f>
        <v>0</v>
      </c>
      <c r="BK338" s="56">
        <v>44470</v>
      </c>
      <c r="BL338" s="83"/>
      <c r="BM338" s="75">
        <v>0</v>
      </c>
      <c r="BN338" s="9"/>
      <c r="BO338" s="9"/>
      <c r="BP338" s="9"/>
      <c r="BQ338" s="9"/>
      <c r="BR338" s="9"/>
      <c r="BS338" s="9"/>
      <c r="BT338" s="9"/>
      <c r="BU338" s="9"/>
      <c r="BV338" s="9"/>
      <c r="BW338" s="9"/>
    </row>
    <row r="339" spans="1:75" hidden="1" outlineLevel="1" collapsed="1" x14ac:dyDescent="0.25">
      <c r="A339" s="84"/>
      <c r="B339" s="120" t="s">
        <v>469</v>
      </c>
      <c r="C339" s="86"/>
      <c r="D339" s="87"/>
      <c r="E339" s="88"/>
      <c r="F339" s="88"/>
      <c r="G339" s="88"/>
      <c r="H339" s="88"/>
      <c r="I339" s="88"/>
      <c r="J339" s="88"/>
      <c r="K339" s="88"/>
      <c r="L339" s="88"/>
      <c r="M339" s="88"/>
      <c r="N339" s="88"/>
      <c r="O339" s="88"/>
      <c r="P339" s="88"/>
      <c r="Q339" s="95"/>
      <c r="R339" s="88"/>
      <c r="S339" s="88"/>
      <c r="T339" s="88"/>
      <c r="U339" s="88"/>
      <c r="V339" s="88"/>
      <c r="W339" s="88"/>
      <c r="X339" s="88"/>
      <c r="Y339" s="89">
        <f t="shared" ref="Y339:AG339" si="42">SUBTOTAL(9,Y281:Y338)</f>
        <v>0</v>
      </c>
      <c r="Z339" s="154">
        <f t="shared" si="42"/>
        <v>0</v>
      </c>
      <c r="AA339" s="154">
        <f t="shared" si="42"/>
        <v>0</v>
      </c>
      <c r="AB339" s="162">
        <f t="shared" si="42"/>
        <v>0</v>
      </c>
      <c r="AC339" s="162">
        <f t="shared" si="42"/>
        <v>0</v>
      </c>
      <c r="AD339" s="156">
        <f t="shared" si="42"/>
        <v>0</v>
      </c>
      <c r="AE339" s="89">
        <f t="shared" si="42"/>
        <v>0</v>
      </c>
      <c r="AF339" s="89">
        <f t="shared" si="42"/>
        <v>0</v>
      </c>
      <c r="AG339" s="89">
        <f t="shared" si="42"/>
        <v>0</v>
      </c>
      <c r="AH339" s="91"/>
      <c r="AI339" s="91"/>
      <c r="AJ339" s="91"/>
      <c r="AK339" s="91"/>
      <c r="AL339" s="91"/>
      <c r="AM339" s="91"/>
      <c r="AN339" s="92">
        <f t="shared" ref="AN339:AS339" si="43">SUBTOTAL(9,AN281:AN338)</f>
        <v>0</v>
      </c>
      <c r="AO339" s="92">
        <f t="shared" si="43"/>
        <v>0</v>
      </c>
      <c r="AP339" s="92">
        <f t="shared" si="43"/>
        <v>0</v>
      </c>
      <c r="AQ339" s="92">
        <f t="shared" si="43"/>
        <v>0</v>
      </c>
      <c r="AR339" s="92">
        <f t="shared" si="43"/>
        <v>0</v>
      </c>
      <c r="AS339" s="92">
        <f t="shared" si="43"/>
        <v>0</v>
      </c>
      <c r="AT339" s="91"/>
      <c r="AU339" s="92">
        <f t="shared" ref="AU339:BA339" si="44">SUBTOTAL(9,AU281:AU338)</f>
        <v>0</v>
      </c>
      <c r="AV339" s="92">
        <f t="shared" si="44"/>
        <v>0</v>
      </c>
      <c r="AW339" s="92">
        <f t="shared" si="44"/>
        <v>0</v>
      </c>
      <c r="AX339" s="122">
        <f t="shared" si="44"/>
        <v>0</v>
      </c>
      <c r="AY339" s="163">
        <f t="shared" si="44"/>
        <v>0</v>
      </c>
      <c r="AZ339" s="92">
        <f t="shared" si="44"/>
        <v>0</v>
      </c>
      <c r="BA339" s="92">
        <f t="shared" si="44"/>
        <v>0</v>
      </c>
      <c r="BB339" s="92"/>
      <c r="BC339" s="92"/>
      <c r="BD339" s="92"/>
      <c r="BE339" s="92"/>
      <c r="BF339" s="92"/>
      <c r="BG339" s="92"/>
      <c r="BH339" s="92">
        <f>SUBTOTAL(9,BH281:BH338)</f>
        <v>0</v>
      </c>
      <c r="BI339" s="92">
        <f>SUBTOTAL(9,BI281:BI338)</f>
        <v>0</v>
      </c>
      <c r="BJ339" s="93"/>
      <c r="BK339" s="94"/>
      <c r="BL339" s="95">
        <f>SUBTOTAL(9,BL281:BL338)</f>
        <v>0</v>
      </c>
      <c r="BM339" s="88">
        <f>SUBTOTAL(9,BM281:BM338)</f>
        <v>0</v>
      </c>
      <c r="BN339" s="9"/>
      <c r="BO339" s="9"/>
      <c r="BP339" s="9"/>
      <c r="BQ339" s="9"/>
      <c r="BR339" s="9"/>
      <c r="BS339" s="9"/>
      <c r="BT339" s="9"/>
      <c r="BU339" s="9"/>
      <c r="BV339" s="9"/>
      <c r="BW339" s="9"/>
    </row>
    <row r="340" spans="1:75" ht="409.6" hidden="1" outlineLevel="2" x14ac:dyDescent="0.25">
      <c r="A340" s="96" t="s">
        <v>470</v>
      </c>
      <c r="B340" s="97" t="s">
        <v>471</v>
      </c>
      <c r="C340" s="98">
        <v>2018</v>
      </c>
      <c r="D340" s="99" t="s">
        <v>90</v>
      </c>
      <c r="E340" s="100">
        <v>305995.42</v>
      </c>
      <c r="F340" s="100">
        <v>0</v>
      </c>
      <c r="G340" s="100">
        <v>0</v>
      </c>
      <c r="H340" s="100">
        <v>0</v>
      </c>
      <c r="I340" s="100">
        <v>0</v>
      </c>
      <c r="J340" s="100">
        <v>0</v>
      </c>
      <c r="K340" s="100">
        <v>0</v>
      </c>
      <c r="L340" s="100">
        <v>0</v>
      </c>
      <c r="M340" s="100">
        <v>0</v>
      </c>
      <c r="N340" s="100">
        <v>0</v>
      </c>
      <c r="O340" s="100">
        <v>0</v>
      </c>
      <c r="P340" s="100">
        <v>0</v>
      </c>
      <c r="Q340" s="100">
        <v>0</v>
      </c>
      <c r="R340" s="100">
        <v>0</v>
      </c>
      <c r="S340" s="100">
        <v>0</v>
      </c>
      <c r="T340" s="100">
        <v>0</v>
      </c>
      <c r="U340" s="100">
        <v>0</v>
      </c>
      <c r="V340" s="100">
        <v>0</v>
      </c>
      <c r="W340" s="100">
        <v>0</v>
      </c>
      <c r="X340" s="100">
        <v>0</v>
      </c>
      <c r="Y340" s="101">
        <v>305995.42</v>
      </c>
      <c r="Z340" s="102">
        <v>0</v>
      </c>
      <c r="AA340" s="103">
        <v>0</v>
      </c>
      <c r="AB340" s="103">
        <v>0</v>
      </c>
      <c r="AC340" s="103">
        <v>0</v>
      </c>
      <c r="AD340" s="103">
        <v>0</v>
      </c>
      <c r="AE340" s="103">
        <v>0</v>
      </c>
      <c r="AF340" s="103">
        <v>0</v>
      </c>
      <c r="AG340" s="102">
        <v>0</v>
      </c>
      <c r="AH340" s="104" t="s">
        <v>74</v>
      </c>
      <c r="AI340" s="104" t="s">
        <v>74</v>
      </c>
      <c r="AJ340" s="104" t="s">
        <v>74</v>
      </c>
      <c r="AK340" s="104" t="s">
        <v>74</v>
      </c>
      <c r="AL340" s="104" t="s">
        <v>74</v>
      </c>
      <c r="AM340" s="104" t="s">
        <v>74</v>
      </c>
      <c r="AN340" s="105">
        <v>0</v>
      </c>
      <c r="AO340" s="105">
        <v>0</v>
      </c>
      <c r="AP340" s="105">
        <v>0</v>
      </c>
      <c r="AQ340" s="105">
        <v>0</v>
      </c>
      <c r="AR340" s="105">
        <v>0</v>
      </c>
      <c r="AS340" s="105">
        <v>0</v>
      </c>
      <c r="AT340" s="106" t="s">
        <v>74</v>
      </c>
      <c r="AU340" s="105">
        <v>0</v>
      </c>
      <c r="AV340" s="164">
        <f>956220.86+9000+23686.51</f>
        <v>988907.37</v>
      </c>
      <c r="AW340" s="105">
        <v>0</v>
      </c>
      <c r="AX340" s="105"/>
      <c r="AY340" s="105"/>
      <c r="AZ340" s="105">
        <v>0</v>
      </c>
      <c r="BA340" s="105">
        <f>AU340+AV340+AW340+AX340+AY340+AZ340</f>
        <v>988907.37</v>
      </c>
      <c r="BB340" s="107" t="s">
        <v>74</v>
      </c>
      <c r="BC340" s="106" t="s">
        <v>472</v>
      </c>
      <c r="BD340" s="108" t="s">
        <v>74</v>
      </c>
      <c r="BE340" s="108" t="s">
        <v>74</v>
      </c>
      <c r="BF340" s="108" t="s">
        <v>74</v>
      </c>
      <c r="BG340" s="108" t="s">
        <v>74</v>
      </c>
      <c r="BH340" s="105">
        <f>AS340+BA340</f>
        <v>988907.37</v>
      </c>
      <c r="BI340" s="105">
        <f>Y340-AG340+BH340</f>
        <v>1294902.79</v>
      </c>
      <c r="BJ340" s="52">
        <f>BI340-BH340</f>
        <v>305995.42000000004</v>
      </c>
      <c r="BK340" s="56">
        <v>43405</v>
      </c>
      <c r="BL340" s="109">
        <f>305995.42+956220.86+9000+23686.51</f>
        <v>1294902.79</v>
      </c>
      <c r="BM340" s="100">
        <v>0</v>
      </c>
      <c r="BN340" s="9"/>
      <c r="BO340" s="9"/>
      <c r="BP340" s="9"/>
      <c r="BQ340" s="9"/>
      <c r="BR340" s="9"/>
      <c r="BS340" s="9"/>
      <c r="BT340" s="9"/>
      <c r="BU340" s="9"/>
      <c r="BV340" s="9"/>
      <c r="BW340" s="9"/>
    </row>
    <row r="341" spans="1:75" ht="97.5" hidden="1" customHeight="1" outlineLevel="2" x14ac:dyDescent="0.25">
      <c r="A341" s="43" t="s">
        <v>470</v>
      </c>
      <c r="B341" s="110" t="s">
        <v>471</v>
      </c>
      <c r="C341" s="45">
        <v>2018</v>
      </c>
      <c r="D341" s="46" t="s">
        <v>93</v>
      </c>
      <c r="E341" s="47">
        <v>2294965.6</v>
      </c>
      <c r="F341" s="47">
        <v>0</v>
      </c>
      <c r="G341" s="47">
        <v>0</v>
      </c>
      <c r="H341" s="47">
        <v>0</v>
      </c>
      <c r="I341" s="47">
        <v>0</v>
      </c>
      <c r="J341" s="47">
        <v>0</v>
      </c>
      <c r="K341" s="47">
        <v>0</v>
      </c>
      <c r="L341" s="47">
        <v>0</v>
      </c>
      <c r="M341" s="47">
        <v>0</v>
      </c>
      <c r="N341" s="47">
        <v>0</v>
      </c>
      <c r="O341" s="47">
        <v>0</v>
      </c>
      <c r="P341" s="47">
        <v>0</v>
      </c>
      <c r="Q341" s="47">
        <v>0</v>
      </c>
      <c r="R341" s="47">
        <v>0</v>
      </c>
      <c r="S341" s="47">
        <v>0</v>
      </c>
      <c r="T341" s="47">
        <v>0</v>
      </c>
      <c r="U341" s="47">
        <v>0</v>
      </c>
      <c r="V341" s="47">
        <v>0</v>
      </c>
      <c r="W341" s="47">
        <v>0</v>
      </c>
      <c r="X341" s="47">
        <v>0</v>
      </c>
      <c r="Y341" s="48">
        <v>2294965.6</v>
      </c>
      <c r="Z341" s="58">
        <v>1774.82</v>
      </c>
      <c r="AA341" s="50">
        <v>1774.82</v>
      </c>
      <c r="AB341" s="50">
        <v>0</v>
      </c>
      <c r="AC341" s="50">
        <v>0</v>
      </c>
      <c r="AD341" s="50">
        <v>4138.22</v>
      </c>
      <c r="AE341" s="50">
        <v>659583.19999999995</v>
      </c>
      <c r="AF341" s="50">
        <v>0</v>
      </c>
      <c r="AG341" s="49">
        <v>665496.24</v>
      </c>
      <c r="AH341" s="51" t="s">
        <v>104</v>
      </c>
      <c r="AI341" s="51" t="s">
        <v>74</v>
      </c>
      <c r="AJ341" s="51" t="s">
        <v>74</v>
      </c>
      <c r="AK341" s="51" t="s">
        <v>128</v>
      </c>
      <c r="AL341" s="51" t="s">
        <v>473</v>
      </c>
      <c r="AM341" s="51" t="s">
        <v>74</v>
      </c>
      <c r="AN341" s="52">
        <v>0</v>
      </c>
      <c r="AO341" s="52">
        <v>0</v>
      </c>
      <c r="AP341" s="52">
        <v>0</v>
      </c>
      <c r="AQ341" s="52">
        <v>0</v>
      </c>
      <c r="AR341" s="52">
        <v>0</v>
      </c>
      <c r="AS341" s="52">
        <v>0</v>
      </c>
      <c r="AT341" s="53" t="s">
        <v>74</v>
      </c>
      <c r="AU341" s="52">
        <v>0</v>
      </c>
      <c r="AV341" s="52"/>
      <c r="AW341" s="52">
        <v>0</v>
      </c>
      <c r="AX341" s="52"/>
      <c r="AY341" s="52"/>
      <c r="AZ341" s="52">
        <v>0</v>
      </c>
      <c r="BA341" s="52">
        <v>0</v>
      </c>
      <c r="BB341" s="54" t="s">
        <v>74</v>
      </c>
      <c r="BC341" s="54" t="s">
        <v>74</v>
      </c>
      <c r="BD341" s="55" t="s">
        <v>74</v>
      </c>
      <c r="BE341" s="55" t="s">
        <v>74</v>
      </c>
      <c r="BF341" s="55" t="s">
        <v>74</v>
      </c>
      <c r="BG341" s="55" t="s">
        <v>74</v>
      </c>
      <c r="BH341" s="52">
        <v>0</v>
      </c>
      <c r="BI341" s="52">
        <v>1629469.36</v>
      </c>
      <c r="BJ341" s="52">
        <v>1629469.36</v>
      </c>
      <c r="BK341" s="56">
        <v>43435</v>
      </c>
      <c r="BL341" s="57">
        <v>1629469.36</v>
      </c>
      <c r="BM341" s="47">
        <v>0</v>
      </c>
      <c r="BN341" s="9"/>
      <c r="BO341" s="9"/>
      <c r="BP341" s="9"/>
      <c r="BQ341" s="9"/>
      <c r="BR341" s="9"/>
      <c r="BS341" s="9"/>
      <c r="BT341" s="9"/>
      <c r="BU341" s="9"/>
      <c r="BV341" s="9"/>
      <c r="BW341" s="9"/>
    </row>
    <row r="342" spans="1:75" ht="51.75" hidden="1" outlineLevel="2" x14ac:dyDescent="0.25">
      <c r="A342" s="43" t="s">
        <v>470</v>
      </c>
      <c r="B342" s="110" t="s">
        <v>471</v>
      </c>
      <c r="C342" s="45">
        <v>2019</v>
      </c>
      <c r="D342" s="46" t="s">
        <v>73</v>
      </c>
      <c r="E342" s="47">
        <v>2294965.6</v>
      </c>
      <c r="F342" s="47">
        <v>0</v>
      </c>
      <c r="G342" s="47">
        <v>0</v>
      </c>
      <c r="H342" s="47">
        <v>0</v>
      </c>
      <c r="I342" s="47">
        <v>0</v>
      </c>
      <c r="J342" s="47">
        <v>0</v>
      </c>
      <c r="K342" s="47">
        <v>0</v>
      </c>
      <c r="L342" s="47">
        <v>0</v>
      </c>
      <c r="M342" s="47">
        <v>0</v>
      </c>
      <c r="N342" s="47">
        <v>0</v>
      </c>
      <c r="O342" s="47">
        <v>0</v>
      </c>
      <c r="P342" s="47">
        <v>0</v>
      </c>
      <c r="Q342" s="47">
        <v>0</v>
      </c>
      <c r="R342" s="47">
        <v>0</v>
      </c>
      <c r="S342" s="47">
        <v>0</v>
      </c>
      <c r="T342" s="47">
        <v>0</v>
      </c>
      <c r="U342" s="47">
        <v>0</v>
      </c>
      <c r="V342" s="47">
        <v>0</v>
      </c>
      <c r="W342" s="47">
        <v>0</v>
      </c>
      <c r="X342" s="47">
        <v>0</v>
      </c>
      <c r="Y342" s="48">
        <v>2294965.6</v>
      </c>
      <c r="Z342" s="58">
        <v>13080.94</v>
      </c>
      <c r="AA342" s="50">
        <v>13080.94</v>
      </c>
      <c r="AB342" s="50">
        <v>0</v>
      </c>
      <c r="AC342" s="50">
        <v>0</v>
      </c>
      <c r="AD342" s="50">
        <v>36739.019999999997</v>
      </c>
      <c r="AE342" s="50">
        <v>0</v>
      </c>
      <c r="AF342" s="50">
        <v>0</v>
      </c>
      <c r="AG342" s="49">
        <v>49819.96</v>
      </c>
      <c r="AH342" s="51" t="s">
        <v>104</v>
      </c>
      <c r="AI342" s="51" t="s">
        <v>74</v>
      </c>
      <c r="AJ342" s="51" t="s">
        <v>74</v>
      </c>
      <c r="AK342" s="51" t="s">
        <v>474</v>
      </c>
      <c r="AL342" s="51" t="s">
        <v>74</v>
      </c>
      <c r="AM342" s="51" t="s">
        <v>74</v>
      </c>
      <c r="AN342" s="52">
        <v>0</v>
      </c>
      <c r="AO342" s="52">
        <v>0</v>
      </c>
      <c r="AP342" s="52">
        <v>0</v>
      </c>
      <c r="AQ342" s="52">
        <v>0</v>
      </c>
      <c r="AR342" s="52">
        <v>0</v>
      </c>
      <c r="AS342" s="52">
        <v>0</v>
      </c>
      <c r="AT342" s="53" t="s">
        <v>74</v>
      </c>
      <c r="AU342" s="52">
        <v>0</v>
      </c>
      <c r="AV342" s="52" t="s">
        <v>74</v>
      </c>
      <c r="AW342" s="52">
        <v>0</v>
      </c>
      <c r="AX342" s="52"/>
      <c r="AY342" s="52"/>
      <c r="AZ342" s="52">
        <v>0</v>
      </c>
      <c r="BA342" s="52">
        <v>0</v>
      </c>
      <c r="BB342" s="54" t="s">
        <v>74</v>
      </c>
      <c r="BC342" s="53"/>
      <c r="BD342" s="55" t="s">
        <v>74</v>
      </c>
      <c r="BE342" s="55" t="s">
        <v>74</v>
      </c>
      <c r="BF342" s="55" t="s">
        <v>74</v>
      </c>
      <c r="BG342" s="55" t="s">
        <v>74</v>
      </c>
      <c r="BH342" s="52">
        <v>0</v>
      </c>
      <c r="BI342" s="52">
        <v>2245145.64</v>
      </c>
      <c r="BJ342" s="52">
        <v>2245145.64</v>
      </c>
      <c r="BK342" s="56">
        <v>43466</v>
      </c>
      <c r="BL342" s="57">
        <v>2245145.64</v>
      </c>
      <c r="BM342" s="47">
        <v>0</v>
      </c>
      <c r="BN342" s="9"/>
      <c r="BO342" s="9"/>
      <c r="BP342" s="9"/>
      <c r="BQ342" s="9"/>
      <c r="BR342" s="9"/>
      <c r="BS342" s="9"/>
      <c r="BT342" s="9"/>
      <c r="BU342" s="9"/>
      <c r="BV342" s="9"/>
      <c r="BW342" s="9"/>
    </row>
    <row r="343" spans="1:75" ht="48" hidden="1" customHeight="1" outlineLevel="2" x14ac:dyDescent="0.25">
      <c r="A343" s="43" t="s">
        <v>470</v>
      </c>
      <c r="B343" s="110" t="s">
        <v>471</v>
      </c>
      <c r="C343" s="45">
        <v>2019</v>
      </c>
      <c r="D343" s="46" t="s">
        <v>75</v>
      </c>
      <c r="E343" s="47">
        <v>2294965.6</v>
      </c>
      <c r="F343" s="47">
        <v>0</v>
      </c>
      <c r="G343" s="47">
        <v>0</v>
      </c>
      <c r="H343" s="47">
        <v>0</v>
      </c>
      <c r="I343" s="47">
        <v>0</v>
      </c>
      <c r="J343" s="47">
        <v>0</v>
      </c>
      <c r="K343" s="47">
        <v>0</v>
      </c>
      <c r="L343" s="47">
        <v>0</v>
      </c>
      <c r="M343" s="47">
        <v>0</v>
      </c>
      <c r="N343" s="47">
        <v>0</v>
      </c>
      <c r="O343" s="47">
        <v>0</v>
      </c>
      <c r="P343" s="47">
        <v>0</v>
      </c>
      <c r="Q343" s="47">
        <v>0</v>
      </c>
      <c r="R343" s="47">
        <v>0</v>
      </c>
      <c r="S343" s="47">
        <v>0</v>
      </c>
      <c r="T343" s="47">
        <v>0</v>
      </c>
      <c r="U343" s="47">
        <v>0</v>
      </c>
      <c r="V343" s="47">
        <v>0</v>
      </c>
      <c r="W343" s="47">
        <v>0</v>
      </c>
      <c r="X343" s="47">
        <v>0</v>
      </c>
      <c r="Y343" s="48">
        <v>2294965.6</v>
      </c>
      <c r="Z343" s="58">
        <v>11948.8</v>
      </c>
      <c r="AA343" s="50">
        <v>8136.58</v>
      </c>
      <c r="AB343" s="50">
        <v>0</v>
      </c>
      <c r="AC343" s="50">
        <v>0</v>
      </c>
      <c r="AD343" s="50">
        <v>0</v>
      </c>
      <c r="AE343" s="50">
        <v>0</v>
      </c>
      <c r="AF343" s="50">
        <v>0</v>
      </c>
      <c r="AG343" s="49">
        <v>8136.58</v>
      </c>
      <c r="AH343" s="51" t="s">
        <v>475</v>
      </c>
      <c r="AI343" s="51" t="s">
        <v>74</v>
      </c>
      <c r="AJ343" s="51" t="s">
        <v>74</v>
      </c>
      <c r="AK343" s="51" t="s">
        <v>74</v>
      </c>
      <c r="AL343" s="51" t="s">
        <v>74</v>
      </c>
      <c r="AM343" s="51" t="s">
        <v>74</v>
      </c>
      <c r="AN343" s="52">
        <v>0</v>
      </c>
      <c r="AO343" s="52">
        <v>0</v>
      </c>
      <c r="AP343" s="52">
        <v>0</v>
      </c>
      <c r="AQ343" s="52">
        <v>0</v>
      </c>
      <c r="AR343" s="52">
        <v>0</v>
      </c>
      <c r="AS343" s="52">
        <v>0</v>
      </c>
      <c r="AT343" s="53" t="s">
        <v>74</v>
      </c>
      <c r="AU343" s="52">
        <v>0</v>
      </c>
      <c r="AV343" s="52"/>
      <c r="AW343" s="52">
        <v>0</v>
      </c>
      <c r="AX343" s="52"/>
      <c r="AY343" s="52"/>
      <c r="AZ343" s="52">
        <v>0</v>
      </c>
      <c r="BA343" s="52">
        <v>0</v>
      </c>
      <c r="BB343" s="54" t="s">
        <v>74</v>
      </c>
      <c r="BC343" s="54" t="s">
        <v>74</v>
      </c>
      <c r="BD343" s="55" t="s">
        <v>74</v>
      </c>
      <c r="BE343" s="55" t="s">
        <v>74</v>
      </c>
      <c r="BF343" s="55" t="s">
        <v>74</v>
      </c>
      <c r="BG343" s="55" t="s">
        <v>74</v>
      </c>
      <c r="BH343" s="52">
        <v>0</v>
      </c>
      <c r="BI343" s="52">
        <v>2286829.02</v>
      </c>
      <c r="BJ343" s="52">
        <v>2286829.02</v>
      </c>
      <c r="BK343" s="56">
        <v>43497</v>
      </c>
      <c r="BL343" s="57">
        <v>2286829.02</v>
      </c>
      <c r="BM343" s="47">
        <v>0</v>
      </c>
      <c r="BN343" s="9"/>
      <c r="BO343" s="9"/>
      <c r="BP343" s="9"/>
      <c r="BQ343" s="9"/>
      <c r="BR343" s="9"/>
      <c r="BS343" s="9"/>
      <c r="BT343" s="9"/>
      <c r="BU343" s="9"/>
      <c r="BV343" s="9"/>
      <c r="BW343" s="9"/>
    </row>
    <row r="344" spans="1:75" ht="48" hidden="1" customHeight="1" outlineLevel="2" x14ac:dyDescent="0.25">
      <c r="A344" s="43" t="s">
        <v>470</v>
      </c>
      <c r="B344" s="110" t="s">
        <v>471</v>
      </c>
      <c r="C344" s="45">
        <v>2019</v>
      </c>
      <c r="D344" s="46" t="s">
        <v>77</v>
      </c>
      <c r="E344" s="47">
        <v>2294965.6</v>
      </c>
      <c r="F344" s="47">
        <v>0</v>
      </c>
      <c r="G344" s="47">
        <v>0</v>
      </c>
      <c r="H344" s="47">
        <v>0</v>
      </c>
      <c r="I344" s="47">
        <v>0</v>
      </c>
      <c r="J344" s="47">
        <v>0</v>
      </c>
      <c r="K344" s="47">
        <v>0</v>
      </c>
      <c r="L344" s="47">
        <v>0</v>
      </c>
      <c r="M344" s="47">
        <v>0</v>
      </c>
      <c r="N344" s="47">
        <v>0</v>
      </c>
      <c r="O344" s="47">
        <v>0</v>
      </c>
      <c r="P344" s="47">
        <v>0</v>
      </c>
      <c r="Q344" s="47">
        <v>0</v>
      </c>
      <c r="R344" s="47">
        <v>0</v>
      </c>
      <c r="S344" s="47">
        <v>0</v>
      </c>
      <c r="T344" s="47">
        <v>0</v>
      </c>
      <c r="U344" s="47">
        <v>0</v>
      </c>
      <c r="V344" s="47">
        <v>0</v>
      </c>
      <c r="W344" s="47">
        <v>0</v>
      </c>
      <c r="X344" s="47">
        <v>0</v>
      </c>
      <c r="Y344" s="48">
        <v>2294965.6</v>
      </c>
      <c r="Z344" s="58">
        <v>14033.64</v>
      </c>
      <c r="AA344" s="50">
        <v>8136.58</v>
      </c>
      <c r="AB344" s="50">
        <v>3812.22</v>
      </c>
      <c r="AC344" s="50">
        <v>0</v>
      </c>
      <c r="AD344" s="50">
        <v>37736.699999999997</v>
      </c>
      <c r="AE344" s="50">
        <v>0</v>
      </c>
      <c r="AF344" s="50">
        <v>0</v>
      </c>
      <c r="AG344" s="49">
        <v>49685.5</v>
      </c>
      <c r="AH344" s="51" t="s">
        <v>476</v>
      </c>
      <c r="AI344" s="51" t="s">
        <v>477</v>
      </c>
      <c r="AJ344" s="51" t="s">
        <v>74</v>
      </c>
      <c r="AK344" s="51" t="s">
        <v>134</v>
      </c>
      <c r="AL344" s="51" t="s">
        <v>74</v>
      </c>
      <c r="AM344" s="51" t="s">
        <v>74</v>
      </c>
      <c r="AN344" s="52">
        <v>0</v>
      </c>
      <c r="AO344" s="52">
        <v>0</v>
      </c>
      <c r="AP344" s="52">
        <v>0</v>
      </c>
      <c r="AQ344" s="52">
        <v>0</v>
      </c>
      <c r="AR344" s="52">
        <v>0</v>
      </c>
      <c r="AS344" s="52">
        <v>0</v>
      </c>
      <c r="AT344" s="53" t="s">
        <v>74</v>
      </c>
      <c r="AU344" s="52">
        <v>0</v>
      </c>
      <c r="AV344" s="52"/>
      <c r="AW344" s="52">
        <v>0</v>
      </c>
      <c r="AX344" s="52"/>
      <c r="AY344" s="52"/>
      <c r="AZ344" s="52">
        <v>0</v>
      </c>
      <c r="BA344" s="52">
        <v>0</v>
      </c>
      <c r="BB344" s="54" t="s">
        <v>74</v>
      </c>
      <c r="BC344" s="53"/>
      <c r="BD344" s="55" t="s">
        <v>74</v>
      </c>
      <c r="BE344" s="55" t="s">
        <v>74</v>
      </c>
      <c r="BF344" s="55" t="s">
        <v>74</v>
      </c>
      <c r="BG344" s="55" t="s">
        <v>74</v>
      </c>
      <c r="BH344" s="52">
        <v>0</v>
      </c>
      <c r="BI344" s="52">
        <v>2245280.1</v>
      </c>
      <c r="BJ344" s="52">
        <v>2245280.1</v>
      </c>
      <c r="BK344" s="56">
        <v>43525</v>
      </c>
      <c r="BL344" s="57">
        <v>2245280.1</v>
      </c>
      <c r="BM344" s="47">
        <v>0</v>
      </c>
      <c r="BN344" s="9"/>
      <c r="BO344" s="9"/>
      <c r="BP344" s="9"/>
      <c r="BQ344" s="9"/>
      <c r="BR344" s="9"/>
      <c r="BS344" s="9"/>
      <c r="BT344" s="9"/>
      <c r="BU344" s="9"/>
      <c r="BV344" s="9"/>
      <c r="BW344" s="9"/>
    </row>
    <row r="345" spans="1:75" ht="48" hidden="1" customHeight="1" outlineLevel="2" x14ac:dyDescent="0.25">
      <c r="A345" s="43" t="s">
        <v>470</v>
      </c>
      <c r="B345" s="110" t="s">
        <v>471</v>
      </c>
      <c r="C345" s="45">
        <v>2019</v>
      </c>
      <c r="D345" s="46" t="s">
        <v>79</v>
      </c>
      <c r="E345" s="47">
        <v>2294965.6</v>
      </c>
      <c r="F345" s="47">
        <v>0</v>
      </c>
      <c r="G345" s="47">
        <v>0</v>
      </c>
      <c r="H345" s="47">
        <v>0</v>
      </c>
      <c r="I345" s="47">
        <v>0</v>
      </c>
      <c r="J345" s="47">
        <v>0</v>
      </c>
      <c r="K345" s="47">
        <v>0</v>
      </c>
      <c r="L345" s="47">
        <v>0</v>
      </c>
      <c r="M345" s="47">
        <v>0</v>
      </c>
      <c r="N345" s="47">
        <v>0</v>
      </c>
      <c r="O345" s="47">
        <v>0</v>
      </c>
      <c r="P345" s="47">
        <v>0</v>
      </c>
      <c r="Q345" s="47">
        <v>0</v>
      </c>
      <c r="R345" s="47">
        <v>0</v>
      </c>
      <c r="S345" s="47">
        <v>0</v>
      </c>
      <c r="T345" s="47">
        <v>0</v>
      </c>
      <c r="U345" s="47">
        <v>0</v>
      </c>
      <c r="V345" s="47">
        <v>0</v>
      </c>
      <c r="W345" s="47">
        <v>0</v>
      </c>
      <c r="X345" s="47">
        <v>0</v>
      </c>
      <c r="Y345" s="48">
        <v>2294965.6</v>
      </c>
      <c r="Z345" s="58">
        <v>13933.25</v>
      </c>
      <c r="AA345" s="50">
        <v>8136.58</v>
      </c>
      <c r="AB345" s="50">
        <v>5897.06</v>
      </c>
      <c r="AC345" s="50">
        <v>0</v>
      </c>
      <c r="AD345" s="50">
        <v>40299.14</v>
      </c>
      <c r="AE345" s="50">
        <v>0</v>
      </c>
      <c r="AF345" s="50">
        <v>0</v>
      </c>
      <c r="AG345" s="49">
        <v>54332.78</v>
      </c>
      <c r="AH345" s="51" t="s">
        <v>478</v>
      </c>
      <c r="AI345" s="51" t="s">
        <v>479</v>
      </c>
      <c r="AJ345" s="51" t="s">
        <v>74</v>
      </c>
      <c r="AK345" s="51" t="s">
        <v>259</v>
      </c>
      <c r="AL345" s="51" t="s">
        <v>74</v>
      </c>
      <c r="AM345" s="51" t="s">
        <v>74</v>
      </c>
      <c r="AN345" s="52">
        <v>0</v>
      </c>
      <c r="AO345" s="52">
        <v>0</v>
      </c>
      <c r="AP345" s="52">
        <v>0</v>
      </c>
      <c r="AQ345" s="52">
        <v>0</v>
      </c>
      <c r="AR345" s="52">
        <v>0</v>
      </c>
      <c r="AS345" s="52">
        <v>0</v>
      </c>
      <c r="AT345" s="53" t="s">
        <v>74</v>
      </c>
      <c r="AU345" s="52">
        <v>0</v>
      </c>
      <c r="AV345" s="52"/>
      <c r="AW345" s="52">
        <v>0</v>
      </c>
      <c r="AX345" s="52"/>
      <c r="AY345" s="52"/>
      <c r="AZ345" s="52">
        <v>0</v>
      </c>
      <c r="BA345" s="52">
        <v>0</v>
      </c>
      <c r="BB345" s="54" t="s">
        <v>74</v>
      </c>
      <c r="BC345" s="53" t="s">
        <v>74</v>
      </c>
      <c r="BD345" s="55" t="s">
        <v>74</v>
      </c>
      <c r="BE345" s="55" t="s">
        <v>74</v>
      </c>
      <c r="BF345" s="55" t="s">
        <v>74</v>
      </c>
      <c r="BG345" s="55" t="s">
        <v>74</v>
      </c>
      <c r="BH345" s="52">
        <v>0</v>
      </c>
      <c r="BI345" s="52">
        <v>2240632.8199999998</v>
      </c>
      <c r="BJ345" s="52">
        <v>2240632.8199999998</v>
      </c>
      <c r="BK345" s="56">
        <v>43556</v>
      </c>
      <c r="BL345" s="57">
        <v>2240632.8199999998</v>
      </c>
      <c r="BM345" s="47">
        <v>0</v>
      </c>
      <c r="BN345" s="9"/>
      <c r="BO345" s="9"/>
      <c r="BP345" s="9"/>
      <c r="BQ345" s="9"/>
      <c r="BR345" s="9"/>
      <c r="BS345" s="9"/>
      <c r="BT345" s="9"/>
      <c r="BU345" s="9"/>
      <c r="BV345" s="9"/>
      <c r="BW345" s="9"/>
    </row>
    <row r="346" spans="1:75" ht="77.25" hidden="1" outlineLevel="2" x14ac:dyDescent="0.25">
      <c r="A346" s="43" t="s">
        <v>470</v>
      </c>
      <c r="B346" s="110" t="s">
        <v>471</v>
      </c>
      <c r="C346" s="45">
        <v>2019</v>
      </c>
      <c r="D346" s="46" t="s">
        <v>81</v>
      </c>
      <c r="E346" s="47">
        <v>1988970.18</v>
      </c>
      <c r="F346" s="47">
        <v>273592.52</v>
      </c>
      <c r="G346" s="47">
        <v>0</v>
      </c>
      <c r="H346" s="47">
        <v>0</v>
      </c>
      <c r="I346" s="47">
        <v>0</v>
      </c>
      <c r="J346" s="47">
        <v>0</v>
      </c>
      <c r="K346" s="47">
        <v>0</v>
      </c>
      <c r="L346" s="47">
        <v>0</v>
      </c>
      <c r="M346" s="47">
        <v>0</v>
      </c>
      <c r="N346" s="47">
        <v>0</v>
      </c>
      <c r="O346" s="47">
        <v>0</v>
      </c>
      <c r="P346" s="47">
        <v>0</v>
      </c>
      <c r="Q346" s="47">
        <v>0</v>
      </c>
      <c r="R346" s="47">
        <v>0</v>
      </c>
      <c r="S346" s="47">
        <v>0</v>
      </c>
      <c r="T346" s="47">
        <v>0</v>
      </c>
      <c r="U346" s="47">
        <v>0</v>
      </c>
      <c r="V346" s="47">
        <v>0</v>
      </c>
      <c r="W346" s="47">
        <v>0</v>
      </c>
      <c r="X346" s="47">
        <v>0</v>
      </c>
      <c r="Y346" s="48">
        <v>2262562.7000000002</v>
      </c>
      <c r="Z346" s="58">
        <v>13123.12</v>
      </c>
      <c r="AA346" s="50">
        <v>13123.12</v>
      </c>
      <c r="AB346" s="50">
        <v>5796.67</v>
      </c>
      <c r="AC346" s="50">
        <v>0</v>
      </c>
      <c r="AD346" s="50">
        <v>77608.399999999994</v>
      </c>
      <c r="AE346" s="50">
        <v>0</v>
      </c>
      <c r="AF346" s="50">
        <v>0</v>
      </c>
      <c r="AG346" s="49">
        <v>96528.19</v>
      </c>
      <c r="AH346" s="51" t="s">
        <v>104</v>
      </c>
      <c r="AI346" s="51" t="s">
        <v>480</v>
      </c>
      <c r="AJ346" s="51" t="s">
        <v>74</v>
      </c>
      <c r="AK346" s="51" t="s">
        <v>481</v>
      </c>
      <c r="AL346" s="51" t="s">
        <v>74</v>
      </c>
      <c r="AM346" s="51" t="s">
        <v>74</v>
      </c>
      <c r="AN346" s="52">
        <v>0</v>
      </c>
      <c r="AO346" s="52">
        <v>0</v>
      </c>
      <c r="AP346" s="52">
        <v>66210.929999999993</v>
      </c>
      <c r="AQ346" s="52">
        <v>0</v>
      </c>
      <c r="AR346" s="52">
        <v>0</v>
      </c>
      <c r="AS346" s="52">
        <v>66210.929999999993</v>
      </c>
      <c r="AT346" s="51" t="s">
        <v>482</v>
      </c>
      <c r="AU346" s="52">
        <v>0</v>
      </c>
      <c r="AV346" s="52"/>
      <c r="AW346" s="52">
        <v>0</v>
      </c>
      <c r="AX346" s="52"/>
      <c r="AY346" s="52"/>
      <c r="AZ346" s="52">
        <v>0</v>
      </c>
      <c r="BA346" s="52">
        <v>0</v>
      </c>
      <c r="BB346" s="54" t="s">
        <v>74</v>
      </c>
      <c r="BC346" s="53" t="s">
        <v>74</v>
      </c>
      <c r="BD346" s="55" t="s">
        <v>74</v>
      </c>
      <c r="BE346" s="55" t="s">
        <v>74</v>
      </c>
      <c r="BF346" s="55" t="s">
        <v>74</v>
      </c>
      <c r="BG346" s="55" t="s">
        <v>74</v>
      </c>
      <c r="BH346" s="52">
        <v>66210.929999999993</v>
      </c>
      <c r="BI346" s="52">
        <v>2232245.44</v>
      </c>
      <c r="BJ346" s="52">
        <v>2232245.44</v>
      </c>
      <c r="BK346" s="56">
        <v>43586</v>
      </c>
      <c r="BL346" s="57">
        <v>2232245.44</v>
      </c>
      <c r="BM346" s="47">
        <v>0</v>
      </c>
      <c r="BN346" s="9"/>
      <c r="BO346" s="9"/>
      <c r="BP346" s="9"/>
      <c r="BQ346" s="9"/>
      <c r="BR346" s="9"/>
      <c r="BS346" s="9"/>
      <c r="BT346" s="9"/>
      <c r="BU346" s="9"/>
      <c r="BV346" s="9"/>
      <c r="BW346" s="9"/>
    </row>
    <row r="347" spans="1:75" ht="53.25" hidden="1" customHeight="1" outlineLevel="2" x14ac:dyDescent="0.25">
      <c r="A347" s="43" t="s">
        <v>470</v>
      </c>
      <c r="B347" s="110" t="s">
        <v>471</v>
      </c>
      <c r="C347" s="45">
        <v>2019</v>
      </c>
      <c r="D347" s="46" t="s">
        <v>83</v>
      </c>
      <c r="E347" s="47">
        <v>0</v>
      </c>
      <c r="F347" s="47">
        <v>2051943.91</v>
      </c>
      <c r="G347" s="47">
        <v>0</v>
      </c>
      <c r="H347" s="47">
        <v>0</v>
      </c>
      <c r="I347" s="47">
        <v>0</v>
      </c>
      <c r="J347" s="47">
        <v>0</v>
      </c>
      <c r="K347" s="47">
        <v>0</v>
      </c>
      <c r="L347" s="47">
        <v>0</v>
      </c>
      <c r="M347" s="47">
        <v>0</v>
      </c>
      <c r="N347" s="47">
        <v>0</v>
      </c>
      <c r="O347" s="47">
        <v>0</v>
      </c>
      <c r="P347" s="47">
        <v>0</v>
      </c>
      <c r="Q347" s="47">
        <v>0</v>
      </c>
      <c r="R347" s="47">
        <v>0</v>
      </c>
      <c r="S347" s="47">
        <v>0</v>
      </c>
      <c r="T347" s="47">
        <v>0</v>
      </c>
      <c r="U347" s="47">
        <v>0</v>
      </c>
      <c r="V347" s="47">
        <v>0</v>
      </c>
      <c r="W347" s="47">
        <v>0</v>
      </c>
      <c r="X347" s="47">
        <v>0</v>
      </c>
      <c r="Y347" s="48">
        <v>2051943.91</v>
      </c>
      <c r="Z347" s="58">
        <v>13612.08</v>
      </c>
      <c r="AA347" s="50">
        <v>13123.12</v>
      </c>
      <c r="AB347" s="50">
        <v>0</v>
      </c>
      <c r="AC347" s="50">
        <v>0</v>
      </c>
      <c r="AD347" s="50">
        <v>0</v>
      </c>
      <c r="AE347" s="50">
        <v>0</v>
      </c>
      <c r="AF347" s="50">
        <v>0</v>
      </c>
      <c r="AG347" s="49">
        <v>13123.12</v>
      </c>
      <c r="AH347" s="51" t="s">
        <v>483</v>
      </c>
      <c r="AI347" s="51" t="s">
        <v>74</v>
      </c>
      <c r="AJ347" s="51" t="s">
        <v>74</v>
      </c>
      <c r="AK347" s="51" t="s">
        <v>74</v>
      </c>
      <c r="AL347" s="51" t="s">
        <v>74</v>
      </c>
      <c r="AM347" s="51" t="s">
        <v>74</v>
      </c>
      <c r="AN347" s="52">
        <v>0</v>
      </c>
      <c r="AO347" s="52">
        <v>0</v>
      </c>
      <c r="AP347" s="52">
        <v>0</v>
      </c>
      <c r="AQ347" s="52">
        <v>0</v>
      </c>
      <c r="AR347" s="52">
        <v>0</v>
      </c>
      <c r="AS347" s="52">
        <v>0</v>
      </c>
      <c r="AT347" s="53" t="s">
        <v>74</v>
      </c>
      <c r="AU347" s="52">
        <v>0</v>
      </c>
      <c r="AV347" s="52"/>
      <c r="AW347" s="52">
        <v>0</v>
      </c>
      <c r="AX347" s="52"/>
      <c r="AY347" s="52"/>
      <c r="AZ347" s="52">
        <v>0</v>
      </c>
      <c r="BA347" s="52">
        <v>0</v>
      </c>
      <c r="BB347" s="54" t="s">
        <v>74</v>
      </c>
      <c r="BC347" s="53" t="s">
        <v>74</v>
      </c>
      <c r="BD347" s="55" t="s">
        <v>74</v>
      </c>
      <c r="BE347" s="55" t="s">
        <v>74</v>
      </c>
      <c r="BF347" s="55" t="s">
        <v>74</v>
      </c>
      <c r="BG347" s="55" t="s">
        <v>74</v>
      </c>
      <c r="BH347" s="52">
        <v>0</v>
      </c>
      <c r="BI347" s="52">
        <v>2038820.79</v>
      </c>
      <c r="BJ347" s="52">
        <v>2038820.79</v>
      </c>
      <c r="BK347" s="56">
        <v>43617</v>
      </c>
      <c r="BL347" s="57">
        <v>2038820.79</v>
      </c>
      <c r="BM347" s="47">
        <v>0</v>
      </c>
      <c r="BN347" s="9"/>
      <c r="BO347" s="9"/>
      <c r="BP347" s="9"/>
      <c r="BQ347" s="9"/>
      <c r="BR347" s="9"/>
      <c r="BS347" s="9"/>
      <c r="BT347" s="9"/>
      <c r="BU347" s="9"/>
      <c r="BV347" s="9"/>
      <c r="BW347" s="9"/>
    </row>
    <row r="348" spans="1:75" ht="53.25" hidden="1" customHeight="1" outlineLevel="2" x14ac:dyDescent="0.25">
      <c r="A348" s="43" t="s">
        <v>470</v>
      </c>
      <c r="B348" s="110" t="s">
        <v>471</v>
      </c>
      <c r="C348" s="45">
        <v>2019</v>
      </c>
      <c r="D348" s="46" t="s">
        <v>84</v>
      </c>
      <c r="E348" s="47">
        <v>0</v>
      </c>
      <c r="F348" s="47">
        <v>2051943.91</v>
      </c>
      <c r="G348" s="47">
        <v>0</v>
      </c>
      <c r="H348" s="47">
        <v>0</v>
      </c>
      <c r="I348" s="47">
        <v>0</v>
      </c>
      <c r="J348" s="47">
        <v>0</v>
      </c>
      <c r="K348" s="47">
        <v>0</v>
      </c>
      <c r="L348" s="47">
        <v>0</v>
      </c>
      <c r="M348" s="47">
        <v>0</v>
      </c>
      <c r="N348" s="47">
        <v>0</v>
      </c>
      <c r="O348" s="47">
        <v>0</v>
      </c>
      <c r="P348" s="47">
        <v>0</v>
      </c>
      <c r="Q348" s="47">
        <v>0</v>
      </c>
      <c r="R348" s="47">
        <v>0</v>
      </c>
      <c r="S348" s="47">
        <v>0</v>
      </c>
      <c r="T348" s="47">
        <v>0</v>
      </c>
      <c r="U348" s="47">
        <v>0</v>
      </c>
      <c r="V348" s="47">
        <v>0</v>
      </c>
      <c r="W348" s="47">
        <v>0</v>
      </c>
      <c r="X348" s="47">
        <v>0</v>
      </c>
      <c r="Y348" s="48">
        <v>2051943.91</v>
      </c>
      <c r="Z348" s="58">
        <v>12700.64</v>
      </c>
      <c r="AA348" s="50">
        <v>12700.64</v>
      </c>
      <c r="AB348" s="50">
        <v>488.96</v>
      </c>
      <c r="AC348" s="50">
        <v>0</v>
      </c>
      <c r="AD348" s="50">
        <v>25493.599999999999</v>
      </c>
      <c r="AE348" s="50">
        <v>66210.929999999993</v>
      </c>
      <c r="AF348" s="50">
        <v>0</v>
      </c>
      <c r="AG348" s="49">
        <v>104894.13</v>
      </c>
      <c r="AH348" s="51" t="s">
        <v>104</v>
      </c>
      <c r="AI348" s="51" t="s">
        <v>484</v>
      </c>
      <c r="AJ348" s="51" t="s">
        <v>74</v>
      </c>
      <c r="AK348" s="51" t="s">
        <v>485</v>
      </c>
      <c r="AL348" s="51" t="s">
        <v>482</v>
      </c>
      <c r="AM348" s="51" t="s">
        <v>74</v>
      </c>
      <c r="AN348" s="52">
        <v>0</v>
      </c>
      <c r="AO348" s="52">
        <v>0</v>
      </c>
      <c r="AP348" s="52">
        <v>0</v>
      </c>
      <c r="AQ348" s="52">
        <v>0</v>
      </c>
      <c r="AR348" s="52">
        <v>0</v>
      </c>
      <c r="AS348" s="52">
        <v>0</v>
      </c>
      <c r="AT348" s="53" t="s">
        <v>74</v>
      </c>
      <c r="AU348" s="52">
        <v>0</v>
      </c>
      <c r="AV348" s="52"/>
      <c r="AW348" s="52">
        <v>0</v>
      </c>
      <c r="AX348" s="52"/>
      <c r="AY348" s="52"/>
      <c r="AZ348" s="52">
        <v>0</v>
      </c>
      <c r="BA348" s="52">
        <v>0</v>
      </c>
      <c r="BB348" s="54" t="s">
        <v>74</v>
      </c>
      <c r="BC348" s="53" t="s">
        <v>74</v>
      </c>
      <c r="BD348" s="55" t="s">
        <v>74</v>
      </c>
      <c r="BE348" s="55" t="s">
        <v>74</v>
      </c>
      <c r="BF348" s="55" t="s">
        <v>74</v>
      </c>
      <c r="BG348" s="55" t="s">
        <v>74</v>
      </c>
      <c r="BH348" s="52">
        <v>0</v>
      </c>
      <c r="BI348" s="52">
        <v>1947049.78</v>
      </c>
      <c r="BJ348" s="52">
        <v>1947049.78</v>
      </c>
      <c r="BK348" s="56">
        <v>43647</v>
      </c>
      <c r="BL348" s="57">
        <v>1947049.78</v>
      </c>
      <c r="BM348" s="47">
        <v>0</v>
      </c>
      <c r="BN348" s="9"/>
      <c r="BO348" s="9"/>
      <c r="BP348" s="9"/>
      <c r="BQ348" s="9"/>
      <c r="BR348" s="9"/>
      <c r="BS348" s="9"/>
      <c r="BT348" s="9"/>
      <c r="BU348" s="9"/>
      <c r="BV348" s="9"/>
      <c r="BW348" s="9"/>
    </row>
    <row r="349" spans="1:75" ht="14.25" hidden="1" customHeight="1" outlineLevel="2" x14ac:dyDescent="0.25">
      <c r="A349" s="71" t="s">
        <v>470</v>
      </c>
      <c r="B349" s="116" t="s">
        <v>471</v>
      </c>
      <c r="C349" s="73">
        <v>2019</v>
      </c>
      <c r="D349" s="74" t="s">
        <v>86</v>
      </c>
      <c r="E349" s="75">
        <v>0</v>
      </c>
      <c r="F349" s="75">
        <v>1712140.46</v>
      </c>
      <c r="G349" s="75">
        <v>0</v>
      </c>
      <c r="H349" s="75">
        <v>0</v>
      </c>
      <c r="I349" s="75">
        <v>0</v>
      </c>
      <c r="J349" s="75">
        <v>0</v>
      </c>
      <c r="K349" s="75">
        <v>0</v>
      </c>
      <c r="L349" s="75">
        <v>0</v>
      </c>
      <c r="M349" s="75">
        <v>0</v>
      </c>
      <c r="N349" s="75">
        <v>0</v>
      </c>
      <c r="O349" s="75">
        <v>0</v>
      </c>
      <c r="P349" s="75">
        <v>0</v>
      </c>
      <c r="Q349" s="75">
        <v>0</v>
      </c>
      <c r="R349" s="75">
        <v>0</v>
      </c>
      <c r="S349" s="75">
        <v>0</v>
      </c>
      <c r="T349" s="75">
        <v>0</v>
      </c>
      <c r="U349" s="75">
        <v>0</v>
      </c>
      <c r="V349" s="75">
        <v>0</v>
      </c>
      <c r="W349" s="75">
        <v>0</v>
      </c>
      <c r="X349" s="75">
        <v>0</v>
      </c>
      <c r="Y349" s="76">
        <v>1712140.46</v>
      </c>
      <c r="Z349" s="115">
        <v>17691.82</v>
      </c>
      <c r="AA349" s="79">
        <v>17691.82</v>
      </c>
      <c r="AB349" s="79">
        <v>0</v>
      </c>
      <c r="AC349" s="79">
        <v>0</v>
      </c>
      <c r="AD349" s="79">
        <v>43772.97</v>
      </c>
      <c r="AE349" s="79">
        <v>787451.46</v>
      </c>
      <c r="AF349" s="79">
        <v>0</v>
      </c>
      <c r="AG349" s="80">
        <v>848916.25</v>
      </c>
      <c r="AH349" s="123" t="s">
        <v>104</v>
      </c>
      <c r="AI349" s="123" t="s">
        <v>74</v>
      </c>
      <c r="AJ349" s="123" t="s">
        <v>74</v>
      </c>
      <c r="AK349" s="123" t="s">
        <v>486</v>
      </c>
      <c r="AL349" s="123" t="s">
        <v>487</v>
      </c>
      <c r="AM349" s="123" t="s">
        <v>74</v>
      </c>
      <c r="AN349" s="82">
        <v>0</v>
      </c>
      <c r="AO349" s="82">
        <v>10846.37</v>
      </c>
      <c r="AP349" s="82">
        <v>0</v>
      </c>
      <c r="AQ349" s="82">
        <v>0</v>
      </c>
      <c r="AR349" s="82">
        <v>0</v>
      </c>
      <c r="AS349" s="82">
        <v>10846.37</v>
      </c>
      <c r="AT349" s="123" t="s">
        <v>488</v>
      </c>
      <c r="AU349" s="82">
        <f>241870.13+97194.44</f>
        <v>339064.57</v>
      </c>
      <c r="AV349" s="119">
        <f>28875.82+25259.95+26732.44+25925.2</f>
        <v>106793.41</v>
      </c>
      <c r="AW349" s="82">
        <v>0</v>
      </c>
      <c r="AX349" s="82"/>
      <c r="AY349" s="165">
        <f>704217+30317.92</f>
        <v>734534.92</v>
      </c>
      <c r="AZ349" s="82">
        <v>0</v>
      </c>
      <c r="BA349" s="82">
        <f>AU349+AV349+AW349+AX349+AY349+AZ349</f>
        <v>1180392.8999999999</v>
      </c>
      <c r="BB349" s="126" t="s">
        <v>489</v>
      </c>
      <c r="BC349" s="123" t="s">
        <v>490</v>
      </c>
      <c r="BD349" s="125" t="s">
        <v>74</v>
      </c>
      <c r="BE349" s="125" t="s">
        <v>74</v>
      </c>
      <c r="BF349" s="124" t="s">
        <v>491</v>
      </c>
      <c r="BG349" s="125" t="s">
        <v>74</v>
      </c>
      <c r="BH349" s="82">
        <f>AS349+BA349</f>
        <v>1191239.27</v>
      </c>
      <c r="BI349" s="82">
        <f>Y349-AG349+BH349</f>
        <v>2054463.48</v>
      </c>
      <c r="BJ349" s="52">
        <f>BH349</f>
        <v>1191239.27</v>
      </c>
      <c r="BK349" s="56">
        <v>43678</v>
      </c>
      <c r="BL349" s="127">
        <f>1213135.15+28875.82+734534.92+25259.95+26732.44+25925.2</f>
        <v>2054463.48</v>
      </c>
      <c r="BM349" s="75">
        <v>0</v>
      </c>
      <c r="BN349" s="9"/>
      <c r="BO349" s="9"/>
      <c r="BP349" s="9"/>
      <c r="BQ349" s="9"/>
      <c r="BR349" s="9"/>
      <c r="BS349" s="9"/>
      <c r="BT349" s="9"/>
      <c r="BU349" s="9"/>
      <c r="BV349" s="9"/>
      <c r="BW349" s="9"/>
    </row>
    <row r="350" spans="1:75" ht="14.25" hidden="1" customHeight="1" outlineLevel="1" collapsed="1" x14ac:dyDescent="0.25">
      <c r="A350" s="84"/>
      <c r="B350" s="120" t="s">
        <v>492</v>
      </c>
      <c r="C350" s="86"/>
      <c r="D350" s="87"/>
      <c r="E350" s="88"/>
      <c r="F350" s="88"/>
      <c r="G350" s="88"/>
      <c r="H350" s="88"/>
      <c r="I350" s="88"/>
      <c r="J350" s="88"/>
      <c r="K350" s="88"/>
      <c r="L350" s="88"/>
      <c r="M350" s="88"/>
      <c r="N350" s="88"/>
      <c r="O350" s="88"/>
      <c r="P350" s="88"/>
      <c r="Q350" s="88"/>
      <c r="R350" s="88"/>
      <c r="S350" s="88"/>
      <c r="T350" s="88"/>
      <c r="U350" s="88"/>
      <c r="V350" s="88"/>
      <c r="W350" s="88"/>
      <c r="X350" s="88"/>
      <c r="Y350" s="89">
        <f t="shared" ref="Y350:AG350" si="45">SUBTOTAL(9,Y340:Y349)</f>
        <v>0</v>
      </c>
      <c r="Z350" s="128">
        <f t="shared" si="45"/>
        <v>0</v>
      </c>
      <c r="AA350" s="89">
        <f t="shared" si="45"/>
        <v>0</v>
      </c>
      <c r="AB350" s="89">
        <f t="shared" si="45"/>
        <v>0</v>
      </c>
      <c r="AC350" s="89">
        <f t="shared" si="45"/>
        <v>0</v>
      </c>
      <c r="AD350" s="89">
        <f t="shared" si="45"/>
        <v>0</v>
      </c>
      <c r="AE350" s="89">
        <f t="shared" si="45"/>
        <v>0</v>
      </c>
      <c r="AF350" s="89">
        <f t="shared" si="45"/>
        <v>0</v>
      </c>
      <c r="AG350" s="89">
        <f t="shared" si="45"/>
        <v>0</v>
      </c>
      <c r="AH350" s="129"/>
      <c r="AI350" s="129"/>
      <c r="AJ350" s="129"/>
      <c r="AK350" s="129"/>
      <c r="AL350" s="129"/>
      <c r="AM350" s="129"/>
      <c r="AN350" s="92">
        <f t="shared" ref="AN350:AS350" si="46">SUBTOTAL(9,AN340:AN349)</f>
        <v>0</v>
      </c>
      <c r="AO350" s="92">
        <f t="shared" si="46"/>
        <v>0</v>
      </c>
      <c r="AP350" s="92">
        <f t="shared" si="46"/>
        <v>0</v>
      </c>
      <c r="AQ350" s="92">
        <f t="shared" si="46"/>
        <v>0</v>
      </c>
      <c r="AR350" s="92">
        <f t="shared" si="46"/>
        <v>0</v>
      </c>
      <c r="AS350" s="92">
        <f t="shared" si="46"/>
        <v>0</v>
      </c>
      <c r="AT350" s="129"/>
      <c r="AU350" s="92">
        <f t="shared" ref="AU350:BA350" si="47">SUBTOTAL(9,AU340:AU349)</f>
        <v>0</v>
      </c>
      <c r="AV350" s="122">
        <f t="shared" si="47"/>
        <v>0</v>
      </c>
      <c r="AW350" s="92">
        <f t="shared" si="47"/>
        <v>0</v>
      </c>
      <c r="AX350" s="92">
        <f t="shared" si="47"/>
        <v>0</v>
      </c>
      <c r="AY350" s="166">
        <f t="shared" si="47"/>
        <v>0</v>
      </c>
      <c r="AZ350" s="92">
        <f t="shared" si="47"/>
        <v>0</v>
      </c>
      <c r="BA350" s="92">
        <f t="shared" si="47"/>
        <v>0</v>
      </c>
      <c r="BB350" s="132"/>
      <c r="BC350" s="129"/>
      <c r="BD350" s="131"/>
      <c r="BE350" s="131"/>
      <c r="BF350" s="130"/>
      <c r="BG350" s="131"/>
      <c r="BH350" s="92">
        <f>SUBTOTAL(9,BH340:BH349)</f>
        <v>0</v>
      </c>
      <c r="BI350" s="92">
        <f>SUBTOTAL(9,BI340:BI349)</f>
        <v>0</v>
      </c>
      <c r="BJ350" s="93"/>
      <c r="BK350" s="94"/>
      <c r="BL350" s="88">
        <f>SUBTOTAL(9,BL340:BL349)</f>
        <v>0</v>
      </c>
      <c r="BM350" s="88">
        <f>SUBTOTAL(9,BM340:BM349)</f>
        <v>0</v>
      </c>
      <c r="BN350" s="9"/>
      <c r="BO350" s="9"/>
      <c r="BP350" s="9"/>
      <c r="BQ350" s="9"/>
      <c r="BR350" s="9"/>
      <c r="BS350" s="9"/>
      <c r="BT350" s="9"/>
      <c r="BU350" s="9"/>
      <c r="BV350" s="9"/>
      <c r="BW350" s="9"/>
    </row>
    <row r="351" spans="1:75" ht="26.25" hidden="1" outlineLevel="2" x14ac:dyDescent="0.25">
      <c r="A351" s="96" t="s">
        <v>71</v>
      </c>
      <c r="B351" s="97" t="s">
        <v>493</v>
      </c>
      <c r="C351" s="98">
        <v>2017</v>
      </c>
      <c r="D351" s="99" t="s">
        <v>73</v>
      </c>
      <c r="E351" s="100">
        <v>15020830</v>
      </c>
      <c r="F351" s="100">
        <v>0</v>
      </c>
      <c r="G351" s="100">
        <v>0</v>
      </c>
      <c r="H351" s="100">
        <v>0</v>
      </c>
      <c r="I351" s="100">
        <v>0</v>
      </c>
      <c r="J351" s="100">
        <v>0</v>
      </c>
      <c r="K351" s="100">
        <v>0</v>
      </c>
      <c r="L351" s="100">
        <v>0</v>
      </c>
      <c r="M351" s="100">
        <v>0</v>
      </c>
      <c r="N351" s="100">
        <v>0</v>
      </c>
      <c r="O351" s="100">
        <v>0</v>
      </c>
      <c r="P351" s="100">
        <v>0</v>
      </c>
      <c r="Q351" s="100">
        <v>0</v>
      </c>
      <c r="R351" s="100">
        <v>0</v>
      </c>
      <c r="S351" s="100">
        <v>0</v>
      </c>
      <c r="T351" s="100">
        <v>0</v>
      </c>
      <c r="U351" s="100">
        <v>0</v>
      </c>
      <c r="V351" s="100">
        <v>0</v>
      </c>
      <c r="W351" s="100">
        <v>0</v>
      </c>
      <c r="X351" s="100">
        <v>0</v>
      </c>
      <c r="Y351" s="101">
        <v>15020830</v>
      </c>
      <c r="Z351" s="133">
        <v>7248.09</v>
      </c>
      <c r="AA351" s="103">
        <v>7248.09</v>
      </c>
      <c r="AB351" s="103">
        <v>0</v>
      </c>
      <c r="AC351" s="103">
        <v>0</v>
      </c>
      <c r="AD351" s="103">
        <v>0</v>
      </c>
      <c r="AE351" s="103">
        <v>0</v>
      </c>
      <c r="AF351" s="103">
        <v>0</v>
      </c>
      <c r="AG351" s="102">
        <v>7248.09</v>
      </c>
      <c r="AH351" s="104" t="s">
        <v>104</v>
      </c>
      <c r="AI351" s="104" t="s">
        <v>74</v>
      </c>
      <c r="AJ351" s="104" t="s">
        <v>74</v>
      </c>
      <c r="AK351" s="104" t="s">
        <v>74</v>
      </c>
      <c r="AL351" s="104" t="s">
        <v>74</v>
      </c>
      <c r="AM351" s="104" t="s">
        <v>74</v>
      </c>
      <c r="AN351" s="105">
        <v>0</v>
      </c>
      <c r="AO351" s="105">
        <v>0</v>
      </c>
      <c r="AP351" s="105">
        <v>0</v>
      </c>
      <c r="AQ351" s="105">
        <v>0</v>
      </c>
      <c r="AR351" s="105">
        <v>0</v>
      </c>
      <c r="AS351" s="105">
        <v>0</v>
      </c>
      <c r="AT351" s="106" t="s">
        <v>74</v>
      </c>
      <c r="AU351" s="105">
        <v>0</v>
      </c>
      <c r="AV351" s="105"/>
      <c r="AW351" s="105">
        <v>0</v>
      </c>
      <c r="AX351" s="105"/>
      <c r="AY351" s="105"/>
      <c r="AZ351" s="105">
        <v>0</v>
      </c>
      <c r="BA351" s="105">
        <v>0</v>
      </c>
      <c r="BB351" s="107" t="s">
        <v>74</v>
      </c>
      <c r="BC351" s="106" t="s">
        <v>74</v>
      </c>
      <c r="BD351" s="108" t="s">
        <v>74</v>
      </c>
      <c r="BE351" s="108" t="s">
        <v>74</v>
      </c>
      <c r="BF351" s="108" t="s">
        <v>74</v>
      </c>
      <c r="BG351" s="108" t="s">
        <v>74</v>
      </c>
      <c r="BH351" s="105">
        <v>0</v>
      </c>
      <c r="BI351" s="105">
        <v>15013581.91</v>
      </c>
      <c r="BJ351" s="52">
        <v>15013581.91</v>
      </c>
      <c r="BK351" s="56">
        <v>42736</v>
      </c>
      <c r="BL351" s="109">
        <v>15013581.91</v>
      </c>
      <c r="BM351" s="100">
        <v>0</v>
      </c>
      <c r="BN351" s="9"/>
      <c r="BO351" s="9"/>
      <c r="BP351" s="9"/>
      <c r="BQ351" s="9"/>
      <c r="BR351" s="9"/>
      <c r="BS351" s="9"/>
      <c r="BT351" s="9"/>
      <c r="BU351" s="9"/>
      <c r="BV351" s="9"/>
      <c r="BW351" s="9"/>
    </row>
    <row r="352" spans="1:75" ht="26.25" hidden="1" outlineLevel="2" x14ac:dyDescent="0.25">
      <c r="A352" s="43" t="s">
        <v>71</v>
      </c>
      <c r="B352" s="110" t="s">
        <v>493</v>
      </c>
      <c r="C352" s="45">
        <v>2017</v>
      </c>
      <c r="D352" s="46" t="s">
        <v>75</v>
      </c>
      <c r="E352" s="47">
        <v>15020830</v>
      </c>
      <c r="F352" s="47">
        <v>0</v>
      </c>
      <c r="G352" s="47">
        <v>0</v>
      </c>
      <c r="H352" s="47">
        <v>0</v>
      </c>
      <c r="I352" s="47">
        <v>0</v>
      </c>
      <c r="J352" s="47">
        <v>0</v>
      </c>
      <c r="K352" s="47">
        <v>0</v>
      </c>
      <c r="L352" s="47">
        <v>0</v>
      </c>
      <c r="M352" s="47">
        <v>0</v>
      </c>
      <c r="N352" s="47">
        <v>0</v>
      </c>
      <c r="O352" s="47">
        <v>0</v>
      </c>
      <c r="P352" s="47">
        <v>0</v>
      </c>
      <c r="Q352" s="47">
        <v>0</v>
      </c>
      <c r="R352" s="47">
        <v>0</v>
      </c>
      <c r="S352" s="47">
        <v>0</v>
      </c>
      <c r="T352" s="47">
        <v>0</v>
      </c>
      <c r="U352" s="47">
        <v>0</v>
      </c>
      <c r="V352" s="47">
        <v>0</v>
      </c>
      <c r="W352" s="47">
        <v>0</v>
      </c>
      <c r="X352" s="47">
        <v>0</v>
      </c>
      <c r="Y352" s="48">
        <v>15020830</v>
      </c>
      <c r="Z352" s="58">
        <v>6931.55</v>
      </c>
      <c r="AA352" s="50">
        <v>6931.55</v>
      </c>
      <c r="AB352" s="50">
        <v>0</v>
      </c>
      <c r="AC352" s="50">
        <v>0</v>
      </c>
      <c r="AD352" s="50">
        <v>0</v>
      </c>
      <c r="AE352" s="50">
        <v>0</v>
      </c>
      <c r="AF352" s="50">
        <v>0</v>
      </c>
      <c r="AG352" s="49">
        <v>6931.55</v>
      </c>
      <c r="AH352" s="51" t="s">
        <v>104</v>
      </c>
      <c r="AI352" s="51" t="s">
        <v>74</v>
      </c>
      <c r="AJ352" s="51" t="s">
        <v>74</v>
      </c>
      <c r="AK352" s="51" t="s">
        <v>74</v>
      </c>
      <c r="AL352" s="51" t="s">
        <v>74</v>
      </c>
      <c r="AM352" s="51" t="s">
        <v>74</v>
      </c>
      <c r="AN352" s="52">
        <v>0</v>
      </c>
      <c r="AO352" s="52">
        <v>0</v>
      </c>
      <c r="AP352" s="52">
        <v>0</v>
      </c>
      <c r="AQ352" s="52">
        <v>0</v>
      </c>
      <c r="AR352" s="52">
        <v>0</v>
      </c>
      <c r="AS352" s="52">
        <v>0</v>
      </c>
      <c r="AT352" s="53" t="s">
        <v>74</v>
      </c>
      <c r="AU352" s="52">
        <v>0</v>
      </c>
      <c r="AV352" s="52"/>
      <c r="AW352" s="52">
        <v>0</v>
      </c>
      <c r="AX352" s="52"/>
      <c r="AY352" s="52"/>
      <c r="AZ352" s="52">
        <v>0</v>
      </c>
      <c r="BA352" s="52">
        <v>0</v>
      </c>
      <c r="BB352" s="54" t="s">
        <v>74</v>
      </c>
      <c r="BC352" s="53" t="s">
        <v>74</v>
      </c>
      <c r="BD352" s="55" t="s">
        <v>74</v>
      </c>
      <c r="BE352" s="55" t="s">
        <v>74</v>
      </c>
      <c r="BF352" s="55" t="s">
        <v>74</v>
      </c>
      <c r="BG352" s="55" t="s">
        <v>74</v>
      </c>
      <c r="BH352" s="52">
        <v>0</v>
      </c>
      <c r="BI352" s="52">
        <v>15013898.449999999</v>
      </c>
      <c r="BJ352" s="52">
        <v>15013898.449999999</v>
      </c>
      <c r="BK352" s="56">
        <v>42767</v>
      </c>
      <c r="BL352" s="57">
        <v>15013898.449999999</v>
      </c>
      <c r="BM352" s="47">
        <v>0</v>
      </c>
      <c r="BN352" s="9"/>
      <c r="BO352" s="9"/>
      <c r="BP352" s="9"/>
      <c r="BQ352" s="9"/>
      <c r="BR352" s="9"/>
      <c r="BS352" s="9"/>
      <c r="BT352" s="9"/>
      <c r="BU352" s="9"/>
      <c r="BV352" s="9"/>
      <c r="BW352" s="9"/>
    </row>
    <row r="353" spans="1:75" ht="26.25" hidden="1" outlineLevel="2" x14ac:dyDescent="0.25">
      <c r="A353" s="43" t="s">
        <v>71</v>
      </c>
      <c r="B353" s="110" t="s">
        <v>493</v>
      </c>
      <c r="C353" s="45">
        <v>2017</v>
      </c>
      <c r="D353" s="46" t="s">
        <v>77</v>
      </c>
      <c r="E353" s="47">
        <v>15020830</v>
      </c>
      <c r="F353" s="47">
        <v>0</v>
      </c>
      <c r="G353" s="47">
        <v>0</v>
      </c>
      <c r="H353" s="47">
        <v>0</v>
      </c>
      <c r="I353" s="47">
        <v>0</v>
      </c>
      <c r="J353" s="47">
        <v>0</v>
      </c>
      <c r="K353" s="47">
        <v>0</v>
      </c>
      <c r="L353" s="47">
        <v>0</v>
      </c>
      <c r="M353" s="47">
        <v>0</v>
      </c>
      <c r="N353" s="47">
        <v>0</v>
      </c>
      <c r="O353" s="47">
        <v>0</v>
      </c>
      <c r="P353" s="47">
        <v>0</v>
      </c>
      <c r="Q353" s="47">
        <v>0</v>
      </c>
      <c r="R353" s="47">
        <v>0</v>
      </c>
      <c r="S353" s="47">
        <v>0</v>
      </c>
      <c r="T353" s="47">
        <v>0</v>
      </c>
      <c r="U353" s="47">
        <v>0</v>
      </c>
      <c r="V353" s="47">
        <v>0</v>
      </c>
      <c r="W353" s="47">
        <v>0</v>
      </c>
      <c r="X353" s="47">
        <v>0</v>
      </c>
      <c r="Y353" s="48">
        <v>15020830</v>
      </c>
      <c r="Z353" s="58">
        <v>6931.55</v>
      </c>
      <c r="AA353" s="50">
        <v>6931.55</v>
      </c>
      <c r="AB353" s="50">
        <v>0</v>
      </c>
      <c r="AC353" s="50">
        <v>0</v>
      </c>
      <c r="AD353" s="50">
        <v>0</v>
      </c>
      <c r="AE353" s="50">
        <v>0</v>
      </c>
      <c r="AF353" s="50">
        <v>0</v>
      </c>
      <c r="AG353" s="49">
        <v>6931.55</v>
      </c>
      <c r="AH353" s="51" t="s">
        <v>104</v>
      </c>
      <c r="AI353" s="51" t="s">
        <v>74</v>
      </c>
      <c r="AJ353" s="51" t="s">
        <v>74</v>
      </c>
      <c r="AK353" s="51" t="s">
        <v>74</v>
      </c>
      <c r="AL353" s="51" t="s">
        <v>74</v>
      </c>
      <c r="AM353" s="51" t="s">
        <v>74</v>
      </c>
      <c r="AN353" s="52">
        <v>0</v>
      </c>
      <c r="AO353" s="52">
        <v>0</v>
      </c>
      <c r="AP353" s="52">
        <v>0</v>
      </c>
      <c r="AQ353" s="52">
        <v>0</v>
      </c>
      <c r="AR353" s="52">
        <v>0</v>
      </c>
      <c r="AS353" s="52">
        <v>0</v>
      </c>
      <c r="AT353" s="53" t="s">
        <v>74</v>
      </c>
      <c r="AU353" s="52">
        <v>0</v>
      </c>
      <c r="AV353" s="52"/>
      <c r="AW353" s="52">
        <v>0</v>
      </c>
      <c r="AX353" s="52"/>
      <c r="AY353" s="52"/>
      <c r="AZ353" s="52">
        <v>0</v>
      </c>
      <c r="BA353" s="52">
        <v>0</v>
      </c>
      <c r="BB353" s="54" t="s">
        <v>74</v>
      </c>
      <c r="BC353" s="53" t="s">
        <v>74</v>
      </c>
      <c r="BD353" s="55" t="s">
        <v>74</v>
      </c>
      <c r="BE353" s="55" t="s">
        <v>74</v>
      </c>
      <c r="BF353" s="55" t="s">
        <v>74</v>
      </c>
      <c r="BG353" s="55" t="s">
        <v>74</v>
      </c>
      <c r="BH353" s="52">
        <v>0</v>
      </c>
      <c r="BI353" s="52">
        <v>15013898.449999999</v>
      </c>
      <c r="BJ353" s="52">
        <v>15013898.449999999</v>
      </c>
      <c r="BK353" s="56">
        <v>42795</v>
      </c>
      <c r="BL353" s="57">
        <v>15013898.449999999</v>
      </c>
      <c r="BM353" s="47">
        <v>0</v>
      </c>
      <c r="BN353" s="9"/>
      <c r="BO353" s="9"/>
      <c r="BP353" s="9"/>
      <c r="BQ353" s="9"/>
      <c r="BR353" s="9"/>
      <c r="BS353" s="9"/>
      <c r="BT353" s="9"/>
      <c r="BU353" s="9"/>
      <c r="BV353" s="9"/>
      <c r="BW353" s="9"/>
    </row>
    <row r="354" spans="1:75" ht="141" hidden="1" outlineLevel="2" x14ac:dyDescent="0.25">
      <c r="A354" s="43" t="s">
        <v>71</v>
      </c>
      <c r="B354" s="110" t="s">
        <v>493</v>
      </c>
      <c r="C354" s="45">
        <v>2017</v>
      </c>
      <c r="D354" s="46" t="s">
        <v>79</v>
      </c>
      <c r="E354" s="47">
        <v>15020830</v>
      </c>
      <c r="F354" s="47">
        <v>0</v>
      </c>
      <c r="G354" s="47">
        <v>6348642.9400000004</v>
      </c>
      <c r="H354" s="47">
        <v>0</v>
      </c>
      <c r="I354" s="47">
        <v>0</v>
      </c>
      <c r="J354" s="47">
        <v>0</v>
      </c>
      <c r="K354" s="47">
        <v>0</v>
      </c>
      <c r="L354" s="47">
        <v>0</v>
      </c>
      <c r="M354" s="47">
        <v>0</v>
      </c>
      <c r="N354" s="47">
        <v>0</v>
      </c>
      <c r="O354" s="47">
        <v>0</v>
      </c>
      <c r="P354" s="47">
        <v>0</v>
      </c>
      <c r="Q354" s="47">
        <v>0</v>
      </c>
      <c r="R354" s="47">
        <v>0</v>
      </c>
      <c r="S354" s="47">
        <v>0</v>
      </c>
      <c r="T354" s="47">
        <v>0</v>
      </c>
      <c r="U354" s="47">
        <v>0</v>
      </c>
      <c r="V354" s="47">
        <v>0</v>
      </c>
      <c r="W354" s="47">
        <v>0</v>
      </c>
      <c r="X354" s="47">
        <v>0</v>
      </c>
      <c r="Y354" s="48">
        <v>21369472.940000001</v>
      </c>
      <c r="Z354" s="58">
        <v>6931.55</v>
      </c>
      <c r="AA354" s="50">
        <v>6931.55</v>
      </c>
      <c r="AB354" s="50">
        <v>0</v>
      </c>
      <c r="AC354" s="50">
        <v>0</v>
      </c>
      <c r="AD354" s="50">
        <v>0</v>
      </c>
      <c r="AE354" s="50">
        <v>0</v>
      </c>
      <c r="AF354" s="50">
        <v>6348642.9400000004</v>
      </c>
      <c r="AG354" s="49">
        <v>6355574.4900000002</v>
      </c>
      <c r="AH354" s="51" t="s">
        <v>104</v>
      </c>
      <c r="AI354" s="51" t="s">
        <v>74</v>
      </c>
      <c r="AJ354" s="51" t="s">
        <v>74</v>
      </c>
      <c r="AK354" s="51" t="s">
        <v>74</v>
      </c>
      <c r="AL354" s="51" t="s">
        <v>74</v>
      </c>
      <c r="AM354" s="51" t="s">
        <v>494</v>
      </c>
      <c r="AN354" s="52">
        <v>0</v>
      </c>
      <c r="AO354" s="52">
        <v>0</v>
      </c>
      <c r="AP354" s="52">
        <v>0</v>
      </c>
      <c r="AQ354" s="52">
        <v>0</v>
      </c>
      <c r="AR354" s="52">
        <v>0</v>
      </c>
      <c r="AS354" s="52">
        <v>0</v>
      </c>
      <c r="AT354" s="53" t="s">
        <v>74</v>
      </c>
      <c r="AU354" s="52">
        <v>0</v>
      </c>
      <c r="AV354" s="52"/>
      <c r="AW354" s="52">
        <v>0</v>
      </c>
      <c r="AX354" s="52"/>
      <c r="AY354" s="52"/>
      <c r="AZ354" s="52">
        <v>0</v>
      </c>
      <c r="BA354" s="52">
        <v>0</v>
      </c>
      <c r="BB354" s="54" t="s">
        <v>74</v>
      </c>
      <c r="BC354" s="53" t="s">
        <v>74</v>
      </c>
      <c r="BD354" s="55" t="s">
        <v>74</v>
      </c>
      <c r="BE354" s="55" t="s">
        <v>74</v>
      </c>
      <c r="BF354" s="55" t="s">
        <v>74</v>
      </c>
      <c r="BG354" s="55" t="s">
        <v>74</v>
      </c>
      <c r="BH354" s="52">
        <v>0</v>
      </c>
      <c r="BI354" s="52">
        <v>15013898.449999999</v>
      </c>
      <c r="BJ354" s="52">
        <v>15013898.449999999</v>
      </c>
      <c r="BK354" s="56">
        <v>42826</v>
      </c>
      <c r="BL354" s="57">
        <v>15013898.449999999</v>
      </c>
      <c r="BM354" s="47">
        <v>0</v>
      </c>
      <c r="BN354" s="9"/>
      <c r="BO354" s="9"/>
      <c r="BP354" s="9"/>
      <c r="BQ354" s="9"/>
      <c r="BR354" s="9"/>
      <c r="BS354" s="9"/>
      <c r="BT354" s="9"/>
      <c r="BU354" s="9"/>
      <c r="BV354" s="9"/>
      <c r="BW354" s="9"/>
    </row>
    <row r="355" spans="1:75" ht="26.25" hidden="1" outlineLevel="2" x14ac:dyDescent="0.25">
      <c r="A355" s="43" t="s">
        <v>71</v>
      </c>
      <c r="B355" s="110" t="s">
        <v>493</v>
      </c>
      <c r="C355" s="45">
        <v>2017</v>
      </c>
      <c r="D355" s="46" t="s">
        <v>81</v>
      </c>
      <c r="E355" s="47">
        <v>15020830</v>
      </c>
      <c r="F355" s="47">
        <v>0</v>
      </c>
      <c r="G355" s="47">
        <v>0</v>
      </c>
      <c r="H355" s="47">
        <v>0</v>
      </c>
      <c r="I355" s="47">
        <v>0</v>
      </c>
      <c r="J355" s="47">
        <v>0</v>
      </c>
      <c r="K355" s="47">
        <v>0</v>
      </c>
      <c r="L355" s="47">
        <v>0</v>
      </c>
      <c r="M355" s="47">
        <v>0</v>
      </c>
      <c r="N355" s="47">
        <v>0</v>
      </c>
      <c r="O355" s="47">
        <v>0</v>
      </c>
      <c r="P355" s="47">
        <v>0</v>
      </c>
      <c r="Q355" s="47">
        <v>0</v>
      </c>
      <c r="R355" s="47">
        <v>0</v>
      </c>
      <c r="S355" s="47">
        <v>0</v>
      </c>
      <c r="T355" s="47">
        <v>0</v>
      </c>
      <c r="U355" s="47">
        <v>0</v>
      </c>
      <c r="V355" s="47">
        <v>0</v>
      </c>
      <c r="W355" s="47">
        <v>0</v>
      </c>
      <c r="X355" s="47">
        <v>0</v>
      </c>
      <c r="Y355" s="48">
        <v>15020830</v>
      </c>
      <c r="Z355" s="58">
        <v>6931.55</v>
      </c>
      <c r="AA355" s="50">
        <v>6931.55</v>
      </c>
      <c r="AB355" s="50">
        <v>0</v>
      </c>
      <c r="AC355" s="50">
        <v>0</v>
      </c>
      <c r="AD355" s="50">
        <v>0</v>
      </c>
      <c r="AE355" s="50">
        <v>0</v>
      </c>
      <c r="AF355" s="50">
        <v>0</v>
      </c>
      <c r="AG355" s="49">
        <v>6931.55</v>
      </c>
      <c r="AH355" s="51" t="s">
        <v>104</v>
      </c>
      <c r="AI355" s="51" t="s">
        <v>74</v>
      </c>
      <c r="AJ355" s="51" t="s">
        <v>74</v>
      </c>
      <c r="AK355" s="51" t="s">
        <v>74</v>
      </c>
      <c r="AL355" s="51" t="s">
        <v>74</v>
      </c>
      <c r="AM355" s="51" t="s">
        <v>74</v>
      </c>
      <c r="AN355" s="52">
        <v>0</v>
      </c>
      <c r="AO355" s="52">
        <v>0</v>
      </c>
      <c r="AP355" s="52">
        <v>0</v>
      </c>
      <c r="AQ355" s="52">
        <v>0</v>
      </c>
      <c r="AR355" s="52">
        <v>0</v>
      </c>
      <c r="AS355" s="52">
        <v>0</v>
      </c>
      <c r="AT355" s="53" t="s">
        <v>74</v>
      </c>
      <c r="AU355" s="52">
        <v>0</v>
      </c>
      <c r="AV355" s="52"/>
      <c r="AW355" s="52">
        <v>0</v>
      </c>
      <c r="AX355" s="52"/>
      <c r="AY355" s="52"/>
      <c r="AZ355" s="52">
        <v>0</v>
      </c>
      <c r="BA355" s="52">
        <v>0</v>
      </c>
      <c r="BB355" s="54" t="s">
        <v>74</v>
      </c>
      <c r="BC355" s="53" t="s">
        <v>74</v>
      </c>
      <c r="BD355" s="55" t="s">
        <v>74</v>
      </c>
      <c r="BE355" s="55" t="s">
        <v>74</v>
      </c>
      <c r="BF355" s="55" t="s">
        <v>74</v>
      </c>
      <c r="BG355" s="55" t="s">
        <v>74</v>
      </c>
      <c r="BH355" s="52">
        <v>0</v>
      </c>
      <c r="BI355" s="52">
        <v>15013898.449999999</v>
      </c>
      <c r="BJ355" s="52">
        <v>15013898.449999999</v>
      </c>
      <c r="BK355" s="56">
        <v>42856</v>
      </c>
      <c r="BL355" s="57">
        <v>15013898.449999999</v>
      </c>
      <c r="BM355" s="47">
        <v>0</v>
      </c>
      <c r="BN355" s="9"/>
      <c r="BO355" s="9"/>
      <c r="BP355" s="9"/>
      <c r="BQ355" s="9"/>
      <c r="BR355" s="9"/>
      <c r="BS355" s="9"/>
      <c r="BT355" s="9"/>
      <c r="BU355" s="9"/>
      <c r="BV355" s="9"/>
      <c r="BW355" s="9"/>
    </row>
    <row r="356" spans="1:75" ht="26.25" hidden="1" outlineLevel="2" x14ac:dyDescent="0.25">
      <c r="A356" s="43" t="s">
        <v>71</v>
      </c>
      <c r="B356" s="110" t="s">
        <v>493</v>
      </c>
      <c r="C356" s="45">
        <v>2017</v>
      </c>
      <c r="D356" s="46" t="s">
        <v>83</v>
      </c>
      <c r="E356" s="47">
        <v>15020830</v>
      </c>
      <c r="F356" s="47">
        <v>0</v>
      </c>
      <c r="G356" s="47">
        <v>0</v>
      </c>
      <c r="H356" s="47">
        <v>0</v>
      </c>
      <c r="I356" s="47">
        <v>0</v>
      </c>
      <c r="J356" s="47">
        <v>0</v>
      </c>
      <c r="K356" s="47">
        <v>0</v>
      </c>
      <c r="L356" s="47">
        <v>0</v>
      </c>
      <c r="M356" s="47">
        <v>0</v>
      </c>
      <c r="N356" s="47">
        <v>0</v>
      </c>
      <c r="O356" s="47">
        <v>0</v>
      </c>
      <c r="P356" s="47">
        <v>0</v>
      </c>
      <c r="Q356" s="47">
        <v>0</v>
      </c>
      <c r="R356" s="47">
        <v>0</v>
      </c>
      <c r="S356" s="47">
        <v>0</v>
      </c>
      <c r="T356" s="47">
        <v>0</v>
      </c>
      <c r="U356" s="47">
        <v>0</v>
      </c>
      <c r="V356" s="47">
        <v>0</v>
      </c>
      <c r="W356" s="47">
        <v>0</v>
      </c>
      <c r="X356" s="47">
        <v>0</v>
      </c>
      <c r="Y356" s="48">
        <v>15020830</v>
      </c>
      <c r="Z356" s="58">
        <v>6931.55</v>
      </c>
      <c r="AA356" s="50">
        <v>6931.55</v>
      </c>
      <c r="AB356" s="50">
        <v>0</v>
      </c>
      <c r="AC356" s="50">
        <v>0</v>
      </c>
      <c r="AD356" s="50">
        <v>0</v>
      </c>
      <c r="AE356" s="50">
        <v>0</v>
      </c>
      <c r="AF356" s="50">
        <v>0</v>
      </c>
      <c r="AG356" s="49">
        <v>6931.55</v>
      </c>
      <c r="AH356" s="51" t="s">
        <v>104</v>
      </c>
      <c r="AI356" s="51" t="s">
        <v>74</v>
      </c>
      <c r="AJ356" s="51" t="s">
        <v>74</v>
      </c>
      <c r="AK356" s="51" t="s">
        <v>74</v>
      </c>
      <c r="AL356" s="51" t="s">
        <v>74</v>
      </c>
      <c r="AM356" s="51" t="s">
        <v>74</v>
      </c>
      <c r="AN356" s="52">
        <v>0</v>
      </c>
      <c r="AO356" s="52">
        <v>0</v>
      </c>
      <c r="AP356" s="52">
        <v>0</v>
      </c>
      <c r="AQ356" s="52">
        <v>0</v>
      </c>
      <c r="AR356" s="52">
        <v>0</v>
      </c>
      <c r="AS356" s="52">
        <v>0</v>
      </c>
      <c r="AT356" s="53" t="s">
        <v>74</v>
      </c>
      <c r="AU356" s="52">
        <v>0</v>
      </c>
      <c r="AV356" s="52"/>
      <c r="AW356" s="52">
        <v>0</v>
      </c>
      <c r="AX356" s="52"/>
      <c r="AY356" s="52"/>
      <c r="AZ356" s="52">
        <v>0</v>
      </c>
      <c r="BA356" s="52">
        <v>0</v>
      </c>
      <c r="BB356" s="54" t="s">
        <v>74</v>
      </c>
      <c r="BC356" s="53" t="s">
        <v>74</v>
      </c>
      <c r="BD356" s="55" t="s">
        <v>74</v>
      </c>
      <c r="BE356" s="55" t="s">
        <v>74</v>
      </c>
      <c r="BF356" s="55" t="s">
        <v>74</v>
      </c>
      <c r="BG356" s="55" t="s">
        <v>74</v>
      </c>
      <c r="BH356" s="52">
        <v>0</v>
      </c>
      <c r="BI356" s="52">
        <v>15013898.449999999</v>
      </c>
      <c r="BJ356" s="52">
        <v>15013898.449999999</v>
      </c>
      <c r="BK356" s="56">
        <v>42887</v>
      </c>
      <c r="BL356" s="57">
        <v>15013898.449999999</v>
      </c>
      <c r="BM356" s="47">
        <v>0</v>
      </c>
      <c r="BN356" s="9"/>
      <c r="BO356" s="9"/>
      <c r="BP356" s="9"/>
      <c r="BQ356" s="9"/>
      <c r="BR356" s="9"/>
      <c r="BS356" s="9"/>
      <c r="BT356" s="9"/>
      <c r="BU356" s="9"/>
      <c r="BV356" s="9"/>
      <c r="BW356" s="9"/>
    </row>
    <row r="357" spans="1:75" ht="39" hidden="1" outlineLevel="2" x14ac:dyDescent="0.25">
      <c r="A357" s="43" t="s">
        <v>71</v>
      </c>
      <c r="B357" s="110" t="s">
        <v>493</v>
      </c>
      <c r="C357" s="45">
        <v>2017</v>
      </c>
      <c r="D357" s="46" t="s">
        <v>84</v>
      </c>
      <c r="E357" s="47">
        <v>15020830</v>
      </c>
      <c r="F357" s="47">
        <v>0</v>
      </c>
      <c r="G357" s="47">
        <v>0</v>
      </c>
      <c r="H357" s="47">
        <v>0</v>
      </c>
      <c r="I357" s="47">
        <v>0</v>
      </c>
      <c r="J357" s="47">
        <v>0</v>
      </c>
      <c r="K357" s="47">
        <v>0</v>
      </c>
      <c r="L357" s="47">
        <v>0</v>
      </c>
      <c r="M357" s="47">
        <v>0</v>
      </c>
      <c r="N357" s="47">
        <v>0</v>
      </c>
      <c r="O357" s="47">
        <v>0</v>
      </c>
      <c r="P357" s="47">
        <v>0</v>
      </c>
      <c r="Q357" s="47">
        <v>0</v>
      </c>
      <c r="R357" s="47">
        <v>0</v>
      </c>
      <c r="S357" s="47">
        <v>0</v>
      </c>
      <c r="T357" s="47">
        <v>0</v>
      </c>
      <c r="U357" s="47">
        <v>0</v>
      </c>
      <c r="V357" s="47">
        <v>0</v>
      </c>
      <c r="W357" s="47">
        <v>0</v>
      </c>
      <c r="X357" s="47">
        <v>0</v>
      </c>
      <c r="Y357" s="48">
        <v>15020830</v>
      </c>
      <c r="Z357" s="58">
        <v>14137.42</v>
      </c>
      <c r="AA357" s="50">
        <v>14137.42</v>
      </c>
      <c r="AB357" s="50">
        <v>0</v>
      </c>
      <c r="AC357" s="50">
        <v>0</v>
      </c>
      <c r="AD357" s="50">
        <v>0</v>
      </c>
      <c r="AE357" s="50">
        <v>0</v>
      </c>
      <c r="AF357" s="50">
        <v>0</v>
      </c>
      <c r="AG357" s="49">
        <v>14137.42</v>
      </c>
      <c r="AH357" s="51" t="s">
        <v>104</v>
      </c>
      <c r="AI357" s="51" t="s">
        <v>74</v>
      </c>
      <c r="AJ357" s="51" t="s">
        <v>74</v>
      </c>
      <c r="AK357" s="51" t="s">
        <v>74</v>
      </c>
      <c r="AL357" s="51" t="s">
        <v>74</v>
      </c>
      <c r="AM357" s="51" t="s">
        <v>74</v>
      </c>
      <c r="AN357" s="52">
        <v>0</v>
      </c>
      <c r="AO357" s="52">
        <v>0</v>
      </c>
      <c r="AP357" s="52">
        <v>7205.87</v>
      </c>
      <c r="AQ357" s="52">
        <v>0</v>
      </c>
      <c r="AR357" s="52">
        <v>0</v>
      </c>
      <c r="AS357" s="52">
        <v>7205.87</v>
      </c>
      <c r="AT357" s="51" t="s">
        <v>495</v>
      </c>
      <c r="AU357" s="52">
        <v>0</v>
      </c>
      <c r="AV357" s="52"/>
      <c r="AW357" s="52">
        <v>0</v>
      </c>
      <c r="AX357" s="52"/>
      <c r="AY357" s="52"/>
      <c r="AZ357" s="52">
        <v>0</v>
      </c>
      <c r="BA357" s="52">
        <v>0</v>
      </c>
      <c r="BB357" s="54" t="s">
        <v>74</v>
      </c>
      <c r="BC357" s="53" t="s">
        <v>74</v>
      </c>
      <c r="BD357" s="55" t="s">
        <v>74</v>
      </c>
      <c r="BE357" s="55" t="s">
        <v>74</v>
      </c>
      <c r="BF357" s="55" t="s">
        <v>74</v>
      </c>
      <c r="BG357" s="55" t="s">
        <v>74</v>
      </c>
      <c r="BH357" s="52">
        <v>7205.87</v>
      </c>
      <c r="BI357" s="52">
        <v>15013898.449999999</v>
      </c>
      <c r="BJ357" s="52">
        <v>15013898.449999999</v>
      </c>
      <c r="BK357" s="56">
        <v>42917</v>
      </c>
      <c r="BL357" s="57">
        <v>15013898.449999999</v>
      </c>
      <c r="BM357" s="47">
        <v>0</v>
      </c>
      <c r="BN357" s="9"/>
      <c r="BO357" s="9"/>
      <c r="BP357" s="9"/>
      <c r="BQ357" s="9"/>
      <c r="BR357" s="9"/>
      <c r="BS357" s="9"/>
      <c r="BT357" s="9"/>
      <c r="BU357" s="9"/>
      <c r="BV357" s="9"/>
      <c r="BW357" s="9"/>
    </row>
    <row r="358" spans="1:75" ht="26.25" hidden="1" outlineLevel="2" x14ac:dyDescent="0.25">
      <c r="A358" s="43" t="s">
        <v>71</v>
      </c>
      <c r="B358" s="110" t="s">
        <v>493</v>
      </c>
      <c r="C358" s="45">
        <v>2017</v>
      </c>
      <c r="D358" s="46" t="s">
        <v>86</v>
      </c>
      <c r="E358" s="47">
        <v>15020830</v>
      </c>
      <c r="F358" s="47">
        <v>0</v>
      </c>
      <c r="G358" s="47">
        <v>0</v>
      </c>
      <c r="H358" s="47">
        <v>0</v>
      </c>
      <c r="I358" s="47">
        <v>0</v>
      </c>
      <c r="J358" s="47">
        <v>0</v>
      </c>
      <c r="K358" s="47">
        <v>0</v>
      </c>
      <c r="L358" s="47">
        <v>0</v>
      </c>
      <c r="M358" s="47">
        <v>0</v>
      </c>
      <c r="N358" s="47">
        <v>0</v>
      </c>
      <c r="O358" s="47">
        <v>0</v>
      </c>
      <c r="P358" s="47">
        <v>0</v>
      </c>
      <c r="Q358" s="47">
        <v>0</v>
      </c>
      <c r="R358" s="47">
        <v>0</v>
      </c>
      <c r="S358" s="47">
        <v>0</v>
      </c>
      <c r="T358" s="47">
        <v>0</v>
      </c>
      <c r="U358" s="47">
        <v>0</v>
      </c>
      <c r="V358" s="47">
        <v>0</v>
      </c>
      <c r="W358" s="47">
        <v>0</v>
      </c>
      <c r="X358" s="47">
        <v>0</v>
      </c>
      <c r="Y358" s="48">
        <v>15020830</v>
      </c>
      <c r="Z358" s="58">
        <v>7089.82</v>
      </c>
      <c r="AA358" s="50">
        <v>7089.82</v>
      </c>
      <c r="AB358" s="50">
        <v>0</v>
      </c>
      <c r="AC358" s="50">
        <v>0</v>
      </c>
      <c r="AD358" s="50">
        <v>0</v>
      </c>
      <c r="AE358" s="50">
        <v>0</v>
      </c>
      <c r="AF358" s="50">
        <v>0</v>
      </c>
      <c r="AG358" s="49">
        <v>7089.82</v>
      </c>
      <c r="AH358" s="51" t="s">
        <v>104</v>
      </c>
      <c r="AI358" s="51" t="s">
        <v>74</v>
      </c>
      <c r="AJ358" s="51" t="s">
        <v>74</v>
      </c>
      <c r="AK358" s="51" t="s">
        <v>74</v>
      </c>
      <c r="AL358" s="51" t="s">
        <v>74</v>
      </c>
      <c r="AM358" s="51" t="s">
        <v>74</v>
      </c>
      <c r="AN358" s="52">
        <v>0</v>
      </c>
      <c r="AO358" s="52">
        <v>0</v>
      </c>
      <c r="AP358" s="52">
        <v>0</v>
      </c>
      <c r="AQ358" s="52">
        <v>0</v>
      </c>
      <c r="AR358" s="52">
        <v>0</v>
      </c>
      <c r="AS358" s="52">
        <v>0</v>
      </c>
      <c r="AT358" s="53" t="s">
        <v>74</v>
      </c>
      <c r="AU358" s="52">
        <v>0</v>
      </c>
      <c r="AV358" s="52"/>
      <c r="AW358" s="52">
        <v>0</v>
      </c>
      <c r="AX358" s="52"/>
      <c r="AY358" s="52"/>
      <c r="AZ358" s="52">
        <v>0</v>
      </c>
      <c r="BA358" s="52">
        <v>0</v>
      </c>
      <c r="BB358" s="54" t="s">
        <v>74</v>
      </c>
      <c r="BC358" s="53" t="s">
        <v>74</v>
      </c>
      <c r="BD358" s="55" t="s">
        <v>74</v>
      </c>
      <c r="BE358" s="55" t="s">
        <v>74</v>
      </c>
      <c r="BF358" s="55" t="s">
        <v>74</v>
      </c>
      <c r="BG358" s="55" t="s">
        <v>74</v>
      </c>
      <c r="BH358" s="52">
        <v>0</v>
      </c>
      <c r="BI358" s="52">
        <v>15013740.18</v>
      </c>
      <c r="BJ358" s="52">
        <v>15013740.18</v>
      </c>
      <c r="BK358" s="56">
        <v>42948</v>
      </c>
      <c r="BL358" s="57">
        <v>15013740.18</v>
      </c>
      <c r="BM358" s="47">
        <v>0</v>
      </c>
      <c r="BN358" s="9"/>
      <c r="BO358" s="9"/>
      <c r="BP358" s="9"/>
      <c r="BQ358" s="9"/>
      <c r="BR358" s="9"/>
      <c r="BS358" s="9"/>
      <c r="BT358" s="9"/>
      <c r="BU358" s="9"/>
      <c r="BV358" s="9"/>
      <c r="BW358" s="9"/>
    </row>
    <row r="359" spans="1:75" ht="26.25" hidden="1" outlineLevel="2" x14ac:dyDescent="0.25">
      <c r="A359" s="43" t="s">
        <v>71</v>
      </c>
      <c r="B359" s="110" t="s">
        <v>493</v>
      </c>
      <c r="C359" s="45">
        <v>2017</v>
      </c>
      <c r="D359" s="46" t="s">
        <v>88</v>
      </c>
      <c r="E359" s="47">
        <v>15020830</v>
      </c>
      <c r="F359" s="47">
        <v>0</v>
      </c>
      <c r="G359" s="47">
        <v>0</v>
      </c>
      <c r="H359" s="47">
        <v>0</v>
      </c>
      <c r="I359" s="47">
        <v>0</v>
      </c>
      <c r="J359" s="47">
        <v>0</v>
      </c>
      <c r="K359" s="47">
        <v>0</v>
      </c>
      <c r="L359" s="47">
        <v>0</v>
      </c>
      <c r="M359" s="47">
        <v>0</v>
      </c>
      <c r="N359" s="47">
        <v>0</v>
      </c>
      <c r="O359" s="47">
        <v>0</v>
      </c>
      <c r="P359" s="47">
        <v>0</v>
      </c>
      <c r="Q359" s="47">
        <v>0</v>
      </c>
      <c r="R359" s="47">
        <v>0</v>
      </c>
      <c r="S359" s="47">
        <v>0</v>
      </c>
      <c r="T359" s="47">
        <v>0</v>
      </c>
      <c r="U359" s="47">
        <v>0</v>
      </c>
      <c r="V359" s="47">
        <v>0</v>
      </c>
      <c r="W359" s="47">
        <v>0</v>
      </c>
      <c r="X359" s="47">
        <v>0</v>
      </c>
      <c r="Y359" s="48">
        <v>15020830</v>
      </c>
      <c r="Z359" s="58">
        <v>7089.82</v>
      </c>
      <c r="AA359" s="50">
        <v>7089.82</v>
      </c>
      <c r="AB359" s="50">
        <v>0</v>
      </c>
      <c r="AC359" s="50">
        <v>0</v>
      </c>
      <c r="AD359" s="50">
        <v>0</v>
      </c>
      <c r="AE359" s="50">
        <v>0</v>
      </c>
      <c r="AF359" s="50">
        <v>0</v>
      </c>
      <c r="AG359" s="49">
        <v>7089.82</v>
      </c>
      <c r="AH359" s="51" t="s">
        <v>104</v>
      </c>
      <c r="AI359" s="51" t="s">
        <v>74</v>
      </c>
      <c r="AJ359" s="51" t="s">
        <v>74</v>
      </c>
      <c r="AK359" s="51" t="s">
        <v>74</v>
      </c>
      <c r="AL359" s="51" t="s">
        <v>74</v>
      </c>
      <c r="AM359" s="51" t="s">
        <v>74</v>
      </c>
      <c r="AN359" s="52">
        <v>0</v>
      </c>
      <c r="AO359" s="52">
        <v>0</v>
      </c>
      <c r="AP359" s="52">
        <v>0</v>
      </c>
      <c r="AQ359" s="52">
        <v>0</v>
      </c>
      <c r="AR359" s="52">
        <v>0</v>
      </c>
      <c r="AS359" s="52">
        <v>0</v>
      </c>
      <c r="AT359" s="53" t="s">
        <v>74</v>
      </c>
      <c r="AU359" s="52">
        <v>0</v>
      </c>
      <c r="AV359" s="52"/>
      <c r="AW359" s="52">
        <v>0</v>
      </c>
      <c r="AX359" s="52"/>
      <c r="AY359" s="52"/>
      <c r="AZ359" s="52">
        <v>0</v>
      </c>
      <c r="BA359" s="52">
        <v>0</v>
      </c>
      <c r="BB359" s="54" t="s">
        <v>74</v>
      </c>
      <c r="BC359" s="53" t="s">
        <v>74</v>
      </c>
      <c r="BD359" s="55" t="s">
        <v>74</v>
      </c>
      <c r="BE359" s="55" t="s">
        <v>74</v>
      </c>
      <c r="BF359" s="55" t="s">
        <v>74</v>
      </c>
      <c r="BG359" s="55" t="s">
        <v>74</v>
      </c>
      <c r="BH359" s="52">
        <v>0</v>
      </c>
      <c r="BI359" s="52">
        <v>15013740.18</v>
      </c>
      <c r="BJ359" s="52">
        <v>15013740.18</v>
      </c>
      <c r="BK359" s="56">
        <v>42979</v>
      </c>
      <c r="BL359" s="57">
        <v>15013740.18</v>
      </c>
      <c r="BM359" s="47">
        <v>0</v>
      </c>
      <c r="BN359" s="9"/>
      <c r="BO359" s="9"/>
      <c r="BP359" s="9"/>
      <c r="BQ359" s="9"/>
      <c r="BR359" s="9"/>
      <c r="BS359" s="9"/>
      <c r="BT359" s="9"/>
      <c r="BU359" s="9"/>
      <c r="BV359" s="9"/>
      <c r="BW359" s="9"/>
    </row>
    <row r="360" spans="1:75" ht="39" hidden="1" outlineLevel="2" x14ac:dyDescent="0.25">
      <c r="A360" s="43" t="s">
        <v>71</v>
      </c>
      <c r="B360" s="110" t="s">
        <v>493</v>
      </c>
      <c r="C360" s="45">
        <v>2017</v>
      </c>
      <c r="D360" s="46" t="s">
        <v>89</v>
      </c>
      <c r="E360" s="47">
        <v>15020830</v>
      </c>
      <c r="F360" s="47">
        <v>0</v>
      </c>
      <c r="G360" s="47">
        <v>0</v>
      </c>
      <c r="H360" s="47">
        <v>3273713.29</v>
      </c>
      <c r="I360" s="47">
        <v>0</v>
      </c>
      <c r="J360" s="47">
        <v>0</v>
      </c>
      <c r="K360" s="47">
        <v>0</v>
      </c>
      <c r="L360" s="47">
        <v>0</v>
      </c>
      <c r="M360" s="47">
        <v>0</v>
      </c>
      <c r="N360" s="47">
        <v>0</v>
      </c>
      <c r="O360" s="47">
        <v>0</v>
      </c>
      <c r="P360" s="47">
        <v>0</v>
      </c>
      <c r="Q360" s="47">
        <v>0</v>
      </c>
      <c r="R360" s="47">
        <v>0</v>
      </c>
      <c r="S360" s="47">
        <v>0</v>
      </c>
      <c r="T360" s="47">
        <v>0</v>
      </c>
      <c r="U360" s="47">
        <v>0</v>
      </c>
      <c r="V360" s="47">
        <v>0</v>
      </c>
      <c r="W360" s="47">
        <v>0</v>
      </c>
      <c r="X360" s="47">
        <v>0</v>
      </c>
      <c r="Y360" s="48">
        <v>18294543.289999999</v>
      </c>
      <c r="Z360" s="58">
        <v>7089.82</v>
      </c>
      <c r="AA360" s="50">
        <v>7089.82</v>
      </c>
      <c r="AB360" s="50">
        <v>0</v>
      </c>
      <c r="AC360" s="50">
        <v>0</v>
      </c>
      <c r="AD360" s="50">
        <v>0</v>
      </c>
      <c r="AE360" s="50">
        <v>3619536.76</v>
      </c>
      <c r="AF360" s="50">
        <v>0</v>
      </c>
      <c r="AG360" s="49">
        <v>3626626.58</v>
      </c>
      <c r="AH360" s="51" t="s">
        <v>104</v>
      </c>
      <c r="AI360" s="51" t="s">
        <v>74</v>
      </c>
      <c r="AJ360" s="51" t="s">
        <v>74</v>
      </c>
      <c r="AK360" s="51" t="s">
        <v>74</v>
      </c>
      <c r="AL360" s="51" t="s">
        <v>496</v>
      </c>
      <c r="AM360" s="51" t="s">
        <v>74</v>
      </c>
      <c r="AN360" s="52">
        <v>0</v>
      </c>
      <c r="AO360" s="52">
        <v>0</v>
      </c>
      <c r="AP360" s="52">
        <v>0</v>
      </c>
      <c r="AQ360" s="52">
        <v>0</v>
      </c>
      <c r="AR360" s="52">
        <v>0</v>
      </c>
      <c r="AS360" s="52">
        <v>0</v>
      </c>
      <c r="AT360" s="53" t="s">
        <v>74</v>
      </c>
      <c r="AU360" s="52">
        <v>0</v>
      </c>
      <c r="AV360" s="52"/>
      <c r="AW360" s="52">
        <v>0</v>
      </c>
      <c r="AX360" s="52"/>
      <c r="AY360" s="52"/>
      <c r="AZ360" s="52">
        <v>0</v>
      </c>
      <c r="BA360" s="52">
        <v>0</v>
      </c>
      <c r="BB360" s="54" t="s">
        <v>74</v>
      </c>
      <c r="BC360" s="53" t="s">
        <v>74</v>
      </c>
      <c r="BD360" s="55" t="s">
        <v>74</v>
      </c>
      <c r="BE360" s="55" t="s">
        <v>74</v>
      </c>
      <c r="BF360" s="55" t="s">
        <v>74</v>
      </c>
      <c r="BG360" s="55" t="s">
        <v>74</v>
      </c>
      <c r="BH360" s="52">
        <v>0</v>
      </c>
      <c r="BI360" s="52">
        <v>14667916.710000001</v>
      </c>
      <c r="BJ360" s="52">
        <v>14667916.710000001</v>
      </c>
      <c r="BK360" s="56">
        <v>43009</v>
      </c>
      <c r="BL360" s="57">
        <v>14667916.710000001</v>
      </c>
      <c r="BM360" s="47">
        <v>0</v>
      </c>
      <c r="BN360" s="9"/>
      <c r="BO360" s="9"/>
      <c r="BP360" s="9"/>
      <c r="BQ360" s="9"/>
      <c r="BR360" s="9"/>
      <c r="BS360" s="9"/>
      <c r="BT360" s="9"/>
      <c r="BU360" s="9"/>
      <c r="BV360" s="9"/>
      <c r="BW360" s="9"/>
    </row>
    <row r="361" spans="1:75" ht="128.25" hidden="1" outlineLevel="2" x14ac:dyDescent="0.25">
      <c r="A361" s="43" t="s">
        <v>71</v>
      </c>
      <c r="B361" s="110" t="s">
        <v>493</v>
      </c>
      <c r="C361" s="45">
        <v>2017</v>
      </c>
      <c r="D361" s="46" t="s">
        <v>90</v>
      </c>
      <c r="E361" s="47">
        <v>15020830</v>
      </c>
      <c r="F361" s="47">
        <v>0</v>
      </c>
      <c r="G361" s="47">
        <v>0</v>
      </c>
      <c r="H361" s="47">
        <v>3308442.79</v>
      </c>
      <c r="I361" s="47">
        <v>0</v>
      </c>
      <c r="J361" s="47">
        <v>0</v>
      </c>
      <c r="K361" s="47">
        <v>0</v>
      </c>
      <c r="L361" s="47">
        <v>0</v>
      </c>
      <c r="M361" s="47">
        <v>0</v>
      </c>
      <c r="N361" s="47">
        <v>0</v>
      </c>
      <c r="O361" s="47">
        <v>0</v>
      </c>
      <c r="P361" s="47">
        <v>0</v>
      </c>
      <c r="Q361" s="47">
        <v>0</v>
      </c>
      <c r="R361" s="47">
        <v>0</v>
      </c>
      <c r="S361" s="47">
        <v>0</v>
      </c>
      <c r="T361" s="47">
        <v>0</v>
      </c>
      <c r="U361" s="47">
        <v>0</v>
      </c>
      <c r="V361" s="47">
        <v>0</v>
      </c>
      <c r="W361" s="47">
        <v>0</v>
      </c>
      <c r="X361" s="47">
        <v>0</v>
      </c>
      <c r="Y361" s="48">
        <v>18329272.789999999</v>
      </c>
      <c r="Z361" s="58">
        <v>7089.82</v>
      </c>
      <c r="AA361" s="50">
        <v>7089.82</v>
      </c>
      <c r="AB361" s="50">
        <v>0</v>
      </c>
      <c r="AC361" s="50">
        <v>0</v>
      </c>
      <c r="AD361" s="50">
        <v>212187.36</v>
      </c>
      <c r="AE361" s="50">
        <v>0</v>
      </c>
      <c r="AF361" s="50">
        <v>0</v>
      </c>
      <c r="AG361" s="49">
        <v>219277.18</v>
      </c>
      <c r="AH361" s="51" t="s">
        <v>497</v>
      </c>
      <c r="AI361" s="51" t="s">
        <v>74</v>
      </c>
      <c r="AJ361" s="51" t="s">
        <v>74</v>
      </c>
      <c r="AK361" s="51" t="s">
        <v>353</v>
      </c>
      <c r="AL361" s="51" t="s">
        <v>74</v>
      </c>
      <c r="AM361" s="51" t="s">
        <v>74</v>
      </c>
      <c r="AN361" s="52">
        <v>0</v>
      </c>
      <c r="AO361" s="52">
        <v>0</v>
      </c>
      <c r="AP361" s="52">
        <v>0</v>
      </c>
      <c r="AQ361" s="52">
        <v>0</v>
      </c>
      <c r="AR361" s="52">
        <v>0</v>
      </c>
      <c r="AS361" s="52">
        <v>0</v>
      </c>
      <c r="AT361" s="53" t="s">
        <v>74</v>
      </c>
      <c r="AU361" s="52">
        <v>0</v>
      </c>
      <c r="AV361" s="52"/>
      <c r="AW361" s="52">
        <v>0</v>
      </c>
      <c r="AX361" s="52"/>
      <c r="AY361" s="52"/>
      <c r="AZ361" s="52">
        <v>0</v>
      </c>
      <c r="BA361" s="52">
        <v>0</v>
      </c>
      <c r="BB361" s="54" t="s">
        <v>74</v>
      </c>
      <c r="BC361" s="53" t="s">
        <v>74</v>
      </c>
      <c r="BD361" s="55" t="s">
        <v>74</v>
      </c>
      <c r="BE361" s="55" t="s">
        <v>74</v>
      </c>
      <c r="BF361" s="55" t="s">
        <v>74</v>
      </c>
      <c r="BG361" s="55" t="s">
        <v>74</v>
      </c>
      <c r="BH361" s="52">
        <v>0</v>
      </c>
      <c r="BI361" s="52">
        <v>18109995.609999999</v>
      </c>
      <c r="BJ361" s="52">
        <v>18075266.109999999</v>
      </c>
      <c r="BK361" s="56">
        <v>43040</v>
      </c>
      <c r="BL361" s="57">
        <v>18109995.609999999</v>
      </c>
      <c r="BM361" s="47">
        <v>0</v>
      </c>
      <c r="BN361" s="9"/>
      <c r="BO361" s="9"/>
      <c r="BP361" s="9"/>
      <c r="BQ361" s="9"/>
      <c r="BR361" s="9"/>
      <c r="BS361" s="9"/>
      <c r="BT361" s="9"/>
      <c r="BU361" s="9"/>
      <c r="BV361" s="9"/>
      <c r="BW361" s="9"/>
    </row>
    <row r="362" spans="1:75" ht="26.25" hidden="1" outlineLevel="2" x14ac:dyDescent="0.25">
      <c r="A362" s="43" t="s">
        <v>71</v>
      </c>
      <c r="B362" s="110" t="s">
        <v>493</v>
      </c>
      <c r="C362" s="45">
        <v>2017</v>
      </c>
      <c r="D362" s="46" t="s">
        <v>93</v>
      </c>
      <c r="E362" s="47">
        <v>15020830</v>
      </c>
      <c r="F362" s="47">
        <v>0</v>
      </c>
      <c r="G362" s="47">
        <v>0</v>
      </c>
      <c r="H362" s="47">
        <v>3273713.29</v>
      </c>
      <c r="I362" s="47">
        <v>0</v>
      </c>
      <c r="J362" s="47">
        <v>0</v>
      </c>
      <c r="K362" s="47">
        <v>0</v>
      </c>
      <c r="L362" s="47">
        <v>0</v>
      </c>
      <c r="M362" s="47">
        <v>0</v>
      </c>
      <c r="N362" s="47">
        <v>0</v>
      </c>
      <c r="O362" s="47">
        <v>0</v>
      </c>
      <c r="P362" s="47">
        <v>0</v>
      </c>
      <c r="Q362" s="47">
        <v>0</v>
      </c>
      <c r="R362" s="47">
        <v>0</v>
      </c>
      <c r="S362" s="47">
        <v>0</v>
      </c>
      <c r="T362" s="47">
        <v>0</v>
      </c>
      <c r="U362" s="47">
        <v>0</v>
      </c>
      <c r="V362" s="47">
        <v>0</v>
      </c>
      <c r="W362" s="47">
        <v>0</v>
      </c>
      <c r="X362" s="47">
        <v>0</v>
      </c>
      <c r="Y362" s="48">
        <v>18294543.289999999</v>
      </c>
      <c r="Z362" s="58">
        <v>8307.7000000000007</v>
      </c>
      <c r="AA362" s="50">
        <v>8307.7000000000007</v>
      </c>
      <c r="AB362" s="50">
        <v>0</v>
      </c>
      <c r="AC362" s="50">
        <v>0</v>
      </c>
      <c r="AD362" s="50">
        <v>323181.7</v>
      </c>
      <c r="AE362" s="50">
        <v>0</v>
      </c>
      <c r="AF362" s="50">
        <v>0</v>
      </c>
      <c r="AG362" s="49">
        <v>331489.40000000002</v>
      </c>
      <c r="AH362" s="51" t="s">
        <v>104</v>
      </c>
      <c r="AI362" s="51" t="s">
        <v>74</v>
      </c>
      <c r="AJ362" s="51" t="s">
        <v>74</v>
      </c>
      <c r="AK362" s="51" t="s">
        <v>498</v>
      </c>
      <c r="AL362" s="51" t="s">
        <v>74</v>
      </c>
      <c r="AM362" s="51" t="s">
        <v>74</v>
      </c>
      <c r="AN362" s="52">
        <v>0</v>
      </c>
      <c r="AO362" s="52">
        <v>0</v>
      </c>
      <c r="AP362" s="52">
        <v>0</v>
      </c>
      <c r="AQ362" s="52">
        <v>0</v>
      </c>
      <c r="AR362" s="52">
        <v>0</v>
      </c>
      <c r="AS362" s="52">
        <v>0</v>
      </c>
      <c r="AT362" s="53" t="s">
        <v>74</v>
      </c>
      <c r="AU362" s="52">
        <v>0</v>
      </c>
      <c r="AV362" s="52"/>
      <c r="AW362" s="52">
        <v>0</v>
      </c>
      <c r="AX362" s="52"/>
      <c r="AY362" s="52"/>
      <c r="AZ362" s="52">
        <v>0</v>
      </c>
      <c r="BA362" s="52">
        <v>0</v>
      </c>
      <c r="BB362" s="54" t="s">
        <v>74</v>
      </c>
      <c r="BC362" s="53" t="s">
        <v>74</v>
      </c>
      <c r="BD362" s="55" t="s">
        <v>74</v>
      </c>
      <c r="BE362" s="55" t="s">
        <v>74</v>
      </c>
      <c r="BF362" s="55" t="s">
        <v>74</v>
      </c>
      <c r="BG362" s="55" t="s">
        <v>74</v>
      </c>
      <c r="BH362" s="52">
        <v>0</v>
      </c>
      <c r="BI362" s="52">
        <v>17963053.890000001</v>
      </c>
      <c r="BJ362" s="52">
        <v>17963053.890000001</v>
      </c>
      <c r="BK362" s="56">
        <v>43070</v>
      </c>
      <c r="BL362" s="57">
        <v>17963053.890000001</v>
      </c>
      <c r="BM362" s="47">
        <v>0</v>
      </c>
      <c r="BN362" s="9"/>
      <c r="BO362" s="9"/>
      <c r="BP362" s="9"/>
      <c r="BQ362" s="9"/>
      <c r="BR362" s="9"/>
      <c r="BS362" s="9"/>
      <c r="BT362" s="9"/>
      <c r="BU362" s="9"/>
      <c r="BV362" s="9"/>
      <c r="BW362" s="9"/>
    </row>
    <row r="363" spans="1:75" ht="26.25" hidden="1" outlineLevel="2" x14ac:dyDescent="0.25">
      <c r="A363" s="43" t="s">
        <v>71</v>
      </c>
      <c r="B363" s="110" t="s">
        <v>493</v>
      </c>
      <c r="C363" s="45">
        <v>2018</v>
      </c>
      <c r="D363" s="46" t="s">
        <v>73</v>
      </c>
      <c r="E363" s="47">
        <v>15020830</v>
      </c>
      <c r="F363" s="47">
        <v>0</v>
      </c>
      <c r="G363" s="47">
        <v>0</v>
      </c>
      <c r="H363" s="47">
        <v>3273713.29</v>
      </c>
      <c r="I363" s="47">
        <v>0</v>
      </c>
      <c r="J363" s="47">
        <v>0</v>
      </c>
      <c r="K363" s="47">
        <v>0</v>
      </c>
      <c r="L363" s="47">
        <v>0</v>
      </c>
      <c r="M363" s="47">
        <v>0</v>
      </c>
      <c r="N363" s="47">
        <v>0</v>
      </c>
      <c r="O363" s="47">
        <v>0</v>
      </c>
      <c r="P363" s="47">
        <v>0</v>
      </c>
      <c r="Q363" s="47">
        <v>0</v>
      </c>
      <c r="R363" s="47">
        <v>0</v>
      </c>
      <c r="S363" s="47">
        <v>0</v>
      </c>
      <c r="T363" s="47">
        <v>0</v>
      </c>
      <c r="U363" s="47">
        <v>0</v>
      </c>
      <c r="V363" s="47">
        <v>0</v>
      </c>
      <c r="W363" s="47">
        <v>0</v>
      </c>
      <c r="X363" s="47">
        <v>0</v>
      </c>
      <c r="Y363" s="48">
        <v>18294543.289999999</v>
      </c>
      <c r="Z363" s="58">
        <v>8328.81</v>
      </c>
      <c r="AA363" s="50">
        <v>8328.81</v>
      </c>
      <c r="AB363" s="50">
        <v>0</v>
      </c>
      <c r="AC363" s="50">
        <v>0</v>
      </c>
      <c r="AD363" s="50">
        <v>290637.37</v>
      </c>
      <c r="AE363" s="50">
        <v>0</v>
      </c>
      <c r="AF363" s="50">
        <v>0</v>
      </c>
      <c r="AG363" s="49">
        <v>298966.18</v>
      </c>
      <c r="AH363" s="51" t="s">
        <v>104</v>
      </c>
      <c r="AI363" s="51" t="s">
        <v>74</v>
      </c>
      <c r="AJ363" s="51" t="s">
        <v>74</v>
      </c>
      <c r="AK363" s="51" t="s">
        <v>97</v>
      </c>
      <c r="AL363" s="51" t="s">
        <v>74</v>
      </c>
      <c r="AM363" s="51" t="s">
        <v>74</v>
      </c>
      <c r="AN363" s="52">
        <v>0</v>
      </c>
      <c r="AO363" s="52">
        <v>0</v>
      </c>
      <c r="AP363" s="52">
        <v>0</v>
      </c>
      <c r="AQ363" s="52">
        <v>0</v>
      </c>
      <c r="AR363" s="52">
        <v>0</v>
      </c>
      <c r="AS363" s="52">
        <v>0</v>
      </c>
      <c r="AT363" s="53" t="s">
        <v>74</v>
      </c>
      <c r="AU363" s="52">
        <v>0</v>
      </c>
      <c r="AV363" s="52"/>
      <c r="AW363" s="52">
        <v>0</v>
      </c>
      <c r="AX363" s="52"/>
      <c r="AY363" s="52"/>
      <c r="AZ363" s="52">
        <v>0</v>
      </c>
      <c r="BA363" s="52">
        <v>0</v>
      </c>
      <c r="BB363" s="54" t="s">
        <v>74</v>
      </c>
      <c r="BC363" s="53" t="s">
        <v>74</v>
      </c>
      <c r="BD363" s="55" t="s">
        <v>74</v>
      </c>
      <c r="BE363" s="55" t="s">
        <v>74</v>
      </c>
      <c r="BF363" s="55" t="s">
        <v>74</v>
      </c>
      <c r="BG363" s="55" t="s">
        <v>74</v>
      </c>
      <c r="BH363" s="52">
        <v>0</v>
      </c>
      <c r="BI363" s="52">
        <v>17995577.109999999</v>
      </c>
      <c r="BJ363" s="52">
        <v>17995577.109999999</v>
      </c>
      <c r="BK363" s="56">
        <v>43101</v>
      </c>
      <c r="BL363" s="57">
        <v>17995577.109999999</v>
      </c>
      <c r="BM363" s="47">
        <v>0</v>
      </c>
      <c r="BN363" s="9"/>
      <c r="BO363" s="9"/>
      <c r="BP363" s="9"/>
      <c r="BQ363" s="9"/>
      <c r="BR363" s="9"/>
      <c r="BS363" s="9"/>
      <c r="BT363" s="9"/>
      <c r="BU363" s="9"/>
      <c r="BV363" s="9"/>
      <c r="BW363" s="9"/>
    </row>
    <row r="364" spans="1:75" ht="166.5" hidden="1" outlineLevel="2" x14ac:dyDescent="0.25">
      <c r="A364" s="43" t="s">
        <v>71</v>
      </c>
      <c r="B364" s="110" t="s">
        <v>493</v>
      </c>
      <c r="C364" s="45">
        <v>2018</v>
      </c>
      <c r="D364" s="46" t="s">
        <v>75</v>
      </c>
      <c r="E364" s="47">
        <v>15020830</v>
      </c>
      <c r="F364" s="47">
        <v>0</v>
      </c>
      <c r="G364" s="47">
        <v>0</v>
      </c>
      <c r="H364" s="47">
        <v>3273713.29</v>
      </c>
      <c r="I364" s="47">
        <v>0</v>
      </c>
      <c r="J364" s="47">
        <v>0</v>
      </c>
      <c r="K364" s="47">
        <v>0</v>
      </c>
      <c r="L364" s="47">
        <v>0</v>
      </c>
      <c r="M364" s="47">
        <v>0</v>
      </c>
      <c r="N364" s="47">
        <v>0</v>
      </c>
      <c r="O364" s="47">
        <v>0</v>
      </c>
      <c r="P364" s="47">
        <v>0</v>
      </c>
      <c r="Q364" s="47">
        <v>0</v>
      </c>
      <c r="R364" s="47">
        <v>0</v>
      </c>
      <c r="S364" s="47">
        <v>0</v>
      </c>
      <c r="T364" s="47">
        <v>0</v>
      </c>
      <c r="U364" s="47">
        <v>0</v>
      </c>
      <c r="V364" s="47">
        <v>0</v>
      </c>
      <c r="W364" s="47">
        <v>0</v>
      </c>
      <c r="X364" s="47">
        <v>0</v>
      </c>
      <c r="Y364" s="48">
        <v>18294543.289999999</v>
      </c>
      <c r="Z364" s="58">
        <v>13017.01</v>
      </c>
      <c r="AA364" s="50">
        <v>13017.01</v>
      </c>
      <c r="AB364" s="50">
        <v>0</v>
      </c>
      <c r="AC364" s="50">
        <v>0</v>
      </c>
      <c r="AD364" s="50">
        <v>249262.22</v>
      </c>
      <c r="AE364" s="50">
        <v>0</v>
      </c>
      <c r="AF364" s="50">
        <v>0</v>
      </c>
      <c r="AG364" s="49">
        <v>262279.23</v>
      </c>
      <c r="AH364" s="51" t="s">
        <v>104</v>
      </c>
      <c r="AI364" s="51" t="s">
        <v>74</v>
      </c>
      <c r="AJ364" s="51" t="s">
        <v>74</v>
      </c>
      <c r="AK364" s="51" t="s">
        <v>99</v>
      </c>
      <c r="AL364" s="51" t="s">
        <v>74</v>
      </c>
      <c r="AM364" s="51" t="s">
        <v>74</v>
      </c>
      <c r="AN364" s="52">
        <v>0</v>
      </c>
      <c r="AO364" s="52">
        <v>0</v>
      </c>
      <c r="AP364" s="52">
        <v>0</v>
      </c>
      <c r="AQ364" s="52">
        <v>0</v>
      </c>
      <c r="AR364" s="52">
        <v>0</v>
      </c>
      <c r="AS364" s="52">
        <v>0</v>
      </c>
      <c r="AT364" s="53" t="s">
        <v>74</v>
      </c>
      <c r="AU364" s="52">
        <v>0</v>
      </c>
      <c r="AV364" s="52"/>
      <c r="AW364" s="52">
        <v>1199990</v>
      </c>
      <c r="AX364" s="52"/>
      <c r="AY364" s="52"/>
      <c r="AZ364" s="52">
        <v>0</v>
      </c>
      <c r="BA364" s="52">
        <v>1199990</v>
      </c>
      <c r="BB364" s="54" t="s">
        <v>74</v>
      </c>
      <c r="BC364" s="53" t="s">
        <v>74</v>
      </c>
      <c r="BD364" s="55" t="s">
        <v>499</v>
      </c>
      <c r="BE364" s="55" t="s">
        <v>74</v>
      </c>
      <c r="BF364" s="55" t="s">
        <v>74</v>
      </c>
      <c r="BG364" s="55" t="s">
        <v>74</v>
      </c>
      <c r="BH364" s="52">
        <v>1199990</v>
      </c>
      <c r="BI364" s="52">
        <v>19232254.059999999</v>
      </c>
      <c r="BJ364" s="52">
        <v>18032264.059999999</v>
      </c>
      <c r="BK364" s="56">
        <v>43132</v>
      </c>
      <c r="BL364" s="57">
        <v>19232254.059999999</v>
      </c>
      <c r="BM364" s="47">
        <v>0</v>
      </c>
      <c r="BN364" s="9"/>
      <c r="BO364" s="9"/>
      <c r="BP364" s="9"/>
      <c r="BQ364" s="9"/>
      <c r="BR364" s="9"/>
      <c r="BS364" s="9"/>
      <c r="BT364" s="9"/>
      <c r="BU364" s="9"/>
      <c r="BV364" s="9"/>
      <c r="BW364" s="9"/>
    </row>
    <row r="365" spans="1:75" ht="26.25" hidden="1" outlineLevel="2" x14ac:dyDescent="0.25">
      <c r="A365" s="43" t="s">
        <v>71</v>
      </c>
      <c r="B365" s="110" t="s">
        <v>493</v>
      </c>
      <c r="C365" s="45">
        <v>2018</v>
      </c>
      <c r="D365" s="46" t="s">
        <v>77</v>
      </c>
      <c r="E365" s="47">
        <v>15020830</v>
      </c>
      <c r="F365" s="47">
        <v>0</v>
      </c>
      <c r="G365" s="47">
        <v>0</v>
      </c>
      <c r="H365" s="47">
        <v>3273713.29</v>
      </c>
      <c r="I365" s="47">
        <v>0</v>
      </c>
      <c r="J365" s="47">
        <v>0</v>
      </c>
      <c r="K365" s="47">
        <v>0</v>
      </c>
      <c r="L365" s="47">
        <v>0</v>
      </c>
      <c r="M365" s="47">
        <v>0</v>
      </c>
      <c r="N365" s="47">
        <v>0</v>
      </c>
      <c r="O365" s="47">
        <v>0</v>
      </c>
      <c r="P365" s="47">
        <v>0</v>
      </c>
      <c r="Q365" s="47">
        <v>0</v>
      </c>
      <c r="R365" s="47">
        <v>0</v>
      </c>
      <c r="S365" s="47">
        <v>0</v>
      </c>
      <c r="T365" s="47">
        <v>0</v>
      </c>
      <c r="U365" s="47">
        <v>0</v>
      </c>
      <c r="V365" s="47">
        <v>0</v>
      </c>
      <c r="W365" s="47">
        <v>0</v>
      </c>
      <c r="X365" s="47">
        <v>0</v>
      </c>
      <c r="Y365" s="48">
        <v>18294543.289999999</v>
      </c>
      <c r="Z365" s="58">
        <v>13611.53</v>
      </c>
      <c r="AA365" s="50">
        <v>13611.53</v>
      </c>
      <c r="AB365" s="50">
        <v>0</v>
      </c>
      <c r="AC365" s="50">
        <v>0</v>
      </c>
      <c r="AD365" s="50">
        <v>264149.37</v>
      </c>
      <c r="AE365" s="50">
        <v>0</v>
      </c>
      <c r="AF365" s="50">
        <v>0</v>
      </c>
      <c r="AG365" s="49">
        <v>277760.90000000002</v>
      </c>
      <c r="AH365" s="51" t="s">
        <v>104</v>
      </c>
      <c r="AI365" s="51" t="s">
        <v>74</v>
      </c>
      <c r="AJ365" s="51" t="s">
        <v>74</v>
      </c>
      <c r="AK365" s="51" t="s">
        <v>102</v>
      </c>
      <c r="AL365" s="51" t="s">
        <v>74</v>
      </c>
      <c r="AM365" s="51" t="s">
        <v>74</v>
      </c>
      <c r="AN365" s="52">
        <v>0</v>
      </c>
      <c r="AO365" s="52">
        <v>0</v>
      </c>
      <c r="AP365" s="52">
        <v>0</v>
      </c>
      <c r="AQ365" s="52">
        <v>0</v>
      </c>
      <c r="AR365" s="52">
        <v>0</v>
      </c>
      <c r="AS365" s="52">
        <v>0</v>
      </c>
      <c r="AT365" s="53" t="s">
        <v>74</v>
      </c>
      <c r="AU365" s="52">
        <v>0</v>
      </c>
      <c r="AV365" s="52"/>
      <c r="AW365" s="52">
        <v>0</v>
      </c>
      <c r="AX365" s="52"/>
      <c r="AY365" s="52"/>
      <c r="AZ365" s="52">
        <v>0</v>
      </c>
      <c r="BA365" s="52">
        <v>0</v>
      </c>
      <c r="BB365" s="54" t="s">
        <v>74</v>
      </c>
      <c r="BC365" s="53" t="s">
        <v>74</v>
      </c>
      <c r="BD365" s="55" t="s">
        <v>74</v>
      </c>
      <c r="BE365" s="55" t="s">
        <v>74</v>
      </c>
      <c r="BF365" s="55" t="s">
        <v>74</v>
      </c>
      <c r="BG365" s="55" t="s">
        <v>74</v>
      </c>
      <c r="BH365" s="52">
        <v>0</v>
      </c>
      <c r="BI365" s="52">
        <v>18016782.390000001</v>
      </c>
      <c r="BJ365" s="52">
        <v>15340923.560000001</v>
      </c>
      <c r="BK365" s="56">
        <v>43160</v>
      </c>
      <c r="BL365" s="57">
        <v>18016782.390000001</v>
      </c>
      <c r="BM365" s="47">
        <v>0</v>
      </c>
      <c r="BN365" s="9"/>
      <c r="BO365" s="9"/>
      <c r="BP365" s="9"/>
      <c r="BQ365" s="9"/>
      <c r="BR365" s="9"/>
      <c r="BS365" s="9"/>
      <c r="BT365" s="9"/>
      <c r="BU365" s="9"/>
      <c r="BV365" s="9"/>
      <c r="BW365" s="9"/>
    </row>
    <row r="366" spans="1:75" ht="26.25" hidden="1" outlineLevel="2" x14ac:dyDescent="0.25">
      <c r="A366" s="43" t="s">
        <v>71</v>
      </c>
      <c r="B366" s="110" t="s">
        <v>493</v>
      </c>
      <c r="C366" s="45">
        <v>2018</v>
      </c>
      <c r="D366" s="46" t="s">
        <v>79</v>
      </c>
      <c r="E366" s="47">
        <v>15020830</v>
      </c>
      <c r="F366" s="47">
        <v>0</v>
      </c>
      <c r="G366" s="47">
        <v>0</v>
      </c>
      <c r="H366" s="47">
        <v>3273713.29</v>
      </c>
      <c r="I366" s="47">
        <v>0</v>
      </c>
      <c r="J366" s="47">
        <v>0</v>
      </c>
      <c r="K366" s="47">
        <v>0</v>
      </c>
      <c r="L366" s="47">
        <v>0</v>
      </c>
      <c r="M366" s="47">
        <v>0</v>
      </c>
      <c r="N366" s="47">
        <v>0</v>
      </c>
      <c r="O366" s="47">
        <v>0</v>
      </c>
      <c r="P366" s="47">
        <v>0</v>
      </c>
      <c r="Q366" s="47">
        <v>0</v>
      </c>
      <c r="R366" s="47">
        <v>0</v>
      </c>
      <c r="S366" s="47">
        <v>0</v>
      </c>
      <c r="T366" s="47">
        <v>0</v>
      </c>
      <c r="U366" s="47">
        <v>0</v>
      </c>
      <c r="V366" s="47">
        <v>0</v>
      </c>
      <c r="W366" s="47">
        <v>0</v>
      </c>
      <c r="X366" s="47">
        <v>0</v>
      </c>
      <c r="Y366" s="48">
        <v>18294543.289999999</v>
      </c>
      <c r="Z366" s="58">
        <v>13952.66</v>
      </c>
      <c r="AA366" s="50">
        <v>13952.66</v>
      </c>
      <c r="AB366" s="50">
        <v>0</v>
      </c>
      <c r="AC366" s="50">
        <v>0</v>
      </c>
      <c r="AD366" s="50">
        <v>242508.85</v>
      </c>
      <c r="AE366" s="50">
        <v>0</v>
      </c>
      <c r="AF366" s="50">
        <v>0</v>
      </c>
      <c r="AG366" s="49">
        <v>256461.51</v>
      </c>
      <c r="AH366" s="51" t="s">
        <v>104</v>
      </c>
      <c r="AI366" s="51" t="s">
        <v>74</v>
      </c>
      <c r="AJ366" s="51" t="s">
        <v>74</v>
      </c>
      <c r="AK366" s="51" t="s">
        <v>106</v>
      </c>
      <c r="AL366" s="51" t="s">
        <v>74</v>
      </c>
      <c r="AM366" s="51" t="s">
        <v>74</v>
      </c>
      <c r="AN366" s="52">
        <v>0</v>
      </c>
      <c r="AO366" s="52">
        <v>0</v>
      </c>
      <c r="AP366" s="52">
        <v>0</v>
      </c>
      <c r="AQ366" s="52">
        <v>0</v>
      </c>
      <c r="AR366" s="52">
        <v>0</v>
      </c>
      <c r="AS366" s="52">
        <v>0</v>
      </c>
      <c r="AT366" s="53" t="s">
        <v>74</v>
      </c>
      <c r="AU366" s="52">
        <v>0</v>
      </c>
      <c r="AV366" s="52"/>
      <c r="AW366" s="52">
        <v>0</v>
      </c>
      <c r="AX366" s="52"/>
      <c r="AY366" s="52"/>
      <c r="AZ366" s="52">
        <v>0</v>
      </c>
      <c r="BA366" s="52">
        <v>0</v>
      </c>
      <c r="BB366" s="54" t="s">
        <v>74</v>
      </c>
      <c r="BC366" s="53" t="s">
        <v>74</v>
      </c>
      <c r="BD366" s="55" t="s">
        <v>74</v>
      </c>
      <c r="BE366" s="55" t="s">
        <v>74</v>
      </c>
      <c r="BF366" s="55" t="s">
        <v>74</v>
      </c>
      <c r="BG366" s="55" t="s">
        <v>74</v>
      </c>
      <c r="BH366" s="52">
        <v>0</v>
      </c>
      <c r="BI366" s="52">
        <v>18038081.780000001</v>
      </c>
      <c r="BJ366" s="52">
        <v>18038081.780000001</v>
      </c>
      <c r="BK366" s="56">
        <v>43191</v>
      </c>
      <c r="BL366" s="57">
        <v>18038081.780000001</v>
      </c>
      <c r="BM366" s="47">
        <v>0</v>
      </c>
      <c r="BN366" s="9"/>
      <c r="BO366" s="9"/>
      <c r="BP366" s="9"/>
      <c r="BQ366" s="9"/>
      <c r="BR366" s="9"/>
      <c r="BS366" s="9"/>
      <c r="BT366" s="9"/>
      <c r="BU366" s="9"/>
      <c r="BV366" s="9"/>
      <c r="BW366" s="9"/>
    </row>
    <row r="367" spans="1:75" ht="26.25" hidden="1" outlineLevel="2" x14ac:dyDescent="0.25">
      <c r="A367" s="43" t="s">
        <v>71</v>
      </c>
      <c r="B367" s="110" t="s">
        <v>493</v>
      </c>
      <c r="C367" s="45">
        <v>2018</v>
      </c>
      <c r="D367" s="46" t="s">
        <v>81</v>
      </c>
      <c r="E367" s="47">
        <v>15020830</v>
      </c>
      <c r="F367" s="47">
        <v>0</v>
      </c>
      <c r="G367" s="47">
        <v>0</v>
      </c>
      <c r="H367" s="47">
        <v>3273713.29</v>
      </c>
      <c r="I367" s="47">
        <v>0</v>
      </c>
      <c r="J367" s="47">
        <v>0</v>
      </c>
      <c r="K367" s="47">
        <v>0</v>
      </c>
      <c r="L367" s="47">
        <v>0</v>
      </c>
      <c r="M367" s="47">
        <v>0</v>
      </c>
      <c r="N367" s="47">
        <v>0</v>
      </c>
      <c r="O367" s="47">
        <v>0</v>
      </c>
      <c r="P367" s="47">
        <v>0</v>
      </c>
      <c r="Q367" s="47">
        <v>0</v>
      </c>
      <c r="R367" s="47">
        <v>0</v>
      </c>
      <c r="S367" s="47">
        <v>0</v>
      </c>
      <c r="T367" s="47">
        <v>0</v>
      </c>
      <c r="U367" s="47">
        <v>0</v>
      </c>
      <c r="V367" s="47">
        <v>0</v>
      </c>
      <c r="W367" s="47">
        <v>0</v>
      </c>
      <c r="X367" s="47">
        <v>0</v>
      </c>
      <c r="Y367" s="48">
        <v>18294543.289999999</v>
      </c>
      <c r="Z367" s="58">
        <v>13893.71</v>
      </c>
      <c r="AA367" s="50">
        <v>13893.71</v>
      </c>
      <c r="AB367" s="50">
        <v>0</v>
      </c>
      <c r="AC367" s="50">
        <v>0</v>
      </c>
      <c r="AD367" s="50">
        <v>257497.03</v>
      </c>
      <c r="AE367" s="50">
        <v>0</v>
      </c>
      <c r="AF367" s="50">
        <v>0</v>
      </c>
      <c r="AG367" s="49">
        <v>271390.74</v>
      </c>
      <c r="AH367" s="51" t="s">
        <v>104</v>
      </c>
      <c r="AI367" s="51" t="s">
        <v>74</v>
      </c>
      <c r="AJ367" s="51" t="s">
        <v>74</v>
      </c>
      <c r="AK367" s="51" t="s">
        <v>197</v>
      </c>
      <c r="AL367" s="51" t="s">
        <v>74</v>
      </c>
      <c r="AM367" s="51" t="s">
        <v>74</v>
      </c>
      <c r="AN367" s="52">
        <v>0</v>
      </c>
      <c r="AO367" s="52">
        <v>0</v>
      </c>
      <c r="AP367" s="52">
        <v>0</v>
      </c>
      <c r="AQ367" s="52">
        <v>0</v>
      </c>
      <c r="AR367" s="52">
        <v>0</v>
      </c>
      <c r="AS367" s="52">
        <v>0</v>
      </c>
      <c r="AT367" s="53" t="s">
        <v>74</v>
      </c>
      <c r="AU367" s="52">
        <v>0</v>
      </c>
      <c r="AV367" s="52"/>
      <c r="AW367" s="52">
        <v>0</v>
      </c>
      <c r="AX367" s="52"/>
      <c r="AY367" s="52"/>
      <c r="AZ367" s="52">
        <v>0</v>
      </c>
      <c r="BA367" s="52">
        <v>0</v>
      </c>
      <c r="BB367" s="54" t="s">
        <v>74</v>
      </c>
      <c r="BC367" s="53" t="s">
        <v>74</v>
      </c>
      <c r="BD367" s="55" t="s">
        <v>74</v>
      </c>
      <c r="BE367" s="55" t="s">
        <v>74</v>
      </c>
      <c r="BF367" s="55" t="s">
        <v>74</v>
      </c>
      <c r="BG367" s="55" t="s">
        <v>74</v>
      </c>
      <c r="BH367" s="52">
        <v>0</v>
      </c>
      <c r="BI367" s="52">
        <v>18023152.550000001</v>
      </c>
      <c r="BJ367" s="52">
        <v>18023152.550000001</v>
      </c>
      <c r="BK367" s="56">
        <v>43221</v>
      </c>
      <c r="BL367" s="57">
        <v>18023152.550000001</v>
      </c>
      <c r="BM367" s="47">
        <v>0</v>
      </c>
      <c r="BN367" s="9"/>
      <c r="BO367" s="9"/>
      <c r="BP367" s="9"/>
      <c r="BQ367" s="9"/>
      <c r="BR367" s="9"/>
      <c r="BS367" s="9"/>
      <c r="BT367" s="9"/>
      <c r="BU367" s="9"/>
      <c r="BV367" s="9"/>
      <c r="BW367" s="9"/>
    </row>
    <row r="368" spans="1:75" ht="26.25" hidden="1" outlineLevel="2" x14ac:dyDescent="0.25">
      <c r="A368" s="43" t="s">
        <v>71</v>
      </c>
      <c r="B368" s="110" t="s">
        <v>493</v>
      </c>
      <c r="C368" s="45">
        <v>2018</v>
      </c>
      <c r="D368" s="46" t="s">
        <v>83</v>
      </c>
      <c r="E368" s="47">
        <v>15020830</v>
      </c>
      <c r="F368" s="47">
        <v>0</v>
      </c>
      <c r="G368" s="47">
        <v>0</v>
      </c>
      <c r="H368" s="47">
        <v>3273713.29</v>
      </c>
      <c r="I368" s="47">
        <v>0</v>
      </c>
      <c r="J368" s="47">
        <v>0</v>
      </c>
      <c r="K368" s="47">
        <v>0</v>
      </c>
      <c r="L368" s="47">
        <v>0</v>
      </c>
      <c r="M368" s="47">
        <v>0</v>
      </c>
      <c r="N368" s="47">
        <v>0</v>
      </c>
      <c r="O368" s="47">
        <v>0</v>
      </c>
      <c r="P368" s="47">
        <v>0</v>
      </c>
      <c r="Q368" s="47">
        <v>0</v>
      </c>
      <c r="R368" s="47">
        <v>0</v>
      </c>
      <c r="S368" s="47">
        <v>0</v>
      </c>
      <c r="T368" s="47">
        <v>0</v>
      </c>
      <c r="U368" s="47">
        <v>0</v>
      </c>
      <c r="V368" s="47">
        <v>0</v>
      </c>
      <c r="W368" s="47">
        <v>0</v>
      </c>
      <c r="X368" s="47">
        <v>0</v>
      </c>
      <c r="Y368" s="48">
        <v>18294543.289999999</v>
      </c>
      <c r="Z368" s="49">
        <v>0</v>
      </c>
      <c r="AA368" s="50">
        <v>0</v>
      </c>
      <c r="AB368" s="50">
        <v>0</v>
      </c>
      <c r="AC368" s="50">
        <v>0</v>
      </c>
      <c r="AD368" s="50">
        <v>257951.92</v>
      </c>
      <c r="AE368" s="50">
        <v>0</v>
      </c>
      <c r="AF368" s="50">
        <v>0</v>
      </c>
      <c r="AG368" s="49">
        <v>257951.92</v>
      </c>
      <c r="AH368" s="51" t="s">
        <v>74</v>
      </c>
      <c r="AI368" s="51" t="s">
        <v>74</v>
      </c>
      <c r="AJ368" s="51" t="s">
        <v>74</v>
      </c>
      <c r="AK368" s="51" t="s">
        <v>112</v>
      </c>
      <c r="AL368" s="51" t="s">
        <v>74</v>
      </c>
      <c r="AM368" s="51" t="s">
        <v>74</v>
      </c>
      <c r="AN368" s="52">
        <v>0</v>
      </c>
      <c r="AO368" s="52">
        <v>0</v>
      </c>
      <c r="AP368" s="52">
        <v>0</v>
      </c>
      <c r="AQ368" s="52">
        <v>0</v>
      </c>
      <c r="AR368" s="52">
        <v>0</v>
      </c>
      <c r="AS368" s="52">
        <v>0</v>
      </c>
      <c r="AT368" s="53" t="s">
        <v>74</v>
      </c>
      <c r="AU368" s="52">
        <v>0</v>
      </c>
      <c r="AV368" s="52"/>
      <c r="AW368" s="52">
        <v>0</v>
      </c>
      <c r="AX368" s="52"/>
      <c r="AY368" s="52"/>
      <c r="AZ368" s="52">
        <v>0</v>
      </c>
      <c r="BA368" s="52">
        <v>0</v>
      </c>
      <c r="BB368" s="54" t="s">
        <v>74</v>
      </c>
      <c r="BC368" s="53" t="s">
        <v>74</v>
      </c>
      <c r="BD368" s="55" t="s">
        <v>74</v>
      </c>
      <c r="BE368" s="55" t="s">
        <v>74</v>
      </c>
      <c r="BF368" s="55" t="s">
        <v>74</v>
      </c>
      <c r="BG368" s="55" t="s">
        <v>74</v>
      </c>
      <c r="BH368" s="52">
        <v>0</v>
      </c>
      <c r="BI368" s="52">
        <v>18036591.370000001</v>
      </c>
      <c r="BJ368" s="52">
        <v>18036591.370000001</v>
      </c>
      <c r="BK368" s="56">
        <v>43252</v>
      </c>
      <c r="BL368" s="57">
        <v>18036591.370000001</v>
      </c>
      <c r="BM368" s="47">
        <v>0</v>
      </c>
      <c r="BN368" s="9"/>
      <c r="BO368" s="9"/>
      <c r="BP368" s="9"/>
      <c r="BQ368" s="9"/>
      <c r="BR368" s="9"/>
      <c r="BS368" s="9"/>
      <c r="BT368" s="9"/>
      <c r="BU368" s="9"/>
      <c r="BV368" s="9"/>
      <c r="BW368" s="9"/>
    </row>
    <row r="369" spans="1:75" ht="166.5" hidden="1" outlineLevel="2" x14ac:dyDescent="0.25">
      <c r="A369" s="43" t="s">
        <v>71</v>
      </c>
      <c r="B369" s="110" t="s">
        <v>493</v>
      </c>
      <c r="C369" s="45">
        <v>2018</v>
      </c>
      <c r="D369" s="46" t="s">
        <v>84</v>
      </c>
      <c r="E369" s="47">
        <v>7009720.6666666698</v>
      </c>
      <c r="F369" s="47">
        <v>0</v>
      </c>
      <c r="G369" s="47">
        <v>0</v>
      </c>
      <c r="H369" s="47">
        <v>1527732.93</v>
      </c>
      <c r="I369" s="47">
        <v>0</v>
      </c>
      <c r="J369" s="47">
        <v>0</v>
      </c>
      <c r="K369" s="47">
        <v>0</v>
      </c>
      <c r="L369" s="47">
        <v>25197756.43</v>
      </c>
      <c r="M369" s="47">
        <v>25197756.43</v>
      </c>
      <c r="N369" s="47">
        <v>0</v>
      </c>
      <c r="O369" s="47">
        <v>0</v>
      </c>
      <c r="P369" s="47">
        <v>0</v>
      </c>
      <c r="Q369" s="47">
        <v>0</v>
      </c>
      <c r="R369" s="47">
        <v>0</v>
      </c>
      <c r="S369" s="47">
        <v>0</v>
      </c>
      <c r="T369" s="47">
        <v>0</v>
      </c>
      <c r="U369" s="47">
        <v>0</v>
      </c>
      <c r="V369" s="47">
        <v>0</v>
      </c>
      <c r="W369" s="47">
        <v>0</v>
      </c>
      <c r="X369" s="47">
        <v>0</v>
      </c>
      <c r="Y369" s="48">
        <v>33735210.026666701</v>
      </c>
      <c r="Z369" s="49">
        <v>0</v>
      </c>
      <c r="AA369" s="50">
        <v>0</v>
      </c>
      <c r="AB369" s="50">
        <v>0</v>
      </c>
      <c r="AC369" s="50">
        <v>0</v>
      </c>
      <c r="AD369" s="50">
        <v>276385.38</v>
      </c>
      <c r="AE369" s="50">
        <v>0</v>
      </c>
      <c r="AF369" s="50">
        <v>12192400</v>
      </c>
      <c r="AG369" s="49">
        <v>12468785.380000001</v>
      </c>
      <c r="AH369" s="51" t="s">
        <v>74</v>
      </c>
      <c r="AI369" s="51" t="s">
        <v>74</v>
      </c>
      <c r="AJ369" s="51" t="s">
        <v>74</v>
      </c>
      <c r="AK369" s="51" t="s">
        <v>115</v>
      </c>
      <c r="AL369" s="51" t="s">
        <v>74</v>
      </c>
      <c r="AM369" s="51" t="s">
        <v>500</v>
      </c>
      <c r="AN369" s="52">
        <v>0</v>
      </c>
      <c r="AO369" s="52">
        <v>0</v>
      </c>
      <c r="AP369" s="52">
        <v>0</v>
      </c>
      <c r="AQ369" s="52">
        <v>0</v>
      </c>
      <c r="AR369" s="52">
        <v>0</v>
      </c>
      <c r="AS369" s="52">
        <v>0</v>
      </c>
      <c r="AT369" s="53" t="s">
        <v>74</v>
      </c>
      <c r="AU369" s="52">
        <v>0</v>
      </c>
      <c r="AV369" s="52"/>
      <c r="AW369" s="52">
        <v>0</v>
      </c>
      <c r="AX369" s="52"/>
      <c r="AY369" s="52"/>
      <c r="AZ369" s="52">
        <v>0</v>
      </c>
      <c r="BA369" s="52">
        <v>0</v>
      </c>
      <c r="BB369" s="54" t="s">
        <v>74</v>
      </c>
      <c r="BC369" s="53" t="s">
        <v>74</v>
      </c>
      <c r="BD369" s="55" t="s">
        <v>74</v>
      </c>
      <c r="BE369" s="55" t="s">
        <v>74</v>
      </c>
      <c r="BF369" s="55" t="s">
        <v>74</v>
      </c>
      <c r="BG369" s="55" t="s">
        <v>74</v>
      </c>
      <c r="BH369" s="52">
        <v>0</v>
      </c>
      <c r="BI369" s="52">
        <v>21266424.646666698</v>
      </c>
      <c r="BJ369" s="52">
        <v>21266424.646666698</v>
      </c>
      <c r="BK369" s="56">
        <v>43282</v>
      </c>
      <c r="BL369" s="57">
        <v>21266424.649999999</v>
      </c>
      <c r="BM369" s="47">
        <v>0</v>
      </c>
      <c r="BN369" s="9"/>
      <c r="BO369" s="9"/>
      <c r="BP369" s="9"/>
      <c r="BQ369" s="9"/>
      <c r="BR369" s="9"/>
      <c r="BS369" s="9"/>
      <c r="BT369" s="9"/>
      <c r="BU369" s="9"/>
      <c r="BV369" s="9"/>
      <c r="BW369" s="9"/>
    </row>
    <row r="370" spans="1:75" ht="26.25" hidden="1" outlineLevel="2" x14ac:dyDescent="0.25">
      <c r="A370" s="43" t="s">
        <v>71</v>
      </c>
      <c r="B370" s="110" t="s">
        <v>493</v>
      </c>
      <c r="C370" s="45">
        <v>2018</v>
      </c>
      <c r="D370" s="110" t="s">
        <v>86</v>
      </c>
      <c r="E370" s="47">
        <v>0</v>
      </c>
      <c r="F370" s="47">
        <v>0</v>
      </c>
      <c r="G370" s="47">
        <v>0</v>
      </c>
      <c r="H370" s="47">
        <v>0</v>
      </c>
      <c r="I370" s="47">
        <v>0</v>
      </c>
      <c r="J370" s="47">
        <v>0</v>
      </c>
      <c r="K370" s="47">
        <v>0</v>
      </c>
      <c r="L370" s="47">
        <v>22322543.289999999</v>
      </c>
      <c r="M370" s="47">
        <v>22322543.289999999</v>
      </c>
      <c r="N370" s="47">
        <v>0</v>
      </c>
      <c r="O370" s="47">
        <v>0</v>
      </c>
      <c r="P370" s="47">
        <v>0</v>
      </c>
      <c r="Q370" s="47">
        <v>0</v>
      </c>
      <c r="R370" s="47">
        <v>0</v>
      </c>
      <c r="S370" s="47">
        <v>0</v>
      </c>
      <c r="T370" s="47">
        <v>0</v>
      </c>
      <c r="U370" s="47">
        <v>0</v>
      </c>
      <c r="V370" s="47">
        <v>0</v>
      </c>
      <c r="W370" s="47">
        <v>0</v>
      </c>
      <c r="X370" s="47">
        <v>0</v>
      </c>
      <c r="Y370" s="48">
        <v>22322543.289999999</v>
      </c>
      <c r="Z370" s="49">
        <v>0</v>
      </c>
      <c r="AA370" s="50">
        <v>0</v>
      </c>
      <c r="AB370" s="50">
        <v>0</v>
      </c>
      <c r="AC370" s="50">
        <v>0</v>
      </c>
      <c r="AD370" s="50">
        <v>265852.76</v>
      </c>
      <c r="AE370" s="50">
        <v>0</v>
      </c>
      <c r="AF370" s="50">
        <v>0</v>
      </c>
      <c r="AG370" s="49">
        <v>265852.76</v>
      </c>
      <c r="AH370" s="51" t="s">
        <v>74</v>
      </c>
      <c r="AI370" s="51" t="s">
        <v>74</v>
      </c>
      <c r="AJ370" s="51" t="s">
        <v>74</v>
      </c>
      <c r="AK370" s="51" t="s">
        <v>118</v>
      </c>
      <c r="AL370" s="51" t="s">
        <v>74</v>
      </c>
      <c r="AM370" s="51" t="s">
        <v>74</v>
      </c>
      <c r="AN370" s="52">
        <v>0</v>
      </c>
      <c r="AO370" s="52">
        <v>0</v>
      </c>
      <c r="AP370" s="52">
        <v>0</v>
      </c>
      <c r="AQ370" s="52">
        <v>0</v>
      </c>
      <c r="AR370" s="52">
        <v>0</v>
      </c>
      <c r="AS370" s="52">
        <v>0</v>
      </c>
      <c r="AT370" s="53" t="s">
        <v>74</v>
      </c>
      <c r="AU370" s="52">
        <v>0</v>
      </c>
      <c r="AV370" s="52"/>
      <c r="AW370" s="52">
        <v>0</v>
      </c>
      <c r="AX370" s="52"/>
      <c r="AY370" s="52"/>
      <c r="AZ370" s="52">
        <v>0</v>
      </c>
      <c r="BA370" s="52">
        <v>0</v>
      </c>
      <c r="BB370" s="54" t="s">
        <v>74</v>
      </c>
      <c r="BC370" s="53" t="s">
        <v>74</v>
      </c>
      <c r="BD370" s="55" t="s">
        <v>74</v>
      </c>
      <c r="BE370" s="55" t="s">
        <v>74</v>
      </c>
      <c r="BF370" s="55" t="s">
        <v>74</v>
      </c>
      <c r="BG370" s="55" t="s">
        <v>74</v>
      </c>
      <c r="BH370" s="52">
        <v>0</v>
      </c>
      <c r="BI370" s="52">
        <v>22056690.530000001</v>
      </c>
      <c r="BJ370" s="52">
        <v>22056690.530000001</v>
      </c>
      <c r="BK370" s="56">
        <v>43313</v>
      </c>
      <c r="BL370" s="57">
        <v>22056690.530000001</v>
      </c>
      <c r="BM370" s="47">
        <v>0</v>
      </c>
      <c r="BN370" s="9"/>
      <c r="BO370" s="9"/>
      <c r="BP370" s="9"/>
      <c r="BQ370" s="9"/>
      <c r="BR370" s="9"/>
      <c r="BS370" s="9"/>
      <c r="BT370" s="9"/>
      <c r="BU370" s="9"/>
      <c r="BV370" s="9"/>
      <c r="BW370" s="9"/>
    </row>
    <row r="371" spans="1:75" ht="26.25" hidden="1" outlineLevel="2" x14ac:dyDescent="0.25">
      <c r="A371" s="43" t="s">
        <v>71</v>
      </c>
      <c r="B371" s="110" t="s">
        <v>493</v>
      </c>
      <c r="C371" s="45">
        <v>2018</v>
      </c>
      <c r="D371" s="110" t="s">
        <v>88</v>
      </c>
      <c r="E371" s="47">
        <v>0</v>
      </c>
      <c r="F371" s="47">
        <v>0</v>
      </c>
      <c r="G371" s="47">
        <v>0</v>
      </c>
      <c r="H371" s="47">
        <v>0</v>
      </c>
      <c r="I371" s="47">
        <v>0</v>
      </c>
      <c r="J371" s="47">
        <v>0</v>
      </c>
      <c r="K371" s="47">
        <v>0</v>
      </c>
      <c r="L371" s="47">
        <v>22322543.289999999</v>
      </c>
      <c r="M371" s="47">
        <v>22322543.289999999</v>
      </c>
      <c r="N371" s="47">
        <v>0</v>
      </c>
      <c r="O371" s="47">
        <v>0</v>
      </c>
      <c r="P371" s="47">
        <v>0</v>
      </c>
      <c r="Q371" s="47">
        <v>0</v>
      </c>
      <c r="R371" s="47">
        <v>0</v>
      </c>
      <c r="S371" s="47">
        <v>0</v>
      </c>
      <c r="T371" s="47">
        <v>0</v>
      </c>
      <c r="U371" s="47">
        <v>0</v>
      </c>
      <c r="V371" s="47">
        <v>0</v>
      </c>
      <c r="W371" s="47">
        <v>0</v>
      </c>
      <c r="X371" s="47">
        <v>0</v>
      </c>
      <c r="Y371" s="48">
        <v>22322543.289999999</v>
      </c>
      <c r="Z371" s="49">
        <v>0</v>
      </c>
      <c r="AA371" s="50">
        <v>0</v>
      </c>
      <c r="AB371" s="50">
        <v>0</v>
      </c>
      <c r="AC371" s="50">
        <v>0</v>
      </c>
      <c r="AD371" s="50">
        <v>280202.2</v>
      </c>
      <c r="AE371" s="50">
        <v>0</v>
      </c>
      <c r="AF371" s="50">
        <v>0</v>
      </c>
      <c r="AG371" s="49">
        <v>280202.2</v>
      </c>
      <c r="AH371" s="51" t="s">
        <v>74</v>
      </c>
      <c r="AI371" s="51" t="s">
        <v>74</v>
      </c>
      <c r="AJ371" s="51" t="s">
        <v>74</v>
      </c>
      <c r="AK371" s="51" t="s">
        <v>121</v>
      </c>
      <c r="AL371" s="51" t="s">
        <v>74</v>
      </c>
      <c r="AM371" s="51" t="s">
        <v>74</v>
      </c>
      <c r="AN371" s="52">
        <v>0</v>
      </c>
      <c r="AO371" s="52">
        <v>0</v>
      </c>
      <c r="AP371" s="52">
        <v>0</v>
      </c>
      <c r="AQ371" s="52">
        <v>0</v>
      </c>
      <c r="AR371" s="52">
        <v>0</v>
      </c>
      <c r="AS371" s="52">
        <v>0</v>
      </c>
      <c r="AT371" s="53" t="s">
        <v>74</v>
      </c>
      <c r="AU371" s="52">
        <v>0</v>
      </c>
      <c r="AV371" s="52"/>
      <c r="AW371" s="52">
        <v>0</v>
      </c>
      <c r="AX371" s="52"/>
      <c r="AY371" s="52"/>
      <c r="AZ371" s="52">
        <v>0</v>
      </c>
      <c r="BA371" s="52">
        <v>0</v>
      </c>
      <c r="BB371" s="54" t="s">
        <v>74</v>
      </c>
      <c r="BC371" s="53" t="s">
        <v>74</v>
      </c>
      <c r="BD371" s="55" t="s">
        <v>74</v>
      </c>
      <c r="BE371" s="55" t="s">
        <v>74</v>
      </c>
      <c r="BF371" s="55" t="s">
        <v>74</v>
      </c>
      <c r="BG371" s="55" t="s">
        <v>74</v>
      </c>
      <c r="BH371" s="52">
        <v>0</v>
      </c>
      <c r="BI371" s="52">
        <v>22042341.09</v>
      </c>
      <c r="BJ371" s="52">
        <v>19366482.260000002</v>
      </c>
      <c r="BK371" s="56">
        <v>43344</v>
      </c>
      <c r="BL371" s="57">
        <v>22042341.09</v>
      </c>
      <c r="BM371" s="47">
        <v>0</v>
      </c>
      <c r="BN371" s="9"/>
      <c r="BO371" s="9"/>
      <c r="BP371" s="9"/>
      <c r="BQ371" s="9"/>
      <c r="BR371" s="9"/>
      <c r="BS371" s="9"/>
      <c r="BT371" s="9"/>
      <c r="BU371" s="9"/>
      <c r="BV371" s="9"/>
      <c r="BW371" s="9"/>
    </row>
    <row r="372" spans="1:75" ht="26.25" hidden="1" outlineLevel="2" x14ac:dyDescent="0.25">
      <c r="A372" s="43" t="s">
        <v>71</v>
      </c>
      <c r="B372" s="110" t="s">
        <v>493</v>
      </c>
      <c r="C372" s="45">
        <v>2018</v>
      </c>
      <c r="D372" s="110" t="s">
        <v>89</v>
      </c>
      <c r="E372" s="47">
        <v>0</v>
      </c>
      <c r="F372" s="47">
        <v>0</v>
      </c>
      <c r="G372" s="47">
        <v>0</v>
      </c>
      <c r="H372" s="47">
        <v>0</v>
      </c>
      <c r="I372" s="47">
        <v>0</v>
      </c>
      <c r="J372" s="47">
        <v>0</v>
      </c>
      <c r="K372" s="47">
        <v>0</v>
      </c>
      <c r="L372" s="47">
        <v>22322543.289999999</v>
      </c>
      <c r="M372" s="47">
        <v>22322543.289999999</v>
      </c>
      <c r="N372" s="47">
        <v>0</v>
      </c>
      <c r="O372" s="47">
        <v>0</v>
      </c>
      <c r="P372" s="47">
        <v>0</v>
      </c>
      <c r="Q372" s="47">
        <v>0</v>
      </c>
      <c r="R372" s="47">
        <v>0</v>
      </c>
      <c r="S372" s="47">
        <v>0</v>
      </c>
      <c r="T372" s="47">
        <v>0</v>
      </c>
      <c r="U372" s="47">
        <v>0</v>
      </c>
      <c r="V372" s="47">
        <v>0</v>
      </c>
      <c r="W372" s="47">
        <v>0</v>
      </c>
      <c r="X372" s="47">
        <v>0</v>
      </c>
      <c r="Y372" s="48">
        <v>22322543.289999999</v>
      </c>
      <c r="Z372" s="49">
        <v>0</v>
      </c>
      <c r="AA372" s="50">
        <v>0</v>
      </c>
      <c r="AB372" s="50">
        <v>0</v>
      </c>
      <c r="AC372" s="50">
        <v>0</v>
      </c>
      <c r="AD372" s="50">
        <v>264236.14</v>
      </c>
      <c r="AE372" s="50">
        <v>0</v>
      </c>
      <c r="AF372" s="50">
        <v>0</v>
      </c>
      <c r="AG372" s="49">
        <v>264236.14</v>
      </c>
      <c r="AH372" s="51" t="s">
        <v>74</v>
      </c>
      <c r="AI372" s="51" t="s">
        <v>74</v>
      </c>
      <c r="AJ372" s="51" t="s">
        <v>74</v>
      </c>
      <c r="AK372" s="51" t="s">
        <v>124</v>
      </c>
      <c r="AL372" s="51" t="s">
        <v>74</v>
      </c>
      <c r="AM372" s="51" t="s">
        <v>74</v>
      </c>
      <c r="AN372" s="52">
        <v>0</v>
      </c>
      <c r="AO372" s="52">
        <v>0</v>
      </c>
      <c r="AP372" s="52">
        <v>0</v>
      </c>
      <c r="AQ372" s="52">
        <v>0</v>
      </c>
      <c r="AR372" s="52">
        <v>0</v>
      </c>
      <c r="AS372" s="52">
        <v>0</v>
      </c>
      <c r="AT372" s="53" t="s">
        <v>74</v>
      </c>
      <c r="AU372" s="52">
        <v>0</v>
      </c>
      <c r="AV372" s="52"/>
      <c r="AW372" s="52">
        <v>0</v>
      </c>
      <c r="AX372" s="52"/>
      <c r="AY372" s="52"/>
      <c r="AZ372" s="52">
        <v>0</v>
      </c>
      <c r="BA372" s="52">
        <v>0</v>
      </c>
      <c r="BB372" s="54" t="s">
        <v>74</v>
      </c>
      <c r="BC372" s="53" t="s">
        <v>74</v>
      </c>
      <c r="BD372" s="55" t="s">
        <v>74</v>
      </c>
      <c r="BE372" s="55" t="s">
        <v>74</v>
      </c>
      <c r="BF372" s="55" t="s">
        <v>74</v>
      </c>
      <c r="BG372" s="55" t="s">
        <v>74</v>
      </c>
      <c r="BH372" s="52">
        <v>0</v>
      </c>
      <c r="BI372" s="52">
        <v>22058307.149999999</v>
      </c>
      <c r="BJ372" s="52">
        <v>22058307.149999999</v>
      </c>
      <c r="BK372" s="56">
        <v>43374</v>
      </c>
      <c r="BL372" s="57">
        <v>22058307.149999999</v>
      </c>
      <c r="BM372" s="47">
        <v>0</v>
      </c>
      <c r="BN372" s="9"/>
      <c r="BO372" s="9"/>
      <c r="BP372" s="9"/>
      <c r="BQ372" s="9"/>
      <c r="BR372" s="9"/>
      <c r="BS372" s="9"/>
      <c r="BT372" s="9"/>
      <c r="BU372" s="9"/>
      <c r="BV372" s="9"/>
      <c r="BW372" s="9"/>
    </row>
    <row r="373" spans="1:75" ht="153.75" hidden="1" outlineLevel="2" x14ac:dyDescent="0.25">
      <c r="A373" s="43" t="s">
        <v>71</v>
      </c>
      <c r="B373" s="110" t="s">
        <v>493</v>
      </c>
      <c r="C373" s="45">
        <v>2018</v>
      </c>
      <c r="D373" s="110" t="s">
        <v>90</v>
      </c>
      <c r="E373" s="47">
        <v>0</v>
      </c>
      <c r="F373" s="47">
        <v>0</v>
      </c>
      <c r="G373" s="47">
        <v>0</v>
      </c>
      <c r="H373" s="47">
        <v>0</v>
      </c>
      <c r="I373" s="47">
        <v>0</v>
      </c>
      <c r="J373" s="47">
        <v>0</v>
      </c>
      <c r="K373" s="47">
        <v>0</v>
      </c>
      <c r="L373" s="47">
        <v>22322543.289999999</v>
      </c>
      <c r="M373" s="47">
        <v>22322543.289999999</v>
      </c>
      <c r="N373" s="47">
        <v>0</v>
      </c>
      <c r="O373" s="47">
        <v>0</v>
      </c>
      <c r="P373" s="47">
        <v>0</v>
      </c>
      <c r="Q373" s="47">
        <v>0</v>
      </c>
      <c r="R373" s="47">
        <v>0</v>
      </c>
      <c r="S373" s="47">
        <v>0</v>
      </c>
      <c r="T373" s="47">
        <v>0</v>
      </c>
      <c r="U373" s="47">
        <v>0</v>
      </c>
      <c r="V373" s="47">
        <v>0</v>
      </c>
      <c r="W373" s="47">
        <v>0</v>
      </c>
      <c r="X373" s="47">
        <v>0</v>
      </c>
      <c r="Y373" s="48">
        <v>22322543.289999999</v>
      </c>
      <c r="Z373" s="49">
        <v>0</v>
      </c>
      <c r="AA373" s="50">
        <v>0</v>
      </c>
      <c r="AB373" s="50">
        <v>0</v>
      </c>
      <c r="AC373" s="50">
        <v>0</v>
      </c>
      <c r="AD373" s="50">
        <v>300332.08</v>
      </c>
      <c r="AE373" s="50">
        <v>0</v>
      </c>
      <c r="AF373" s="50">
        <v>5489165.4199999999</v>
      </c>
      <c r="AG373" s="49">
        <v>5789497.5</v>
      </c>
      <c r="AH373" s="51" t="s">
        <v>74</v>
      </c>
      <c r="AI373" s="51" t="s">
        <v>74</v>
      </c>
      <c r="AJ373" s="51" t="s">
        <v>74</v>
      </c>
      <c r="AK373" s="51" t="s">
        <v>126</v>
      </c>
      <c r="AL373" s="51" t="s">
        <v>74</v>
      </c>
      <c r="AM373" s="51" t="s">
        <v>501</v>
      </c>
      <c r="AN373" s="52">
        <v>0</v>
      </c>
      <c r="AO373" s="52">
        <v>0</v>
      </c>
      <c r="AP373" s="52">
        <v>0</v>
      </c>
      <c r="AQ373" s="52">
        <v>0</v>
      </c>
      <c r="AR373" s="52">
        <v>0</v>
      </c>
      <c r="AS373" s="52">
        <v>0</v>
      </c>
      <c r="AT373" s="53" t="s">
        <v>74</v>
      </c>
      <c r="AU373" s="52">
        <v>0</v>
      </c>
      <c r="AV373" s="52"/>
      <c r="AW373" s="52">
        <v>0</v>
      </c>
      <c r="AX373" s="52"/>
      <c r="AY373" s="52"/>
      <c r="AZ373" s="52">
        <v>0</v>
      </c>
      <c r="BA373" s="52">
        <v>0</v>
      </c>
      <c r="BB373" s="54" t="s">
        <v>74</v>
      </c>
      <c r="BC373" s="53" t="s">
        <v>74</v>
      </c>
      <c r="BD373" s="55" t="s">
        <v>74</v>
      </c>
      <c r="BE373" s="55" t="s">
        <v>74</v>
      </c>
      <c r="BF373" s="55" t="s">
        <v>74</v>
      </c>
      <c r="BG373" s="55" t="s">
        <v>74</v>
      </c>
      <c r="BH373" s="52">
        <v>0</v>
      </c>
      <c r="BI373" s="52">
        <v>16533045.789999999</v>
      </c>
      <c r="BJ373" s="52">
        <v>16533045.789999999</v>
      </c>
      <c r="BK373" s="56">
        <v>43405</v>
      </c>
      <c r="BL373" s="57">
        <v>16533045.789999999</v>
      </c>
      <c r="BM373" s="47">
        <v>0</v>
      </c>
      <c r="BN373" s="9"/>
      <c r="BO373" s="9"/>
      <c r="BP373" s="9"/>
      <c r="BQ373" s="9"/>
      <c r="BR373" s="9"/>
      <c r="BS373" s="9"/>
      <c r="BT373" s="9"/>
      <c r="BU373" s="9"/>
      <c r="BV373" s="9"/>
      <c r="BW373" s="9"/>
    </row>
    <row r="374" spans="1:75" ht="90" hidden="1" outlineLevel="2" x14ac:dyDescent="0.25">
      <c r="A374" s="43" t="s">
        <v>71</v>
      </c>
      <c r="B374" s="110" t="s">
        <v>493</v>
      </c>
      <c r="C374" s="45">
        <v>2018</v>
      </c>
      <c r="D374" s="110" t="s">
        <v>93</v>
      </c>
      <c r="E374" s="47">
        <v>0</v>
      </c>
      <c r="F374" s="47">
        <v>0</v>
      </c>
      <c r="G374" s="47">
        <v>0</v>
      </c>
      <c r="H374" s="47">
        <v>0</v>
      </c>
      <c r="I374" s="47">
        <v>0</v>
      </c>
      <c r="J374" s="47">
        <v>0</v>
      </c>
      <c r="K374" s="47">
        <v>0</v>
      </c>
      <c r="L374" s="47">
        <v>22322543.289999999</v>
      </c>
      <c r="M374" s="47">
        <v>22322543.289999999</v>
      </c>
      <c r="N374" s="47">
        <v>0</v>
      </c>
      <c r="O374" s="47">
        <v>0</v>
      </c>
      <c r="P374" s="47">
        <v>0</v>
      </c>
      <c r="Q374" s="47">
        <v>0</v>
      </c>
      <c r="R374" s="47">
        <v>0</v>
      </c>
      <c r="S374" s="47">
        <v>0</v>
      </c>
      <c r="T374" s="47">
        <v>0</v>
      </c>
      <c r="U374" s="47">
        <v>0</v>
      </c>
      <c r="V374" s="47">
        <v>0</v>
      </c>
      <c r="W374" s="47">
        <v>0</v>
      </c>
      <c r="X374" s="47">
        <v>0</v>
      </c>
      <c r="Y374" s="48">
        <v>22322543.289999999</v>
      </c>
      <c r="Z374" s="49">
        <v>0</v>
      </c>
      <c r="AA374" s="50">
        <v>0</v>
      </c>
      <c r="AB374" s="50">
        <v>0</v>
      </c>
      <c r="AC374" s="50">
        <v>0</v>
      </c>
      <c r="AD374" s="50">
        <v>281590.14</v>
      </c>
      <c r="AE374" s="50">
        <v>1217.8800000000001</v>
      </c>
      <c r="AF374" s="50">
        <v>22039735.27</v>
      </c>
      <c r="AG374" s="49">
        <v>22322543.289999999</v>
      </c>
      <c r="AH374" s="51" t="s">
        <v>74</v>
      </c>
      <c r="AI374" s="51" t="s">
        <v>74</v>
      </c>
      <c r="AJ374" s="51" t="s">
        <v>74</v>
      </c>
      <c r="AK374" s="51" t="s">
        <v>128</v>
      </c>
      <c r="AL374" s="51" t="s">
        <v>502</v>
      </c>
      <c r="AM374" s="51" t="s">
        <v>503</v>
      </c>
      <c r="AN374" s="52">
        <v>0</v>
      </c>
      <c r="AO374" s="52">
        <v>0</v>
      </c>
      <c r="AP374" s="52">
        <v>0</v>
      </c>
      <c r="AQ374" s="52">
        <v>0</v>
      </c>
      <c r="AR374" s="52">
        <v>0</v>
      </c>
      <c r="AS374" s="52">
        <v>0</v>
      </c>
      <c r="AT374" s="53" t="s">
        <v>74</v>
      </c>
      <c r="AU374" s="52">
        <v>0</v>
      </c>
      <c r="AV374" s="52"/>
      <c r="AW374" s="52">
        <v>0</v>
      </c>
      <c r="AX374" s="52"/>
      <c r="AY374" s="52"/>
      <c r="AZ374" s="52">
        <v>0</v>
      </c>
      <c r="BA374" s="52">
        <v>0</v>
      </c>
      <c r="BB374" s="54" t="s">
        <v>74</v>
      </c>
      <c r="BC374" s="53" t="s">
        <v>74</v>
      </c>
      <c r="BD374" s="55" t="s">
        <v>74</v>
      </c>
      <c r="BE374" s="55" t="s">
        <v>74</v>
      </c>
      <c r="BF374" s="55" t="s">
        <v>74</v>
      </c>
      <c r="BG374" s="55" t="s">
        <v>74</v>
      </c>
      <c r="BH374" s="52">
        <v>0</v>
      </c>
      <c r="BI374" s="52">
        <v>0</v>
      </c>
      <c r="BJ374" s="52">
        <v>0</v>
      </c>
      <c r="BK374" s="56">
        <v>43435</v>
      </c>
      <c r="BL374" s="57"/>
      <c r="BM374" s="47">
        <v>0</v>
      </c>
      <c r="BN374" s="9"/>
      <c r="BO374" s="9"/>
      <c r="BP374" s="9"/>
      <c r="BQ374" s="9"/>
      <c r="BR374" s="9"/>
      <c r="BS374" s="9"/>
      <c r="BT374" s="9"/>
      <c r="BU374" s="9"/>
      <c r="BV374" s="9"/>
      <c r="BW374" s="9"/>
    </row>
    <row r="375" spans="1:75" ht="51.75" hidden="1" outlineLevel="2" x14ac:dyDescent="0.25">
      <c r="A375" s="43" t="s">
        <v>71</v>
      </c>
      <c r="B375" s="110" t="s">
        <v>493</v>
      </c>
      <c r="C375" s="45">
        <v>2019</v>
      </c>
      <c r="D375" s="110" t="s">
        <v>73</v>
      </c>
      <c r="E375" s="47">
        <v>0</v>
      </c>
      <c r="F375" s="47">
        <v>0</v>
      </c>
      <c r="G375" s="47">
        <v>0</v>
      </c>
      <c r="H375" s="47">
        <v>0</v>
      </c>
      <c r="I375" s="47">
        <v>0</v>
      </c>
      <c r="J375" s="47">
        <v>0</v>
      </c>
      <c r="K375" s="47">
        <v>0</v>
      </c>
      <c r="L375" s="47">
        <v>22322543.289999999</v>
      </c>
      <c r="M375" s="47">
        <v>22322543.289999999</v>
      </c>
      <c r="N375" s="47">
        <v>0</v>
      </c>
      <c r="O375" s="47">
        <v>0</v>
      </c>
      <c r="P375" s="47">
        <v>0</v>
      </c>
      <c r="Q375" s="47">
        <v>0</v>
      </c>
      <c r="R375" s="47">
        <v>0</v>
      </c>
      <c r="S375" s="47">
        <v>0</v>
      </c>
      <c r="T375" s="47">
        <v>0</v>
      </c>
      <c r="U375" s="47">
        <v>0</v>
      </c>
      <c r="V375" s="47">
        <v>0</v>
      </c>
      <c r="W375" s="47">
        <v>0</v>
      </c>
      <c r="X375" s="47">
        <v>0</v>
      </c>
      <c r="Y375" s="48">
        <v>22322543.289999999</v>
      </c>
      <c r="Z375" s="49">
        <v>0</v>
      </c>
      <c r="AA375" s="50">
        <v>0</v>
      </c>
      <c r="AB375" s="50">
        <v>0</v>
      </c>
      <c r="AC375" s="50">
        <v>0</v>
      </c>
      <c r="AD375" s="50">
        <v>378850.36</v>
      </c>
      <c r="AE375" s="50">
        <v>0</v>
      </c>
      <c r="AF375" s="50">
        <v>0</v>
      </c>
      <c r="AG375" s="49">
        <v>378850.36</v>
      </c>
      <c r="AH375" s="51" t="s">
        <v>74</v>
      </c>
      <c r="AI375" s="51" t="s">
        <v>74</v>
      </c>
      <c r="AJ375" s="51" t="s">
        <v>74</v>
      </c>
      <c r="AK375" s="51" t="s">
        <v>504</v>
      </c>
      <c r="AL375" s="51" t="s">
        <v>74</v>
      </c>
      <c r="AM375" s="51" t="s">
        <v>74</v>
      </c>
      <c r="AN375" s="52">
        <v>0</v>
      </c>
      <c r="AO375" s="52">
        <v>0</v>
      </c>
      <c r="AP375" s="52">
        <v>0</v>
      </c>
      <c r="AQ375" s="52">
        <v>0</v>
      </c>
      <c r="AR375" s="52">
        <v>0</v>
      </c>
      <c r="AS375" s="52">
        <v>0</v>
      </c>
      <c r="AT375" s="53" t="s">
        <v>74</v>
      </c>
      <c r="AU375" s="52">
        <v>0</v>
      </c>
      <c r="AV375" s="52"/>
      <c r="AW375" s="52">
        <v>0</v>
      </c>
      <c r="AX375" s="52"/>
      <c r="AY375" s="52"/>
      <c r="AZ375" s="52">
        <v>0</v>
      </c>
      <c r="BA375" s="52">
        <v>0</v>
      </c>
      <c r="BB375" s="54" t="s">
        <v>74</v>
      </c>
      <c r="BC375" s="53" t="s">
        <v>74</v>
      </c>
      <c r="BD375" s="55" t="s">
        <v>74</v>
      </c>
      <c r="BE375" s="55" t="s">
        <v>74</v>
      </c>
      <c r="BF375" s="55" t="s">
        <v>74</v>
      </c>
      <c r="BG375" s="55" t="s">
        <v>74</v>
      </c>
      <c r="BH375" s="52">
        <v>0</v>
      </c>
      <c r="BI375" s="52">
        <v>21943692.93</v>
      </c>
      <c r="BJ375" s="52">
        <v>21943692.93</v>
      </c>
      <c r="BK375" s="56">
        <v>43466</v>
      </c>
      <c r="BL375" s="57">
        <v>21943692.93</v>
      </c>
      <c r="BM375" s="47">
        <v>0</v>
      </c>
      <c r="BN375" s="9"/>
      <c r="BO375" s="9"/>
      <c r="BP375" s="9"/>
      <c r="BQ375" s="9"/>
      <c r="BR375" s="9"/>
      <c r="BS375" s="9"/>
      <c r="BT375" s="9"/>
      <c r="BU375" s="9"/>
      <c r="BV375" s="9"/>
      <c r="BW375" s="9"/>
    </row>
    <row r="376" spans="1:75" hidden="1" outlineLevel="2" x14ac:dyDescent="0.25">
      <c r="A376" s="43" t="s">
        <v>71</v>
      </c>
      <c r="B376" s="110" t="s">
        <v>493</v>
      </c>
      <c r="C376" s="45">
        <v>2019</v>
      </c>
      <c r="D376" s="110" t="s">
        <v>75</v>
      </c>
      <c r="E376" s="47">
        <v>0</v>
      </c>
      <c r="F376" s="47">
        <v>0</v>
      </c>
      <c r="G376" s="47">
        <v>0</v>
      </c>
      <c r="H376" s="47">
        <v>0</v>
      </c>
      <c r="I376" s="47">
        <v>0</v>
      </c>
      <c r="J376" s="47">
        <v>0</v>
      </c>
      <c r="K376" s="47">
        <v>0</v>
      </c>
      <c r="L376" s="47">
        <v>22322543.289999999</v>
      </c>
      <c r="M376" s="47">
        <v>22322543.289999999</v>
      </c>
      <c r="N376" s="47">
        <v>0</v>
      </c>
      <c r="O376" s="47">
        <v>0</v>
      </c>
      <c r="P376" s="47">
        <v>0</v>
      </c>
      <c r="Q376" s="47">
        <v>0</v>
      </c>
      <c r="R376" s="47">
        <v>0</v>
      </c>
      <c r="S376" s="47">
        <v>0</v>
      </c>
      <c r="T376" s="47">
        <v>0</v>
      </c>
      <c r="U376" s="47">
        <v>0</v>
      </c>
      <c r="V376" s="47">
        <v>0</v>
      </c>
      <c r="W376" s="47">
        <v>0</v>
      </c>
      <c r="X376" s="47">
        <v>0</v>
      </c>
      <c r="Y376" s="48">
        <v>22322543.289999999</v>
      </c>
      <c r="Z376" s="49">
        <v>0</v>
      </c>
      <c r="AA376" s="50">
        <v>0</v>
      </c>
      <c r="AB376" s="50">
        <v>0</v>
      </c>
      <c r="AC376" s="50">
        <v>0</v>
      </c>
      <c r="AD376" s="50">
        <v>0</v>
      </c>
      <c r="AE376" s="50">
        <v>0</v>
      </c>
      <c r="AF376" s="50">
        <v>0</v>
      </c>
      <c r="AG376" s="49">
        <v>0</v>
      </c>
      <c r="AH376" s="51" t="s">
        <v>74</v>
      </c>
      <c r="AI376" s="51" t="s">
        <v>74</v>
      </c>
      <c r="AJ376" s="51" t="s">
        <v>74</v>
      </c>
      <c r="AK376" s="51" t="s">
        <v>74</v>
      </c>
      <c r="AL376" s="51" t="s">
        <v>74</v>
      </c>
      <c r="AM376" s="51" t="s">
        <v>74</v>
      </c>
      <c r="AN376" s="52">
        <v>0</v>
      </c>
      <c r="AO376" s="52">
        <v>0</v>
      </c>
      <c r="AP376" s="52">
        <v>0</v>
      </c>
      <c r="AQ376" s="52">
        <v>0</v>
      </c>
      <c r="AR376" s="52">
        <v>0</v>
      </c>
      <c r="AS376" s="52">
        <v>0</v>
      </c>
      <c r="AT376" s="53" t="s">
        <v>74</v>
      </c>
      <c r="AU376" s="52">
        <v>0</v>
      </c>
      <c r="AV376" s="52"/>
      <c r="AW376" s="52">
        <v>0</v>
      </c>
      <c r="AX376" s="52"/>
      <c r="AY376" s="52"/>
      <c r="AZ376" s="52">
        <v>0</v>
      </c>
      <c r="BA376" s="52">
        <v>0</v>
      </c>
      <c r="BB376" s="54" t="s">
        <v>74</v>
      </c>
      <c r="BC376" s="53" t="s">
        <v>74</v>
      </c>
      <c r="BD376" s="55" t="s">
        <v>74</v>
      </c>
      <c r="BE376" s="55" t="s">
        <v>74</v>
      </c>
      <c r="BF376" s="55" t="s">
        <v>74</v>
      </c>
      <c r="BG376" s="55" t="s">
        <v>74</v>
      </c>
      <c r="BH376" s="52">
        <v>0</v>
      </c>
      <c r="BI376" s="52">
        <v>22322543.289999999</v>
      </c>
      <c r="BJ376" s="52">
        <v>22322543.289999999</v>
      </c>
      <c r="BK376" s="56">
        <v>43497</v>
      </c>
      <c r="BL376" s="57">
        <v>22322543.289999999</v>
      </c>
      <c r="BM376" s="47">
        <v>0</v>
      </c>
      <c r="BN376" s="9"/>
      <c r="BO376" s="9"/>
      <c r="BP376" s="9"/>
      <c r="BQ376" s="9"/>
      <c r="BR376" s="9"/>
      <c r="BS376" s="9"/>
      <c r="BT376" s="9"/>
      <c r="BU376" s="9"/>
      <c r="BV376" s="9"/>
      <c r="BW376" s="9"/>
    </row>
    <row r="377" spans="1:75" ht="26.25" hidden="1" outlineLevel="2" x14ac:dyDescent="0.25">
      <c r="A377" s="43" t="s">
        <v>71</v>
      </c>
      <c r="B377" s="110" t="s">
        <v>493</v>
      </c>
      <c r="C377" s="45">
        <v>2019</v>
      </c>
      <c r="D377" s="110" t="s">
        <v>77</v>
      </c>
      <c r="E377" s="47">
        <v>0</v>
      </c>
      <c r="F377" s="47">
        <v>0</v>
      </c>
      <c r="G377" s="47">
        <v>0</v>
      </c>
      <c r="H377" s="47">
        <v>0</v>
      </c>
      <c r="I377" s="47">
        <v>0</v>
      </c>
      <c r="J377" s="47">
        <v>0</v>
      </c>
      <c r="K377" s="47">
        <v>0</v>
      </c>
      <c r="L377" s="47">
        <v>22322543.289999999</v>
      </c>
      <c r="M377" s="47">
        <v>22322543.289999999</v>
      </c>
      <c r="N377" s="47">
        <v>0</v>
      </c>
      <c r="O377" s="47">
        <v>0</v>
      </c>
      <c r="P377" s="47">
        <v>0</v>
      </c>
      <c r="Q377" s="47">
        <v>0</v>
      </c>
      <c r="R377" s="47">
        <v>0</v>
      </c>
      <c r="S377" s="47">
        <v>0</v>
      </c>
      <c r="T377" s="47">
        <v>0</v>
      </c>
      <c r="U377" s="47">
        <v>0</v>
      </c>
      <c r="V377" s="47">
        <v>0</v>
      </c>
      <c r="W377" s="47">
        <v>0</v>
      </c>
      <c r="X377" s="47">
        <v>0</v>
      </c>
      <c r="Y377" s="48">
        <v>22322543.289999999</v>
      </c>
      <c r="Z377" s="49">
        <v>0</v>
      </c>
      <c r="AA377" s="50">
        <v>0</v>
      </c>
      <c r="AB377" s="50">
        <v>0</v>
      </c>
      <c r="AC377" s="50">
        <v>0</v>
      </c>
      <c r="AD377" s="50">
        <v>318535.12</v>
      </c>
      <c r="AE377" s="50">
        <v>0</v>
      </c>
      <c r="AF377" s="50">
        <v>0</v>
      </c>
      <c r="AG377" s="49">
        <v>318535.12</v>
      </c>
      <c r="AH377" s="51" t="s">
        <v>74</v>
      </c>
      <c r="AI377" s="51" t="s">
        <v>74</v>
      </c>
      <c r="AJ377" s="51" t="s">
        <v>74</v>
      </c>
      <c r="AK377" s="51" t="s">
        <v>134</v>
      </c>
      <c r="AL377" s="51" t="s">
        <v>74</v>
      </c>
      <c r="AM377" s="51" t="s">
        <v>74</v>
      </c>
      <c r="AN377" s="52">
        <v>0</v>
      </c>
      <c r="AO377" s="52">
        <v>0</v>
      </c>
      <c r="AP377" s="52">
        <v>0</v>
      </c>
      <c r="AQ377" s="52">
        <v>0</v>
      </c>
      <c r="AR377" s="52">
        <v>0</v>
      </c>
      <c r="AS377" s="52">
        <v>0</v>
      </c>
      <c r="AT377" s="53" t="s">
        <v>74</v>
      </c>
      <c r="AU377" s="52">
        <v>0</v>
      </c>
      <c r="AV377" s="52"/>
      <c r="AW377" s="52">
        <v>0</v>
      </c>
      <c r="AX377" s="52"/>
      <c r="AY377" s="52"/>
      <c r="AZ377" s="52">
        <v>0</v>
      </c>
      <c r="BA377" s="52">
        <v>0</v>
      </c>
      <c r="BB377" s="54" t="s">
        <v>74</v>
      </c>
      <c r="BC377" s="53" t="s">
        <v>74</v>
      </c>
      <c r="BD377" s="55" t="s">
        <v>74</v>
      </c>
      <c r="BE377" s="55" t="s">
        <v>74</v>
      </c>
      <c r="BF377" s="55" t="s">
        <v>74</v>
      </c>
      <c r="BG377" s="55" t="s">
        <v>74</v>
      </c>
      <c r="BH377" s="52">
        <v>0</v>
      </c>
      <c r="BI377" s="52">
        <v>22004008.170000002</v>
      </c>
      <c r="BJ377" s="52">
        <v>22004008.170000002</v>
      </c>
      <c r="BK377" s="56">
        <v>43525</v>
      </c>
      <c r="BL377" s="57">
        <v>22004008.170000002</v>
      </c>
      <c r="BM377" s="47">
        <v>0</v>
      </c>
      <c r="BN377" s="9"/>
      <c r="BO377" s="9"/>
      <c r="BP377" s="9"/>
      <c r="BQ377" s="9"/>
      <c r="BR377" s="9"/>
      <c r="BS377" s="9"/>
      <c r="BT377" s="9"/>
      <c r="BU377" s="9"/>
      <c r="BV377" s="9"/>
      <c r="BW377" s="9"/>
    </row>
    <row r="378" spans="1:75" ht="26.25" hidden="1" outlineLevel="2" x14ac:dyDescent="0.25">
      <c r="A378" s="43" t="s">
        <v>71</v>
      </c>
      <c r="B378" s="110" t="s">
        <v>493</v>
      </c>
      <c r="C378" s="45">
        <v>2019</v>
      </c>
      <c r="D378" s="110" t="s">
        <v>79</v>
      </c>
      <c r="E378" s="47">
        <v>0</v>
      </c>
      <c r="F378" s="47">
        <v>0</v>
      </c>
      <c r="G378" s="47">
        <v>0</v>
      </c>
      <c r="H378" s="47">
        <v>0</v>
      </c>
      <c r="I378" s="47">
        <v>0</v>
      </c>
      <c r="J378" s="47">
        <v>0</v>
      </c>
      <c r="K378" s="47">
        <v>0</v>
      </c>
      <c r="L378" s="47">
        <v>22322543.289999999</v>
      </c>
      <c r="M378" s="47">
        <v>22322543.289999999</v>
      </c>
      <c r="N378" s="47">
        <v>0</v>
      </c>
      <c r="O378" s="47">
        <v>0</v>
      </c>
      <c r="P378" s="47">
        <v>0</v>
      </c>
      <c r="Q378" s="47">
        <v>0</v>
      </c>
      <c r="R378" s="47">
        <v>0</v>
      </c>
      <c r="S378" s="47">
        <v>0</v>
      </c>
      <c r="T378" s="47">
        <v>0</v>
      </c>
      <c r="U378" s="47">
        <v>0</v>
      </c>
      <c r="V378" s="47">
        <v>0</v>
      </c>
      <c r="W378" s="47">
        <v>0</v>
      </c>
      <c r="X378" s="47">
        <v>0</v>
      </c>
      <c r="Y378" s="48">
        <v>22322543.289999999</v>
      </c>
      <c r="Z378" s="49">
        <v>0</v>
      </c>
      <c r="AA378" s="50">
        <v>0</v>
      </c>
      <c r="AB378" s="50">
        <v>0</v>
      </c>
      <c r="AC378" s="50">
        <v>0</v>
      </c>
      <c r="AD378" s="50">
        <v>347531.16</v>
      </c>
      <c r="AE378" s="50">
        <v>0</v>
      </c>
      <c r="AF378" s="50">
        <v>0</v>
      </c>
      <c r="AG378" s="49">
        <v>347531.16</v>
      </c>
      <c r="AH378" s="51" t="s">
        <v>74</v>
      </c>
      <c r="AI378" s="51" t="s">
        <v>74</v>
      </c>
      <c r="AJ378" s="51" t="s">
        <v>74</v>
      </c>
      <c r="AK378" s="51" t="s">
        <v>259</v>
      </c>
      <c r="AL378" s="51" t="s">
        <v>74</v>
      </c>
      <c r="AM378" s="51" t="s">
        <v>74</v>
      </c>
      <c r="AN378" s="52">
        <v>0</v>
      </c>
      <c r="AO378" s="52">
        <v>0</v>
      </c>
      <c r="AP378" s="52">
        <v>0</v>
      </c>
      <c r="AQ378" s="52">
        <v>0</v>
      </c>
      <c r="AR378" s="52">
        <v>0</v>
      </c>
      <c r="AS378" s="52">
        <v>0</v>
      </c>
      <c r="AT378" s="53" t="s">
        <v>74</v>
      </c>
      <c r="AU378" s="52">
        <v>0</v>
      </c>
      <c r="AV378" s="52"/>
      <c r="AW378" s="52">
        <v>0</v>
      </c>
      <c r="AX378" s="52"/>
      <c r="AY378" s="52"/>
      <c r="AZ378" s="52">
        <v>0</v>
      </c>
      <c r="BA378" s="52">
        <v>0</v>
      </c>
      <c r="BB378" s="54" t="s">
        <v>74</v>
      </c>
      <c r="BC378" s="53" t="s">
        <v>74</v>
      </c>
      <c r="BD378" s="55" t="s">
        <v>74</v>
      </c>
      <c r="BE378" s="55" t="s">
        <v>74</v>
      </c>
      <c r="BF378" s="55" t="s">
        <v>74</v>
      </c>
      <c r="BG378" s="55" t="s">
        <v>74</v>
      </c>
      <c r="BH378" s="52">
        <v>0</v>
      </c>
      <c r="BI378" s="52">
        <v>21975012.129999999</v>
      </c>
      <c r="BJ378" s="52">
        <v>21975012.129999999</v>
      </c>
      <c r="BK378" s="56">
        <v>43556</v>
      </c>
      <c r="BL378" s="57">
        <v>21975012.129999999</v>
      </c>
      <c r="BM378" s="47">
        <v>0</v>
      </c>
      <c r="BN378" s="9"/>
      <c r="BO378" s="9"/>
      <c r="BP378" s="9"/>
      <c r="BQ378" s="9"/>
      <c r="BR378" s="9"/>
      <c r="BS378" s="9"/>
      <c r="BT378" s="9"/>
      <c r="BU378" s="9"/>
      <c r="BV378" s="9"/>
      <c r="BW378" s="9"/>
    </row>
    <row r="379" spans="1:75" ht="26.25" hidden="1" outlineLevel="2" x14ac:dyDescent="0.25">
      <c r="A379" s="43" t="s">
        <v>71</v>
      </c>
      <c r="B379" s="110" t="s">
        <v>493</v>
      </c>
      <c r="C379" s="45">
        <v>2019</v>
      </c>
      <c r="D379" s="110" t="s">
        <v>81</v>
      </c>
      <c r="E379" s="47">
        <v>0</v>
      </c>
      <c r="F379" s="47">
        <v>0</v>
      </c>
      <c r="G379" s="47">
        <v>0</v>
      </c>
      <c r="H379" s="47">
        <v>0</v>
      </c>
      <c r="I379" s="47">
        <v>0</v>
      </c>
      <c r="J379" s="47">
        <v>0</v>
      </c>
      <c r="K379" s="47">
        <v>0</v>
      </c>
      <c r="L379" s="47">
        <v>22322543.289999999</v>
      </c>
      <c r="M379" s="47">
        <v>22322543.289999999</v>
      </c>
      <c r="N379" s="47">
        <v>0</v>
      </c>
      <c r="O379" s="47">
        <v>0</v>
      </c>
      <c r="P379" s="47">
        <v>0</v>
      </c>
      <c r="Q379" s="47">
        <v>0</v>
      </c>
      <c r="R379" s="47">
        <v>0</v>
      </c>
      <c r="S379" s="47">
        <v>0</v>
      </c>
      <c r="T379" s="47">
        <v>0</v>
      </c>
      <c r="U379" s="47">
        <v>0</v>
      </c>
      <c r="V379" s="47">
        <v>0</v>
      </c>
      <c r="W379" s="47">
        <v>0</v>
      </c>
      <c r="X379" s="47">
        <v>0</v>
      </c>
      <c r="Y379" s="48">
        <v>22322543.289999999</v>
      </c>
      <c r="Z379" s="49">
        <v>0</v>
      </c>
      <c r="AA379" s="50">
        <v>0</v>
      </c>
      <c r="AB379" s="50">
        <v>0</v>
      </c>
      <c r="AC379" s="50">
        <v>0</v>
      </c>
      <c r="AD379" s="50">
        <v>306851.84999999998</v>
      </c>
      <c r="AE379" s="50">
        <v>0</v>
      </c>
      <c r="AF379" s="50">
        <v>0</v>
      </c>
      <c r="AG379" s="49">
        <v>306851.84999999998</v>
      </c>
      <c r="AH379" s="51" t="s">
        <v>74</v>
      </c>
      <c r="AI379" s="51" t="s">
        <v>74</v>
      </c>
      <c r="AJ379" s="51" t="s">
        <v>74</v>
      </c>
      <c r="AK379" s="51" t="s">
        <v>136</v>
      </c>
      <c r="AL379" s="51" t="s">
        <v>74</v>
      </c>
      <c r="AM379" s="51" t="s">
        <v>74</v>
      </c>
      <c r="AN379" s="52">
        <v>0</v>
      </c>
      <c r="AO379" s="52">
        <v>0</v>
      </c>
      <c r="AP379" s="52">
        <v>0</v>
      </c>
      <c r="AQ379" s="52">
        <v>0</v>
      </c>
      <c r="AR379" s="52">
        <v>0</v>
      </c>
      <c r="AS379" s="52">
        <v>0</v>
      </c>
      <c r="AT379" s="53" t="s">
        <v>74</v>
      </c>
      <c r="AU379" s="52">
        <v>0</v>
      </c>
      <c r="AV379" s="52"/>
      <c r="AW379" s="52">
        <v>0</v>
      </c>
      <c r="AX379" s="52"/>
      <c r="AY379" s="52"/>
      <c r="AZ379" s="52">
        <v>0</v>
      </c>
      <c r="BA379" s="52">
        <v>0</v>
      </c>
      <c r="BB379" s="54" t="s">
        <v>74</v>
      </c>
      <c r="BC379" s="53" t="s">
        <v>74</v>
      </c>
      <c r="BD379" s="55" t="s">
        <v>74</v>
      </c>
      <c r="BE379" s="55" t="s">
        <v>74</v>
      </c>
      <c r="BF379" s="55" t="s">
        <v>74</v>
      </c>
      <c r="BG379" s="55" t="s">
        <v>74</v>
      </c>
      <c r="BH379" s="52">
        <v>0</v>
      </c>
      <c r="BI379" s="52">
        <v>22015691.440000001</v>
      </c>
      <c r="BJ379" s="52">
        <v>22015691.440000001</v>
      </c>
      <c r="BK379" s="56">
        <v>43586</v>
      </c>
      <c r="BL379" s="57">
        <v>22015691.440000001</v>
      </c>
      <c r="BM379" s="47">
        <v>0</v>
      </c>
      <c r="BN379" s="9"/>
      <c r="BO379" s="9"/>
      <c r="BP379" s="9"/>
      <c r="BQ379" s="9"/>
      <c r="BR379" s="9"/>
      <c r="BS379" s="9"/>
      <c r="BT379" s="9"/>
      <c r="BU379" s="9"/>
      <c r="BV379" s="9"/>
      <c r="BW379" s="9"/>
    </row>
    <row r="380" spans="1:75" ht="26.25" hidden="1" outlineLevel="2" x14ac:dyDescent="0.25">
      <c r="A380" s="43" t="s">
        <v>71</v>
      </c>
      <c r="B380" s="110" t="s">
        <v>493</v>
      </c>
      <c r="C380" s="45">
        <v>2019</v>
      </c>
      <c r="D380" s="110" t="s">
        <v>83</v>
      </c>
      <c r="E380" s="47">
        <v>0</v>
      </c>
      <c r="F380" s="47">
        <v>0</v>
      </c>
      <c r="G380" s="47">
        <v>0</v>
      </c>
      <c r="H380" s="47">
        <v>0</v>
      </c>
      <c r="I380" s="47">
        <v>0</v>
      </c>
      <c r="J380" s="47">
        <v>0</v>
      </c>
      <c r="K380" s="47">
        <v>0</v>
      </c>
      <c r="L380" s="47">
        <v>22322543.289999999</v>
      </c>
      <c r="M380" s="47">
        <v>22322543.289999999</v>
      </c>
      <c r="N380" s="47">
        <v>0</v>
      </c>
      <c r="O380" s="47">
        <v>0</v>
      </c>
      <c r="P380" s="47">
        <v>0</v>
      </c>
      <c r="Q380" s="47">
        <v>0</v>
      </c>
      <c r="R380" s="47">
        <v>0</v>
      </c>
      <c r="S380" s="47">
        <v>0</v>
      </c>
      <c r="T380" s="47">
        <v>0</v>
      </c>
      <c r="U380" s="47">
        <v>0</v>
      </c>
      <c r="V380" s="47">
        <v>0</v>
      </c>
      <c r="W380" s="47">
        <v>0</v>
      </c>
      <c r="X380" s="47">
        <v>0</v>
      </c>
      <c r="Y380" s="48">
        <v>22322543.289999999</v>
      </c>
      <c r="Z380" s="49">
        <v>0</v>
      </c>
      <c r="AA380" s="50">
        <v>0</v>
      </c>
      <c r="AB380" s="50">
        <v>0</v>
      </c>
      <c r="AC380" s="50">
        <v>0</v>
      </c>
      <c r="AD380" s="50">
        <v>309071.26</v>
      </c>
      <c r="AE380" s="50">
        <v>0</v>
      </c>
      <c r="AF380" s="50">
        <v>0</v>
      </c>
      <c r="AG380" s="49">
        <v>309071.26</v>
      </c>
      <c r="AH380" s="51" t="s">
        <v>74</v>
      </c>
      <c r="AI380" s="51" t="s">
        <v>74</v>
      </c>
      <c r="AJ380" s="51" t="s">
        <v>74</v>
      </c>
      <c r="AK380" s="51" t="s">
        <v>138</v>
      </c>
      <c r="AL380" s="51" t="s">
        <v>74</v>
      </c>
      <c r="AM380" s="51" t="s">
        <v>74</v>
      </c>
      <c r="AN380" s="52">
        <v>0</v>
      </c>
      <c r="AO380" s="52">
        <v>0</v>
      </c>
      <c r="AP380" s="52">
        <v>0</v>
      </c>
      <c r="AQ380" s="52">
        <v>0</v>
      </c>
      <c r="AR380" s="52">
        <v>0</v>
      </c>
      <c r="AS380" s="52">
        <v>0</v>
      </c>
      <c r="AT380" s="53" t="s">
        <v>74</v>
      </c>
      <c r="AU380" s="52">
        <v>0</v>
      </c>
      <c r="AV380" s="52"/>
      <c r="AW380" s="52">
        <v>0</v>
      </c>
      <c r="AX380" s="52"/>
      <c r="AY380" s="52"/>
      <c r="AZ380" s="52">
        <v>0</v>
      </c>
      <c r="BA380" s="52">
        <v>0</v>
      </c>
      <c r="BB380" s="54" t="s">
        <v>74</v>
      </c>
      <c r="BC380" s="53" t="s">
        <v>74</v>
      </c>
      <c r="BD380" s="55" t="s">
        <v>74</v>
      </c>
      <c r="BE380" s="55" t="s">
        <v>74</v>
      </c>
      <c r="BF380" s="55" t="s">
        <v>74</v>
      </c>
      <c r="BG380" s="55" t="s">
        <v>74</v>
      </c>
      <c r="BH380" s="52">
        <v>0</v>
      </c>
      <c r="BI380" s="52">
        <v>22013472.030000001</v>
      </c>
      <c r="BJ380" s="52">
        <v>22013472.030000001</v>
      </c>
      <c r="BK380" s="56">
        <v>43617</v>
      </c>
      <c r="BL380" s="57">
        <v>22013472.030000001</v>
      </c>
      <c r="BM380" s="47">
        <v>0</v>
      </c>
      <c r="BN380" s="9"/>
      <c r="BO380" s="9"/>
      <c r="BP380" s="9"/>
      <c r="BQ380" s="9"/>
      <c r="BR380" s="9"/>
      <c r="BS380" s="9"/>
      <c r="BT380" s="9"/>
      <c r="BU380" s="9"/>
      <c r="BV380" s="9"/>
      <c r="BW380" s="9"/>
    </row>
    <row r="381" spans="1:75" ht="26.25" hidden="1" outlineLevel="2" x14ac:dyDescent="0.25">
      <c r="A381" s="43" t="s">
        <v>71</v>
      </c>
      <c r="B381" s="110" t="s">
        <v>493</v>
      </c>
      <c r="C381" s="45">
        <v>2019</v>
      </c>
      <c r="D381" s="110" t="s">
        <v>84</v>
      </c>
      <c r="E381" s="47">
        <v>0</v>
      </c>
      <c r="F381" s="47">
        <v>0</v>
      </c>
      <c r="G381" s="47">
        <v>0</v>
      </c>
      <c r="H381" s="47">
        <v>0</v>
      </c>
      <c r="I381" s="47">
        <v>0</v>
      </c>
      <c r="J381" s="47">
        <v>0</v>
      </c>
      <c r="K381" s="47">
        <v>0</v>
      </c>
      <c r="L381" s="47">
        <v>10417186.869999999</v>
      </c>
      <c r="M381" s="47">
        <v>10417186.869999999</v>
      </c>
      <c r="N381" s="47">
        <v>0</v>
      </c>
      <c r="O381" s="47">
        <v>11892486.16</v>
      </c>
      <c r="P381" s="47">
        <v>0</v>
      </c>
      <c r="Q381" s="47">
        <v>0</v>
      </c>
      <c r="R381" s="47">
        <v>0</v>
      </c>
      <c r="S381" s="47">
        <v>0</v>
      </c>
      <c r="T381" s="47">
        <v>0</v>
      </c>
      <c r="U381" s="47">
        <v>0</v>
      </c>
      <c r="V381" s="47">
        <v>0</v>
      </c>
      <c r="W381" s="47">
        <v>0</v>
      </c>
      <c r="X381" s="47">
        <v>0</v>
      </c>
      <c r="Y381" s="48">
        <v>22309673.030000001</v>
      </c>
      <c r="Z381" s="49">
        <v>0</v>
      </c>
      <c r="AA381" s="50">
        <v>0</v>
      </c>
      <c r="AB381" s="50">
        <v>0</v>
      </c>
      <c r="AC381" s="50">
        <v>0</v>
      </c>
      <c r="AD381" s="50">
        <v>322235.34000000003</v>
      </c>
      <c r="AE381" s="50">
        <v>0</v>
      </c>
      <c r="AF381" s="50">
        <v>0</v>
      </c>
      <c r="AG381" s="49">
        <v>322235.34000000003</v>
      </c>
      <c r="AH381" s="51" t="s">
        <v>74</v>
      </c>
      <c r="AI381" s="51" t="s">
        <v>74</v>
      </c>
      <c r="AJ381" s="51" t="s">
        <v>74</v>
      </c>
      <c r="AK381" s="51" t="s">
        <v>505</v>
      </c>
      <c r="AL381" s="51" t="s">
        <v>74</v>
      </c>
      <c r="AM381" s="51" t="s">
        <v>74</v>
      </c>
      <c r="AN381" s="52">
        <v>0</v>
      </c>
      <c r="AO381" s="52">
        <v>0</v>
      </c>
      <c r="AP381" s="52">
        <v>0</v>
      </c>
      <c r="AQ381" s="52">
        <v>0</v>
      </c>
      <c r="AR381" s="52">
        <v>0</v>
      </c>
      <c r="AS381" s="52">
        <v>0</v>
      </c>
      <c r="AT381" s="53" t="s">
        <v>74</v>
      </c>
      <c r="AU381" s="52">
        <v>0</v>
      </c>
      <c r="AV381" s="52"/>
      <c r="AW381" s="52">
        <v>0</v>
      </c>
      <c r="AX381" s="52"/>
      <c r="AY381" s="52"/>
      <c r="AZ381" s="52">
        <v>0</v>
      </c>
      <c r="BA381" s="52">
        <v>0</v>
      </c>
      <c r="BB381" s="54" t="s">
        <v>74</v>
      </c>
      <c r="BC381" s="53" t="s">
        <v>74</v>
      </c>
      <c r="BD381" s="55" t="s">
        <v>74</v>
      </c>
      <c r="BE381" s="55" t="s">
        <v>74</v>
      </c>
      <c r="BF381" s="55" t="s">
        <v>74</v>
      </c>
      <c r="BG381" s="55" t="s">
        <v>74</v>
      </c>
      <c r="BH381" s="52">
        <v>0</v>
      </c>
      <c r="BI381" s="52">
        <v>21987437.690000001</v>
      </c>
      <c r="BJ381" s="52">
        <v>21987437.690000001</v>
      </c>
      <c r="BK381" s="56">
        <v>43647</v>
      </c>
      <c r="BL381" s="57">
        <v>21987437.690000001</v>
      </c>
      <c r="BM381" s="47">
        <v>0</v>
      </c>
      <c r="BN381" s="9"/>
      <c r="BO381" s="9"/>
      <c r="BP381" s="9"/>
      <c r="BQ381" s="9"/>
      <c r="BR381" s="9"/>
      <c r="BS381" s="9"/>
      <c r="BT381" s="9"/>
      <c r="BU381" s="9"/>
      <c r="BV381" s="9"/>
      <c r="BW381" s="9"/>
    </row>
    <row r="382" spans="1:75" ht="26.25" hidden="1" outlineLevel="2" x14ac:dyDescent="0.25">
      <c r="A382" s="43" t="s">
        <v>71</v>
      </c>
      <c r="B382" s="110" t="s">
        <v>493</v>
      </c>
      <c r="C382" s="45">
        <v>2019</v>
      </c>
      <c r="D382" s="110" t="s">
        <v>86</v>
      </c>
      <c r="E382" s="47">
        <v>0</v>
      </c>
      <c r="F382" s="47">
        <v>0</v>
      </c>
      <c r="G382" s="47">
        <v>0</v>
      </c>
      <c r="H382" s="47">
        <v>0</v>
      </c>
      <c r="I382" s="47">
        <v>0</v>
      </c>
      <c r="J382" s="47">
        <v>0</v>
      </c>
      <c r="K382" s="47">
        <v>0</v>
      </c>
      <c r="L382" s="47">
        <v>0</v>
      </c>
      <c r="M382" s="47">
        <v>0</v>
      </c>
      <c r="N382" s="47">
        <v>0</v>
      </c>
      <c r="O382" s="47">
        <v>22298411.629999999</v>
      </c>
      <c r="P382" s="47">
        <v>0</v>
      </c>
      <c r="Q382" s="47">
        <v>0</v>
      </c>
      <c r="R382" s="47">
        <v>0</v>
      </c>
      <c r="S382" s="47">
        <v>0</v>
      </c>
      <c r="T382" s="47">
        <v>0</v>
      </c>
      <c r="U382" s="47">
        <v>0</v>
      </c>
      <c r="V382" s="47">
        <v>0</v>
      </c>
      <c r="W382" s="47">
        <v>0</v>
      </c>
      <c r="X382" s="47">
        <v>0</v>
      </c>
      <c r="Y382" s="48">
        <v>22298411.629999999</v>
      </c>
      <c r="Z382" s="49">
        <v>0</v>
      </c>
      <c r="AA382" s="50">
        <v>0</v>
      </c>
      <c r="AB382" s="50">
        <v>0</v>
      </c>
      <c r="AC382" s="50">
        <v>0</v>
      </c>
      <c r="AD382" s="50">
        <v>307785.01</v>
      </c>
      <c r="AE382" s="50">
        <v>0</v>
      </c>
      <c r="AF382" s="50">
        <v>0</v>
      </c>
      <c r="AG382" s="49">
        <v>307785.01</v>
      </c>
      <c r="AH382" s="51" t="s">
        <v>74</v>
      </c>
      <c r="AI382" s="51" t="s">
        <v>74</v>
      </c>
      <c r="AJ382" s="51" t="s">
        <v>74</v>
      </c>
      <c r="AK382" s="51" t="s">
        <v>143</v>
      </c>
      <c r="AL382" s="51" t="s">
        <v>74</v>
      </c>
      <c r="AM382" s="51" t="s">
        <v>74</v>
      </c>
      <c r="AN382" s="52">
        <v>0</v>
      </c>
      <c r="AO382" s="52">
        <v>0</v>
      </c>
      <c r="AP382" s="52">
        <v>0</v>
      </c>
      <c r="AQ382" s="52">
        <v>0</v>
      </c>
      <c r="AR382" s="52">
        <v>0</v>
      </c>
      <c r="AS382" s="52">
        <v>0</v>
      </c>
      <c r="AT382" s="53" t="s">
        <v>74</v>
      </c>
      <c r="AU382" s="52">
        <v>0</v>
      </c>
      <c r="AV382" s="52"/>
      <c r="AW382" s="52">
        <v>0</v>
      </c>
      <c r="AX382" s="52"/>
      <c r="AY382" s="52"/>
      <c r="AZ382" s="52">
        <v>0</v>
      </c>
      <c r="BA382" s="52">
        <v>0</v>
      </c>
      <c r="BB382" s="54" t="s">
        <v>74</v>
      </c>
      <c r="BC382" s="53" t="s">
        <v>74</v>
      </c>
      <c r="BD382" s="55" t="s">
        <v>74</v>
      </c>
      <c r="BE382" s="55" t="s">
        <v>74</v>
      </c>
      <c r="BF382" s="55" t="s">
        <v>74</v>
      </c>
      <c r="BG382" s="55" t="s">
        <v>74</v>
      </c>
      <c r="BH382" s="52">
        <v>0</v>
      </c>
      <c r="BI382" s="52">
        <v>21990626.620000001</v>
      </c>
      <c r="BJ382" s="52">
        <v>21990626.620000001</v>
      </c>
      <c r="BK382" s="56">
        <v>43678</v>
      </c>
      <c r="BL382" s="57">
        <v>21990626.620000001</v>
      </c>
      <c r="BM382" s="47">
        <v>0</v>
      </c>
      <c r="BN382" s="9"/>
      <c r="BO382" s="9"/>
      <c r="BP382" s="9"/>
      <c r="BQ382" s="9"/>
      <c r="BR382" s="9"/>
      <c r="BS382" s="9"/>
      <c r="BT382" s="9"/>
      <c r="BU382" s="9"/>
      <c r="BV382" s="9"/>
      <c r="BW382" s="9"/>
    </row>
    <row r="383" spans="1:75" ht="64.5" hidden="1" outlineLevel="2" x14ac:dyDescent="0.25">
      <c r="A383" s="43" t="s">
        <v>71</v>
      </c>
      <c r="B383" s="110" t="s">
        <v>493</v>
      </c>
      <c r="C383" s="45">
        <v>2019</v>
      </c>
      <c r="D383" s="110" t="s">
        <v>88</v>
      </c>
      <c r="E383" s="47">
        <v>0</v>
      </c>
      <c r="F383" s="47">
        <v>0</v>
      </c>
      <c r="G383" s="47">
        <v>0</v>
      </c>
      <c r="H383" s="47">
        <v>0</v>
      </c>
      <c r="I383" s="47">
        <v>0</v>
      </c>
      <c r="J383" s="47">
        <v>0</v>
      </c>
      <c r="K383" s="47">
        <v>0</v>
      </c>
      <c r="L383" s="47">
        <v>0</v>
      </c>
      <c r="M383" s="47">
        <v>0</v>
      </c>
      <c r="N383" s="47">
        <v>0</v>
      </c>
      <c r="O383" s="47">
        <v>22298411.629999999</v>
      </c>
      <c r="P383" s="47">
        <v>0</v>
      </c>
      <c r="Q383" s="47">
        <v>0</v>
      </c>
      <c r="R383" s="47">
        <v>0</v>
      </c>
      <c r="S383" s="47">
        <v>0</v>
      </c>
      <c r="T383" s="47">
        <v>0</v>
      </c>
      <c r="U383" s="47">
        <v>0</v>
      </c>
      <c r="V383" s="47">
        <v>0</v>
      </c>
      <c r="W383" s="47">
        <v>0</v>
      </c>
      <c r="X383" s="47">
        <v>0</v>
      </c>
      <c r="Y383" s="48">
        <v>22298411.629999999</v>
      </c>
      <c r="Z383" s="49">
        <v>0</v>
      </c>
      <c r="AA383" s="50">
        <v>0</v>
      </c>
      <c r="AB383" s="50">
        <v>0</v>
      </c>
      <c r="AC383" s="50">
        <v>0</v>
      </c>
      <c r="AD383" s="50">
        <v>530135.25</v>
      </c>
      <c r="AE383" s="50">
        <v>0</v>
      </c>
      <c r="AF383" s="50">
        <v>0</v>
      </c>
      <c r="AG383" s="49">
        <v>530135.25</v>
      </c>
      <c r="AH383" s="51" t="s">
        <v>74</v>
      </c>
      <c r="AI383" s="51" t="s">
        <v>74</v>
      </c>
      <c r="AJ383" s="51" t="s">
        <v>74</v>
      </c>
      <c r="AK383" s="51" t="s">
        <v>506</v>
      </c>
      <c r="AL383" s="51" t="s">
        <v>74</v>
      </c>
      <c r="AM383" s="51" t="s">
        <v>74</v>
      </c>
      <c r="AN383" s="52">
        <v>0</v>
      </c>
      <c r="AO383" s="52">
        <v>0</v>
      </c>
      <c r="AP383" s="52">
        <v>0</v>
      </c>
      <c r="AQ383" s="52">
        <v>0</v>
      </c>
      <c r="AR383" s="52">
        <v>0</v>
      </c>
      <c r="AS383" s="52">
        <v>0</v>
      </c>
      <c r="AT383" s="53" t="s">
        <v>74</v>
      </c>
      <c r="AU383" s="52">
        <v>0</v>
      </c>
      <c r="AV383" s="52"/>
      <c r="AW383" s="52">
        <v>0</v>
      </c>
      <c r="AX383" s="52"/>
      <c r="AY383" s="52"/>
      <c r="AZ383" s="52">
        <v>0</v>
      </c>
      <c r="BA383" s="52">
        <v>0</v>
      </c>
      <c r="BB383" s="54" t="s">
        <v>74</v>
      </c>
      <c r="BC383" s="53" t="s">
        <v>74</v>
      </c>
      <c r="BD383" s="55" t="s">
        <v>74</v>
      </c>
      <c r="BE383" s="55" t="s">
        <v>74</v>
      </c>
      <c r="BF383" s="55" t="s">
        <v>74</v>
      </c>
      <c r="BG383" s="55" t="s">
        <v>74</v>
      </c>
      <c r="BH383" s="52">
        <v>0</v>
      </c>
      <c r="BI383" s="52">
        <v>21768276.379999999</v>
      </c>
      <c r="BJ383" s="52">
        <v>21768276.379999999</v>
      </c>
      <c r="BK383" s="56">
        <v>43709</v>
      </c>
      <c r="BL383" s="57">
        <v>21768276.379999999</v>
      </c>
      <c r="BM383" s="47">
        <v>0</v>
      </c>
      <c r="BN383" s="9"/>
      <c r="BO383" s="9"/>
      <c r="BP383" s="9"/>
      <c r="BQ383" s="9"/>
      <c r="BR383" s="9"/>
      <c r="BS383" s="9"/>
      <c r="BT383" s="9"/>
      <c r="BU383" s="9"/>
      <c r="BV383" s="9"/>
      <c r="BW383" s="9"/>
    </row>
    <row r="384" spans="1:75" hidden="1" outlineLevel="2" x14ac:dyDescent="0.25">
      <c r="A384" s="43" t="s">
        <v>71</v>
      </c>
      <c r="B384" s="110" t="s">
        <v>493</v>
      </c>
      <c r="C384" s="45">
        <v>2019</v>
      </c>
      <c r="D384" s="110" t="s">
        <v>89</v>
      </c>
      <c r="E384" s="47">
        <v>0</v>
      </c>
      <c r="F384" s="47">
        <v>0</v>
      </c>
      <c r="G384" s="47">
        <v>0</v>
      </c>
      <c r="H384" s="47">
        <v>0</v>
      </c>
      <c r="I384" s="47">
        <v>0</v>
      </c>
      <c r="J384" s="47">
        <v>0</v>
      </c>
      <c r="K384" s="47">
        <v>0</v>
      </c>
      <c r="L384" s="47">
        <v>0</v>
      </c>
      <c r="M384" s="47">
        <v>0</v>
      </c>
      <c r="N384" s="47">
        <v>0</v>
      </c>
      <c r="O384" s="47">
        <v>22298411.629999999</v>
      </c>
      <c r="P384" s="47">
        <v>0</v>
      </c>
      <c r="Q384" s="47">
        <v>0</v>
      </c>
      <c r="R384" s="47">
        <v>0</v>
      </c>
      <c r="S384" s="47">
        <v>0</v>
      </c>
      <c r="T384" s="47">
        <v>0</v>
      </c>
      <c r="U384" s="47">
        <v>0</v>
      </c>
      <c r="V384" s="47">
        <v>0</v>
      </c>
      <c r="W384" s="47">
        <v>0</v>
      </c>
      <c r="X384" s="47">
        <v>0</v>
      </c>
      <c r="Y384" s="48">
        <v>22298411.629999999</v>
      </c>
      <c r="Z384" s="49">
        <v>0</v>
      </c>
      <c r="AA384" s="50">
        <v>0</v>
      </c>
      <c r="AB384" s="50">
        <v>0</v>
      </c>
      <c r="AC384" s="50">
        <v>0</v>
      </c>
      <c r="AD384" s="50">
        <v>0</v>
      </c>
      <c r="AE384" s="50">
        <v>0</v>
      </c>
      <c r="AF384" s="50">
        <v>0</v>
      </c>
      <c r="AG384" s="49">
        <v>0</v>
      </c>
      <c r="AH384" s="51" t="s">
        <v>74</v>
      </c>
      <c r="AI384" s="51" t="s">
        <v>74</v>
      </c>
      <c r="AJ384" s="51" t="s">
        <v>74</v>
      </c>
      <c r="AK384" s="51" t="s">
        <v>74</v>
      </c>
      <c r="AL384" s="51" t="s">
        <v>74</v>
      </c>
      <c r="AM384" s="51" t="s">
        <v>74</v>
      </c>
      <c r="AN384" s="52">
        <v>0</v>
      </c>
      <c r="AO384" s="52">
        <v>0</v>
      </c>
      <c r="AP384" s="52">
        <v>0</v>
      </c>
      <c r="AQ384" s="52">
        <v>0</v>
      </c>
      <c r="AR384" s="52">
        <v>0</v>
      </c>
      <c r="AS384" s="52">
        <v>0</v>
      </c>
      <c r="AT384" s="53" t="s">
        <v>74</v>
      </c>
      <c r="AU384" s="52">
        <v>0</v>
      </c>
      <c r="AV384" s="52"/>
      <c r="AW384" s="52">
        <v>0</v>
      </c>
      <c r="AX384" s="52"/>
      <c r="AY384" s="52"/>
      <c r="AZ384" s="52">
        <v>0</v>
      </c>
      <c r="BA384" s="52">
        <v>0</v>
      </c>
      <c r="BB384" s="54" t="s">
        <v>74</v>
      </c>
      <c r="BC384" s="53" t="s">
        <v>74</v>
      </c>
      <c r="BD384" s="55" t="s">
        <v>74</v>
      </c>
      <c r="BE384" s="55" t="s">
        <v>74</v>
      </c>
      <c r="BF384" s="55" t="s">
        <v>74</v>
      </c>
      <c r="BG384" s="55" t="s">
        <v>74</v>
      </c>
      <c r="BH384" s="52">
        <v>0</v>
      </c>
      <c r="BI384" s="52">
        <v>22298411.629999999</v>
      </c>
      <c r="BJ384" s="52">
        <v>22298411.629999999</v>
      </c>
      <c r="BK384" s="56">
        <v>43739</v>
      </c>
      <c r="BL384" s="57">
        <v>22298411.629999999</v>
      </c>
      <c r="BM384" s="47">
        <v>0</v>
      </c>
      <c r="BN384" s="9"/>
      <c r="BO384" s="9"/>
      <c r="BP384" s="9"/>
      <c r="BQ384" s="9"/>
      <c r="BR384" s="9"/>
      <c r="BS384" s="9"/>
      <c r="BT384" s="9"/>
      <c r="BU384" s="9"/>
      <c r="BV384" s="9"/>
      <c r="BW384" s="9"/>
    </row>
    <row r="385" spans="1:75" ht="26.25" hidden="1" outlineLevel="2" x14ac:dyDescent="0.25">
      <c r="A385" s="43" t="s">
        <v>71</v>
      </c>
      <c r="B385" s="110" t="s">
        <v>493</v>
      </c>
      <c r="C385" s="45">
        <v>2019</v>
      </c>
      <c r="D385" s="110" t="s">
        <v>90</v>
      </c>
      <c r="E385" s="47">
        <v>0</v>
      </c>
      <c r="F385" s="47">
        <v>0</v>
      </c>
      <c r="G385" s="47">
        <v>0</v>
      </c>
      <c r="H385" s="47">
        <v>0</v>
      </c>
      <c r="I385" s="47">
        <v>0</v>
      </c>
      <c r="J385" s="47">
        <v>0</v>
      </c>
      <c r="K385" s="47">
        <v>0</v>
      </c>
      <c r="L385" s="47">
        <v>0</v>
      </c>
      <c r="M385" s="47">
        <v>0</v>
      </c>
      <c r="N385" s="47">
        <v>0</v>
      </c>
      <c r="O385" s="47">
        <v>22572524.34</v>
      </c>
      <c r="P385" s="47">
        <v>0</v>
      </c>
      <c r="Q385" s="47">
        <v>0</v>
      </c>
      <c r="R385" s="47">
        <v>0</v>
      </c>
      <c r="S385" s="47">
        <v>0</v>
      </c>
      <c r="T385" s="47">
        <v>0</v>
      </c>
      <c r="U385" s="47">
        <v>0</v>
      </c>
      <c r="V385" s="47">
        <v>0</v>
      </c>
      <c r="W385" s="47">
        <v>0</v>
      </c>
      <c r="X385" s="47">
        <v>0</v>
      </c>
      <c r="Y385" s="48">
        <v>22572524.34</v>
      </c>
      <c r="Z385" s="49">
        <v>0</v>
      </c>
      <c r="AA385" s="50">
        <v>0</v>
      </c>
      <c r="AB385" s="50">
        <v>0</v>
      </c>
      <c r="AC385" s="50">
        <v>0</v>
      </c>
      <c r="AD385" s="50">
        <v>298756.53999999998</v>
      </c>
      <c r="AE385" s="50">
        <v>0</v>
      </c>
      <c r="AF385" s="50">
        <v>0</v>
      </c>
      <c r="AG385" s="49">
        <v>298756.53999999998</v>
      </c>
      <c r="AH385" s="51" t="s">
        <v>74</v>
      </c>
      <c r="AI385" s="51" t="s">
        <v>74</v>
      </c>
      <c r="AJ385" s="51" t="s">
        <v>74</v>
      </c>
      <c r="AK385" s="51" t="s">
        <v>507</v>
      </c>
      <c r="AL385" s="51" t="s">
        <v>74</v>
      </c>
      <c r="AM385" s="51" t="s">
        <v>74</v>
      </c>
      <c r="AN385" s="52"/>
      <c r="AO385" s="52">
        <v>0</v>
      </c>
      <c r="AP385" s="52"/>
      <c r="AQ385" s="52"/>
      <c r="AR385" s="52"/>
      <c r="AS385" s="52">
        <v>0</v>
      </c>
      <c r="AT385" s="53" t="s">
        <v>74</v>
      </c>
      <c r="AU385" s="52">
        <v>25340.45</v>
      </c>
      <c r="AV385" s="52"/>
      <c r="AW385" s="52">
        <v>0</v>
      </c>
      <c r="AX385" s="52"/>
      <c r="AY385" s="52"/>
      <c r="AZ385" s="52">
        <v>0</v>
      </c>
      <c r="BA385" s="52">
        <v>25340.45</v>
      </c>
      <c r="BB385" s="55" t="s">
        <v>508</v>
      </c>
      <c r="BC385" s="51" t="s">
        <v>74</v>
      </c>
      <c r="BD385" s="54" t="s">
        <v>74</v>
      </c>
      <c r="BE385" s="54" t="s">
        <v>74</v>
      </c>
      <c r="BF385" s="54" t="s">
        <v>74</v>
      </c>
      <c r="BG385" s="54" t="s">
        <v>74</v>
      </c>
      <c r="BH385" s="52">
        <v>25340.45</v>
      </c>
      <c r="BI385" s="52">
        <v>22299108.25</v>
      </c>
      <c r="BJ385" s="52">
        <v>22273767.800000001</v>
      </c>
      <c r="BK385" s="56">
        <v>43770</v>
      </c>
      <c r="BL385" s="57">
        <v>22299108.25</v>
      </c>
      <c r="BM385" s="47">
        <v>0</v>
      </c>
      <c r="BN385" s="9"/>
      <c r="BO385" s="9"/>
      <c r="BP385" s="9"/>
      <c r="BQ385" s="9"/>
      <c r="BR385" s="9"/>
      <c r="BS385" s="9"/>
      <c r="BT385" s="9"/>
      <c r="BU385" s="9"/>
      <c r="BV385" s="9"/>
      <c r="BW385" s="9"/>
    </row>
    <row r="386" spans="1:75" ht="64.5" hidden="1" outlineLevel="2" x14ac:dyDescent="0.25">
      <c r="A386" s="43" t="s">
        <v>71</v>
      </c>
      <c r="B386" s="110" t="s">
        <v>493</v>
      </c>
      <c r="C386" s="45">
        <v>2019</v>
      </c>
      <c r="D386" s="110" t="s">
        <v>93</v>
      </c>
      <c r="E386" s="47">
        <v>0</v>
      </c>
      <c r="F386" s="47">
        <v>0</v>
      </c>
      <c r="G386" s="47">
        <v>0</v>
      </c>
      <c r="H386" s="47">
        <v>0</v>
      </c>
      <c r="I386" s="47">
        <v>0</v>
      </c>
      <c r="J386" s="47">
        <v>0</v>
      </c>
      <c r="K386" s="47">
        <v>0</v>
      </c>
      <c r="L386" s="47">
        <v>0</v>
      </c>
      <c r="M386" s="47">
        <v>0</v>
      </c>
      <c r="N386" s="47">
        <v>0</v>
      </c>
      <c r="O386" s="47">
        <v>23425110.25</v>
      </c>
      <c r="P386" s="47">
        <v>0</v>
      </c>
      <c r="Q386" s="47">
        <v>0</v>
      </c>
      <c r="R386" s="47">
        <v>0</v>
      </c>
      <c r="S386" s="47">
        <v>0</v>
      </c>
      <c r="T386" s="47">
        <v>0</v>
      </c>
      <c r="U386" s="47">
        <v>0</v>
      </c>
      <c r="V386" s="47">
        <v>0</v>
      </c>
      <c r="W386" s="47">
        <v>0</v>
      </c>
      <c r="X386" s="47">
        <v>0</v>
      </c>
      <c r="Y386" s="48">
        <v>23425110.25</v>
      </c>
      <c r="Z386" s="49">
        <v>0</v>
      </c>
      <c r="AA386" s="50">
        <v>0</v>
      </c>
      <c r="AB386" s="50">
        <v>0</v>
      </c>
      <c r="AC386" s="50">
        <v>0</v>
      </c>
      <c r="AD386" s="50">
        <v>597513.07999999996</v>
      </c>
      <c r="AE386" s="50">
        <v>0</v>
      </c>
      <c r="AF386" s="50">
        <v>0</v>
      </c>
      <c r="AG386" s="49">
        <v>597513.07999999996</v>
      </c>
      <c r="AH386" s="51" t="s">
        <v>74</v>
      </c>
      <c r="AI386" s="51" t="s">
        <v>74</v>
      </c>
      <c r="AJ386" s="51" t="s">
        <v>74</v>
      </c>
      <c r="AK386" s="51" t="s">
        <v>509</v>
      </c>
      <c r="AL386" s="51" t="s">
        <v>74</v>
      </c>
      <c r="AM386" s="51" t="s">
        <v>74</v>
      </c>
      <c r="AN386" s="52">
        <v>0</v>
      </c>
      <c r="AO386" s="52">
        <v>0</v>
      </c>
      <c r="AP386" s="52">
        <v>0</v>
      </c>
      <c r="AQ386" s="52">
        <v>0</v>
      </c>
      <c r="AR386" s="52">
        <v>0</v>
      </c>
      <c r="AS386" s="52">
        <v>0</v>
      </c>
      <c r="AT386" s="53" t="s">
        <v>74</v>
      </c>
      <c r="AU386" s="52">
        <v>0</v>
      </c>
      <c r="AV386" s="52"/>
      <c r="AW386" s="52">
        <v>0</v>
      </c>
      <c r="AX386" s="52"/>
      <c r="AY386" s="52"/>
      <c r="AZ386" s="52">
        <v>0</v>
      </c>
      <c r="BA386" s="52">
        <v>0</v>
      </c>
      <c r="BB386" s="54" t="s">
        <v>74</v>
      </c>
      <c r="BC386" s="53" t="s">
        <v>74</v>
      </c>
      <c r="BD386" s="55" t="s">
        <v>74</v>
      </c>
      <c r="BE386" s="55" t="s">
        <v>74</v>
      </c>
      <c r="BF386" s="55" t="s">
        <v>74</v>
      </c>
      <c r="BG386" s="55" t="s">
        <v>74</v>
      </c>
      <c r="BH386" s="52">
        <v>0</v>
      </c>
      <c r="BI386" s="52">
        <v>22827597.170000002</v>
      </c>
      <c r="BJ386" s="52">
        <v>22827597.170000002</v>
      </c>
      <c r="BK386" s="56">
        <v>43800</v>
      </c>
      <c r="BL386" s="57">
        <v>22827597.170000002</v>
      </c>
      <c r="BM386" s="47">
        <v>0</v>
      </c>
      <c r="BN386" s="9"/>
      <c r="BO386" s="9"/>
      <c r="BP386" s="9"/>
      <c r="BQ386" s="9"/>
      <c r="BR386" s="9"/>
      <c r="BS386" s="9"/>
      <c r="BT386" s="9"/>
      <c r="BU386" s="9"/>
      <c r="BV386" s="9"/>
      <c r="BW386" s="9"/>
    </row>
    <row r="387" spans="1:75" ht="64.5" hidden="1" outlineLevel="2" x14ac:dyDescent="0.25">
      <c r="A387" s="43" t="s">
        <v>71</v>
      </c>
      <c r="B387" s="110" t="s">
        <v>493</v>
      </c>
      <c r="C387" s="45">
        <v>2020</v>
      </c>
      <c r="D387" s="110" t="s">
        <v>73</v>
      </c>
      <c r="E387" s="47">
        <v>0</v>
      </c>
      <c r="F387" s="47">
        <v>0</v>
      </c>
      <c r="G387" s="47">
        <v>0</v>
      </c>
      <c r="H387" s="47">
        <v>0</v>
      </c>
      <c r="I387" s="47">
        <v>0</v>
      </c>
      <c r="J387" s="47">
        <v>0</v>
      </c>
      <c r="K387" s="47">
        <v>0</v>
      </c>
      <c r="L387" s="47">
        <v>0</v>
      </c>
      <c r="M387" s="47">
        <v>0</v>
      </c>
      <c r="N387" s="47">
        <v>0</v>
      </c>
      <c r="O387" s="47">
        <v>23961255.359999999</v>
      </c>
      <c r="P387" s="47">
        <v>0</v>
      </c>
      <c r="Q387" s="47">
        <v>0</v>
      </c>
      <c r="R387" s="47">
        <v>0</v>
      </c>
      <c r="S387" s="47">
        <v>0</v>
      </c>
      <c r="T387" s="47">
        <v>0</v>
      </c>
      <c r="U387" s="47">
        <v>0</v>
      </c>
      <c r="V387" s="47">
        <v>0</v>
      </c>
      <c r="W387" s="47">
        <v>0</v>
      </c>
      <c r="X387" s="47">
        <v>0</v>
      </c>
      <c r="Y387" s="48">
        <v>23961255.359999999</v>
      </c>
      <c r="Z387" s="49">
        <v>0</v>
      </c>
      <c r="AA387" s="50">
        <v>0</v>
      </c>
      <c r="AB387" s="50">
        <v>0</v>
      </c>
      <c r="AC387" s="50">
        <v>0</v>
      </c>
      <c r="AD387" s="50">
        <v>331212.38</v>
      </c>
      <c r="AE387" s="50">
        <v>0</v>
      </c>
      <c r="AF387" s="50">
        <v>0</v>
      </c>
      <c r="AG387" s="49">
        <v>331212.38</v>
      </c>
      <c r="AH387" s="51" t="s">
        <v>74</v>
      </c>
      <c r="AI387" s="51" t="s">
        <v>74</v>
      </c>
      <c r="AJ387" s="51" t="s">
        <v>74</v>
      </c>
      <c r="AK387" s="51" t="s">
        <v>510</v>
      </c>
      <c r="AL387" s="51" t="s">
        <v>74</v>
      </c>
      <c r="AM387" s="51" t="s">
        <v>74</v>
      </c>
      <c r="AN387" s="167">
        <v>0</v>
      </c>
      <c r="AO387" s="167">
        <v>0</v>
      </c>
      <c r="AP387" s="167">
        <v>0</v>
      </c>
      <c r="AQ387" s="167">
        <v>0</v>
      </c>
      <c r="AR387" s="167">
        <v>0</v>
      </c>
      <c r="AS387" s="52">
        <v>0</v>
      </c>
      <c r="AT387" s="53" t="s">
        <v>74</v>
      </c>
      <c r="AU387" s="52">
        <v>0</v>
      </c>
      <c r="AV387" s="52"/>
      <c r="AW387" s="52">
        <v>0</v>
      </c>
      <c r="AX387" s="52"/>
      <c r="AY387" s="52"/>
      <c r="AZ387" s="52">
        <v>0</v>
      </c>
      <c r="BA387" s="52">
        <v>0</v>
      </c>
      <c r="BB387" s="54" t="s">
        <v>74</v>
      </c>
      <c r="BC387" s="53" t="s">
        <v>74</v>
      </c>
      <c r="BD387" s="55" t="s">
        <v>74</v>
      </c>
      <c r="BE387" s="55" t="s">
        <v>74</v>
      </c>
      <c r="BF387" s="55" t="s">
        <v>74</v>
      </c>
      <c r="BG387" s="55" t="s">
        <v>74</v>
      </c>
      <c r="BH387" s="52">
        <v>0</v>
      </c>
      <c r="BI387" s="52">
        <v>23630042.98</v>
      </c>
      <c r="BJ387" s="52">
        <v>23630042.98</v>
      </c>
      <c r="BK387" s="56">
        <v>43831</v>
      </c>
      <c r="BL387" s="57">
        <v>23630042.98</v>
      </c>
      <c r="BM387" s="47">
        <v>0</v>
      </c>
      <c r="BN387" s="9"/>
      <c r="BO387" s="9"/>
      <c r="BP387" s="9"/>
      <c r="BQ387" s="9"/>
      <c r="BR387" s="9"/>
      <c r="BS387" s="9"/>
      <c r="BT387" s="9"/>
      <c r="BU387" s="9"/>
      <c r="BV387" s="9"/>
      <c r="BW387" s="9"/>
    </row>
    <row r="388" spans="1:75" ht="217.5" hidden="1" outlineLevel="2" x14ac:dyDescent="0.25">
      <c r="A388" s="43" t="s">
        <v>71</v>
      </c>
      <c r="B388" s="110" t="s">
        <v>493</v>
      </c>
      <c r="C388" s="45">
        <v>2020</v>
      </c>
      <c r="D388" s="110" t="s">
        <v>75</v>
      </c>
      <c r="E388" s="47">
        <v>0</v>
      </c>
      <c r="F388" s="47">
        <v>0</v>
      </c>
      <c r="G388" s="47">
        <v>0</v>
      </c>
      <c r="H388" s="47">
        <v>0</v>
      </c>
      <c r="I388" s="47">
        <v>0</v>
      </c>
      <c r="J388" s="47">
        <v>0</v>
      </c>
      <c r="K388" s="47">
        <v>0</v>
      </c>
      <c r="L388" s="47">
        <v>0</v>
      </c>
      <c r="M388" s="47">
        <v>0</v>
      </c>
      <c r="N388" s="47">
        <v>0</v>
      </c>
      <c r="O388" s="47">
        <v>23961255.359999999</v>
      </c>
      <c r="P388" s="47">
        <v>818430</v>
      </c>
      <c r="Q388" s="47">
        <v>0</v>
      </c>
      <c r="R388" s="47">
        <v>0</v>
      </c>
      <c r="S388" s="47">
        <v>0</v>
      </c>
      <c r="T388" s="47">
        <v>0</v>
      </c>
      <c r="U388" s="47">
        <v>0</v>
      </c>
      <c r="V388" s="47">
        <v>0</v>
      </c>
      <c r="W388" s="47">
        <v>0</v>
      </c>
      <c r="X388" s="47">
        <v>0</v>
      </c>
      <c r="Y388" s="48">
        <v>24779685.359999999</v>
      </c>
      <c r="Z388" s="49">
        <v>0</v>
      </c>
      <c r="AA388" s="50">
        <v>0</v>
      </c>
      <c r="AB388" s="50">
        <v>0</v>
      </c>
      <c r="AC388" s="50">
        <v>0</v>
      </c>
      <c r="AD388" s="62">
        <v>300000</v>
      </c>
      <c r="AE388" s="50">
        <v>0</v>
      </c>
      <c r="AF388" s="50">
        <v>0</v>
      </c>
      <c r="AG388" s="49">
        <v>300000</v>
      </c>
      <c r="AH388" s="51" t="s">
        <v>74</v>
      </c>
      <c r="AI388" s="51" t="s">
        <v>74</v>
      </c>
      <c r="AJ388" s="51" t="s">
        <v>74</v>
      </c>
      <c r="AK388" s="51" t="s">
        <v>511</v>
      </c>
      <c r="AL388" s="51" t="s">
        <v>74</v>
      </c>
      <c r="AM388" s="51" t="s">
        <v>74</v>
      </c>
      <c r="AN388" s="167">
        <v>0</v>
      </c>
      <c r="AO388" s="167">
        <v>0</v>
      </c>
      <c r="AP388" s="52"/>
      <c r="AQ388" s="52"/>
      <c r="AR388" s="52"/>
      <c r="AS388" s="52">
        <v>0</v>
      </c>
      <c r="AT388" s="53" t="s">
        <v>74</v>
      </c>
      <c r="AU388" s="52">
        <v>333517.28999999998</v>
      </c>
      <c r="AV388" s="52"/>
      <c r="AW388" s="52">
        <v>0</v>
      </c>
      <c r="AX388" s="52"/>
      <c r="AY388" s="52"/>
      <c r="AZ388" s="52">
        <v>0</v>
      </c>
      <c r="BA388" s="52">
        <v>333517.28999999998</v>
      </c>
      <c r="BB388" s="55" t="s">
        <v>512</v>
      </c>
      <c r="BC388" s="51" t="s">
        <v>74</v>
      </c>
      <c r="BD388" s="54" t="s">
        <v>74</v>
      </c>
      <c r="BE388" s="54" t="s">
        <v>74</v>
      </c>
      <c r="BF388" s="54" t="s">
        <v>74</v>
      </c>
      <c r="BG388" s="54" t="s">
        <v>74</v>
      </c>
      <c r="BH388" s="52">
        <v>333517.28999999998</v>
      </c>
      <c r="BI388" s="52">
        <v>24813202.649999999</v>
      </c>
      <c r="BJ388" s="52">
        <v>24479685.359999999</v>
      </c>
      <c r="BK388" s="56">
        <v>43862</v>
      </c>
      <c r="BL388" s="57">
        <v>24813202.649999999</v>
      </c>
      <c r="BM388" s="47">
        <v>0</v>
      </c>
      <c r="BN388" s="9"/>
      <c r="BO388" s="9"/>
      <c r="BP388" s="9"/>
      <c r="BQ388" s="9"/>
      <c r="BR388" s="9"/>
      <c r="BS388" s="9"/>
      <c r="BT388" s="9"/>
      <c r="BU388" s="9"/>
      <c r="BV388" s="9"/>
      <c r="BW388" s="9"/>
    </row>
    <row r="389" spans="1:75" ht="409.6" hidden="1" outlineLevel="2" x14ac:dyDescent="0.25">
      <c r="A389" s="43" t="s">
        <v>71</v>
      </c>
      <c r="B389" s="110" t="s">
        <v>493</v>
      </c>
      <c r="C389" s="45">
        <v>2020</v>
      </c>
      <c r="D389" s="110" t="s">
        <v>77</v>
      </c>
      <c r="E389" s="47">
        <v>0</v>
      </c>
      <c r="F389" s="47">
        <v>0</v>
      </c>
      <c r="G389" s="47">
        <v>0</v>
      </c>
      <c r="H389" s="47">
        <v>0</v>
      </c>
      <c r="I389" s="47">
        <v>0</v>
      </c>
      <c r="J389" s="47">
        <v>0</v>
      </c>
      <c r="K389" s="47">
        <v>0</v>
      </c>
      <c r="L389" s="47">
        <v>0</v>
      </c>
      <c r="M389" s="47">
        <v>0</v>
      </c>
      <c r="N389" s="47">
        <v>0</v>
      </c>
      <c r="O389" s="47">
        <v>23961255.359999999</v>
      </c>
      <c r="P389" s="47">
        <v>818430</v>
      </c>
      <c r="Q389" s="47">
        <v>0</v>
      </c>
      <c r="R389" s="47">
        <v>0</v>
      </c>
      <c r="S389" s="47">
        <v>0</v>
      </c>
      <c r="T389" s="47">
        <v>0</v>
      </c>
      <c r="U389" s="47">
        <v>0</v>
      </c>
      <c r="V389" s="47">
        <v>0</v>
      </c>
      <c r="W389" s="47">
        <v>0</v>
      </c>
      <c r="X389" s="47">
        <v>0</v>
      </c>
      <c r="Y389" s="48">
        <v>24779685.359999999</v>
      </c>
      <c r="Z389" s="49">
        <v>0</v>
      </c>
      <c r="AA389" s="50">
        <v>0</v>
      </c>
      <c r="AB389" s="50">
        <v>0</v>
      </c>
      <c r="AC389" s="50">
        <v>0</v>
      </c>
      <c r="AD389" s="62">
        <v>315884.76</v>
      </c>
      <c r="AE389" s="50">
        <v>0</v>
      </c>
      <c r="AF389" s="50">
        <v>0</v>
      </c>
      <c r="AG389" s="49">
        <v>315884.76</v>
      </c>
      <c r="AH389" s="51" t="s">
        <v>74</v>
      </c>
      <c r="AI389" s="51" t="s">
        <v>74</v>
      </c>
      <c r="AJ389" s="51" t="s">
        <v>74</v>
      </c>
      <c r="AK389" s="51" t="s">
        <v>513</v>
      </c>
      <c r="AL389" s="51" t="s">
        <v>74</v>
      </c>
      <c r="AM389" s="51" t="s">
        <v>74</v>
      </c>
      <c r="AN389" s="167">
        <v>0</v>
      </c>
      <c r="AO389" s="167">
        <v>0</v>
      </c>
      <c r="AP389" s="52"/>
      <c r="AQ389" s="52"/>
      <c r="AR389" s="52"/>
      <c r="AS389" s="52">
        <v>0</v>
      </c>
      <c r="AT389" s="53" t="s">
        <v>74</v>
      </c>
      <c r="AU389" s="52">
        <v>3381746.93</v>
      </c>
      <c r="AV389" s="52"/>
      <c r="AW389" s="52">
        <v>0</v>
      </c>
      <c r="AX389" s="52"/>
      <c r="AY389" s="52"/>
      <c r="AZ389" s="52">
        <v>0</v>
      </c>
      <c r="BA389" s="52">
        <v>3381746.93</v>
      </c>
      <c r="BB389" s="55" t="s">
        <v>514</v>
      </c>
      <c r="BC389" s="51" t="s">
        <v>74</v>
      </c>
      <c r="BD389" s="54" t="s">
        <v>74</v>
      </c>
      <c r="BE389" s="54" t="s">
        <v>74</v>
      </c>
      <c r="BF389" s="54" t="s">
        <v>74</v>
      </c>
      <c r="BG389" s="54" t="s">
        <v>74</v>
      </c>
      <c r="BH389" s="52">
        <v>3381746.93</v>
      </c>
      <c r="BI389" s="52">
        <v>27845547.530000001</v>
      </c>
      <c r="BJ389" s="52">
        <v>24463800.600000001</v>
      </c>
      <c r="BK389" s="56">
        <v>43891</v>
      </c>
      <c r="BL389" s="57">
        <v>27845547.530000001</v>
      </c>
      <c r="BM389" s="47">
        <v>0</v>
      </c>
      <c r="BN389" s="9"/>
      <c r="BO389" s="9"/>
      <c r="BP389" s="9"/>
      <c r="BQ389" s="9"/>
      <c r="BR389" s="9"/>
      <c r="BS389" s="9"/>
      <c r="BT389" s="9"/>
      <c r="BU389" s="9"/>
      <c r="BV389" s="9"/>
      <c r="BW389" s="9"/>
    </row>
    <row r="390" spans="1:75" ht="26.25" hidden="1" outlineLevel="2" x14ac:dyDescent="0.25">
      <c r="A390" s="43" t="s">
        <v>71</v>
      </c>
      <c r="B390" s="110" t="s">
        <v>493</v>
      </c>
      <c r="C390" s="45">
        <v>2020</v>
      </c>
      <c r="D390" s="110" t="s">
        <v>79</v>
      </c>
      <c r="E390" s="47">
        <v>0</v>
      </c>
      <c r="F390" s="47">
        <v>0</v>
      </c>
      <c r="G390" s="47">
        <v>0</v>
      </c>
      <c r="H390" s="47">
        <v>0</v>
      </c>
      <c r="I390" s="47">
        <v>0</v>
      </c>
      <c r="J390" s="47">
        <v>0</v>
      </c>
      <c r="K390" s="47">
        <v>0</v>
      </c>
      <c r="L390" s="47">
        <v>0</v>
      </c>
      <c r="M390" s="47">
        <v>0</v>
      </c>
      <c r="N390" s="47">
        <v>0</v>
      </c>
      <c r="O390" s="47">
        <v>23961255.359999999</v>
      </c>
      <c r="P390" s="47">
        <v>818430</v>
      </c>
      <c r="Q390" s="47">
        <v>0</v>
      </c>
      <c r="R390" s="47">
        <v>0</v>
      </c>
      <c r="S390" s="47">
        <v>0</v>
      </c>
      <c r="T390" s="47">
        <v>0</v>
      </c>
      <c r="U390" s="47">
        <v>0</v>
      </c>
      <c r="V390" s="47">
        <v>0</v>
      </c>
      <c r="W390" s="47">
        <v>0</v>
      </c>
      <c r="X390" s="47">
        <v>0</v>
      </c>
      <c r="Y390" s="48">
        <v>24779685.359999999</v>
      </c>
      <c r="Z390" s="49">
        <v>0</v>
      </c>
      <c r="AA390" s="50">
        <v>0</v>
      </c>
      <c r="AB390" s="50">
        <v>0</v>
      </c>
      <c r="AC390" s="50">
        <v>0</v>
      </c>
      <c r="AD390" s="62">
        <v>305247.96000000002</v>
      </c>
      <c r="AE390" s="50">
        <v>0</v>
      </c>
      <c r="AF390" s="50">
        <v>0</v>
      </c>
      <c r="AG390" s="49">
        <v>305247.96000000002</v>
      </c>
      <c r="AH390" s="51" t="s">
        <v>74</v>
      </c>
      <c r="AI390" s="51" t="s">
        <v>74</v>
      </c>
      <c r="AJ390" s="51" t="s">
        <v>74</v>
      </c>
      <c r="AK390" s="51" t="s">
        <v>161</v>
      </c>
      <c r="AL390" s="51" t="s">
        <v>74</v>
      </c>
      <c r="AM390" s="51" t="s">
        <v>74</v>
      </c>
      <c r="AN390" s="167">
        <v>0</v>
      </c>
      <c r="AO390" s="167">
        <v>0</v>
      </c>
      <c r="AP390" s="52">
        <v>0</v>
      </c>
      <c r="AQ390" s="52">
        <v>0</v>
      </c>
      <c r="AR390" s="52">
        <v>0</v>
      </c>
      <c r="AS390" s="52">
        <v>0</v>
      </c>
      <c r="AT390" s="53" t="s">
        <v>74</v>
      </c>
      <c r="AU390" s="52">
        <v>0</v>
      </c>
      <c r="AV390" s="52"/>
      <c r="AW390" s="52">
        <v>0</v>
      </c>
      <c r="AX390" s="52"/>
      <c r="AY390" s="52"/>
      <c r="AZ390" s="52">
        <v>0</v>
      </c>
      <c r="BA390" s="52">
        <v>0</v>
      </c>
      <c r="BB390" s="54" t="s">
        <v>74</v>
      </c>
      <c r="BC390" s="53" t="s">
        <v>74</v>
      </c>
      <c r="BD390" s="55" t="s">
        <v>74</v>
      </c>
      <c r="BE390" s="55" t="s">
        <v>74</v>
      </c>
      <c r="BF390" s="55" t="s">
        <v>74</v>
      </c>
      <c r="BG390" s="55" t="s">
        <v>74</v>
      </c>
      <c r="BH390" s="52">
        <v>0</v>
      </c>
      <c r="BI390" s="52">
        <v>24474437.399999999</v>
      </c>
      <c r="BJ390" s="52">
        <v>24474437.399999999</v>
      </c>
      <c r="BK390" s="56">
        <v>43922</v>
      </c>
      <c r="BL390" s="57">
        <v>24474437.399999999</v>
      </c>
      <c r="BM390" s="47">
        <v>0</v>
      </c>
      <c r="BN390" s="9"/>
      <c r="BO390" s="9"/>
      <c r="BP390" s="9"/>
      <c r="BQ390" s="9"/>
      <c r="BR390" s="9"/>
      <c r="BS390" s="9"/>
      <c r="BT390" s="9"/>
      <c r="BU390" s="9"/>
      <c r="BV390" s="9"/>
      <c r="BW390" s="9"/>
    </row>
    <row r="391" spans="1:75" ht="26.25" hidden="1" outlineLevel="2" x14ac:dyDescent="0.25">
      <c r="A391" s="43" t="s">
        <v>71</v>
      </c>
      <c r="B391" s="110" t="s">
        <v>493</v>
      </c>
      <c r="C391" s="45">
        <v>2020</v>
      </c>
      <c r="D391" s="110" t="s">
        <v>81</v>
      </c>
      <c r="E391" s="47">
        <v>0</v>
      </c>
      <c r="F391" s="47">
        <v>0</v>
      </c>
      <c r="G391" s="47">
        <v>0</v>
      </c>
      <c r="H391" s="47">
        <v>0</v>
      </c>
      <c r="I391" s="47">
        <v>0</v>
      </c>
      <c r="J391" s="47">
        <v>0</v>
      </c>
      <c r="K391" s="47">
        <v>0</v>
      </c>
      <c r="L391" s="47">
        <v>0</v>
      </c>
      <c r="M391" s="47">
        <v>0</v>
      </c>
      <c r="N391" s="47">
        <v>0</v>
      </c>
      <c r="O391" s="47">
        <v>23961255.359999999</v>
      </c>
      <c r="P391" s="47">
        <v>818430</v>
      </c>
      <c r="Q391" s="47">
        <v>0</v>
      </c>
      <c r="R391" s="47">
        <v>0</v>
      </c>
      <c r="S391" s="47">
        <v>0</v>
      </c>
      <c r="T391" s="47">
        <v>0</v>
      </c>
      <c r="U391" s="47">
        <v>0</v>
      </c>
      <c r="V391" s="47">
        <v>0</v>
      </c>
      <c r="W391" s="47">
        <v>0</v>
      </c>
      <c r="X391" s="47">
        <v>0</v>
      </c>
      <c r="Y391" s="48">
        <v>24779685.359999999</v>
      </c>
      <c r="Z391" s="49">
        <v>0</v>
      </c>
      <c r="AA391" s="50">
        <v>0</v>
      </c>
      <c r="AB391" s="50">
        <v>0</v>
      </c>
      <c r="AC391" s="50">
        <v>0</v>
      </c>
      <c r="AD391" s="62">
        <v>326592.40999999997</v>
      </c>
      <c r="AE391" s="50">
        <v>0</v>
      </c>
      <c r="AF391" s="50">
        <v>0</v>
      </c>
      <c r="AG391" s="49">
        <v>326592.40999999997</v>
      </c>
      <c r="AH391" s="51" t="s">
        <v>74</v>
      </c>
      <c r="AI391" s="51" t="s">
        <v>74</v>
      </c>
      <c r="AJ391" s="51" t="s">
        <v>74</v>
      </c>
      <c r="AK391" s="51" t="s">
        <v>162</v>
      </c>
      <c r="AL391" s="51" t="s">
        <v>74</v>
      </c>
      <c r="AM391" s="51" t="s">
        <v>74</v>
      </c>
      <c r="AN391" s="167">
        <v>0</v>
      </c>
      <c r="AO391" s="167">
        <v>0</v>
      </c>
      <c r="AP391" s="52">
        <v>0</v>
      </c>
      <c r="AQ391" s="52">
        <v>0</v>
      </c>
      <c r="AR391" s="52">
        <v>0</v>
      </c>
      <c r="AS391" s="52">
        <v>0</v>
      </c>
      <c r="AT391" s="53" t="s">
        <v>74</v>
      </c>
      <c r="AU391" s="52">
        <v>0</v>
      </c>
      <c r="AV391" s="52"/>
      <c r="AW391" s="52">
        <v>0</v>
      </c>
      <c r="AX391" s="52"/>
      <c r="AY391" s="52"/>
      <c r="AZ391" s="52">
        <v>0</v>
      </c>
      <c r="BA391" s="52">
        <v>0</v>
      </c>
      <c r="BB391" s="54" t="s">
        <v>74</v>
      </c>
      <c r="BC391" s="53" t="s">
        <v>74</v>
      </c>
      <c r="BD391" s="55" t="s">
        <v>74</v>
      </c>
      <c r="BE391" s="55" t="s">
        <v>74</v>
      </c>
      <c r="BF391" s="55" t="s">
        <v>74</v>
      </c>
      <c r="BG391" s="55" t="s">
        <v>74</v>
      </c>
      <c r="BH391" s="52">
        <v>0</v>
      </c>
      <c r="BI391" s="52">
        <v>24453092.949999999</v>
      </c>
      <c r="BJ391" s="52">
        <v>24453092.949999999</v>
      </c>
      <c r="BK391" s="56">
        <v>43952</v>
      </c>
      <c r="BL391" s="57">
        <v>24453092.949999999</v>
      </c>
      <c r="BM391" s="47">
        <v>0</v>
      </c>
      <c r="BN391" s="9"/>
      <c r="BO391" s="9"/>
      <c r="BP391" s="9"/>
      <c r="BQ391" s="9"/>
      <c r="BR391" s="9"/>
      <c r="BS391" s="9"/>
      <c r="BT391" s="9"/>
      <c r="BU391" s="9"/>
      <c r="BV391" s="9"/>
      <c r="BW391" s="9"/>
    </row>
    <row r="392" spans="1:75" ht="26.25" hidden="1" outlineLevel="2" x14ac:dyDescent="0.25">
      <c r="A392" s="43" t="s">
        <v>71</v>
      </c>
      <c r="B392" s="110" t="s">
        <v>493</v>
      </c>
      <c r="C392" s="45">
        <v>2020</v>
      </c>
      <c r="D392" s="110" t="s">
        <v>83</v>
      </c>
      <c r="E392" s="47">
        <v>0</v>
      </c>
      <c r="F392" s="47">
        <v>0</v>
      </c>
      <c r="G392" s="47">
        <v>0</v>
      </c>
      <c r="H392" s="47">
        <v>0</v>
      </c>
      <c r="I392" s="47">
        <v>0</v>
      </c>
      <c r="J392" s="47">
        <v>0</v>
      </c>
      <c r="K392" s="47">
        <v>0</v>
      </c>
      <c r="L392" s="47">
        <v>0</v>
      </c>
      <c r="M392" s="47">
        <v>0</v>
      </c>
      <c r="N392" s="47">
        <v>0</v>
      </c>
      <c r="O392" s="47">
        <v>23961255.359999999</v>
      </c>
      <c r="P392" s="47">
        <v>818430</v>
      </c>
      <c r="Q392" s="47">
        <v>0</v>
      </c>
      <c r="R392" s="47">
        <v>0</v>
      </c>
      <c r="S392" s="47">
        <v>0</v>
      </c>
      <c r="T392" s="47">
        <v>0</v>
      </c>
      <c r="U392" s="47">
        <v>0</v>
      </c>
      <c r="V392" s="47">
        <v>0</v>
      </c>
      <c r="W392" s="47">
        <v>0</v>
      </c>
      <c r="X392" s="47">
        <v>0</v>
      </c>
      <c r="Y392" s="48">
        <v>24779685.359999999</v>
      </c>
      <c r="Z392" s="58">
        <v>0</v>
      </c>
      <c r="AA392" s="50">
        <v>0</v>
      </c>
      <c r="AB392" s="50">
        <v>0</v>
      </c>
      <c r="AC392" s="50">
        <v>0</v>
      </c>
      <c r="AD392" s="62">
        <v>280475.52000000002</v>
      </c>
      <c r="AE392" s="50">
        <v>0</v>
      </c>
      <c r="AF392" s="50">
        <v>0</v>
      </c>
      <c r="AG392" s="49">
        <v>280475.52000000002</v>
      </c>
      <c r="AH392" s="51" t="s">
        <v>74</v>
      </c>
      <c r="AI392" s="51" t="s">
        <v>74</v>
      </c>
      <c r="AJ392" s="51" t="s">
        <v>74</v>
      </c>
      <c r="AK392" s="51" t="s">
        <v>163</v>
      </c>
      <c r="AL392" s="51" t="s">
        <v>74</v>
      </c>
      <c r="AM392" s="51" t="s">
        <v>74</v>
      </c>
      <c r="AN392" s="167">
        <v>0</v>
      </c>
      <c r="AO392" s="167">
        <v>0</v>
      </c>
      <c r="AP392" s="52">
        <v>0</v>
      </c>
      <c r="AQ392" s="52">
        <v>0</v>
      </c>
      <c r="AR392" s="52">
        <v>0</v>
      </c>
      <c r="AS392" s="52">
        <v>0</v>
      </c>
      <c r="AT392" s="53" t="s">
        <v>74</v>
      </c>
      <c r="AU392" s="52">
        <v>0</v>
      </c>
      <c r="AV392" s="52"/>
      <c r="AW392" s="52">
        <v>0</v>
      </c>
      <c r="AX392" s="52"/>
      <c r="AY392" s="52"/>
      <c r="AZ392" s="52">
        <v>0</v>
      </c>
      <c r="BA392" s="52">
        <v>0</v>
      </c>
      <c r="BB392" s="54" t="s">
        <v>74</v>
      </c>
      <c r="BC392" s="53" t="s">
        <v>74</v>
      </c>
      <c r="BD392" s="55" t="s">
        <v>74</v>
      </c>
      <c r="BE392" s="55" t="s">
        <v>74</v>
      </c>
      <c r="BF392" s="55" t="s">
        <v>74</v>
      </c>
      <c r="BG392" s="55" t="s">
        <v>74</v>
      </c>
      <c r="BH392" s="52">
        <v>0</v>
      </c>
      <c r="BI392" s="52">
        <v>24499209.84</v>
      </c>
      <c r="BJ392" s="52">
        <v>24499209.84</v>
      </c>
      <c r="BK392" s="56">
        <v>43983</v>
      </c>
      <c r="BL392" s="57">
        <v>24499209.84</v>
      </c>
      <c r="BM392" s="47">
        <v>0</v>
      </c>
      <c r="BN392" s="9"/>
      <c r="BO392" s="9"/>
      <c r="BP392" s="9"/>
      <c r="BQ392" s="9"/>
      <c r="BR392" s="9"/>
      <c r="BS392" s="9"/>
      <c r="BT392" s="9"/>
      <c r="BU392" s="9"/>
      <c r="BV392" s="9"/>
      <c r="BW392" s="9"/>
    </row>
    <row r="393" spans="1:75" ht="26.25" hidden="1" outlineLevel="2" x14ac:dyDescent="0.25">
      <c r="A393" s="43" t="s">
        <v>71</v>
      </c>
      <c r="B393" s="110" t="s">
        <v>493</v>
      </c>
      <c r="C393" s="45">
        <v>2020</v>
      </c>
      <c r="D393" s="110" t="s">
        <v>84</v>
      </c>
      <c r="E393" s="47">
        <v>0</v>
      </c>
      <c r="F393" s="47">
        <v>0</v>
      </c>
      <c r="G393" s="47">
        <v>0</v>
      </c>
      <c r="H393" s="47">
        <v>0</v>
      </c>
      <c r="I393" s="47">
        <v>0</v>
      </c>
      <c r="J393" s="47">
        <v>0</v>
      </c>
      <c r="K393" s="47">
        <v>0</v>
      </c>
      <c r="L393" s="47">
        <v>0</v>
      </c>
      <c r="M393" s="47">
        <v>0</v>
      </c>
      <c r="N393" s="47">
        <v>0</v>
      </c>
      <c r="O393" s="47">
        <v>11181919.16</v>
      </c>
      <c r="P393" s="47">
        <v>381934</v>
      </c>
      <c r="Q393" s="47">
        <v>13228512.01</v>
      </c>
      <c r="R393" s="47">
        <v>0</v>
      </c>
      <c r="S393" s="47">
        <v>0</v>
      </c>
      <c r="T393" s="47">
        <v>0</v>
      </c>
      <c r="U393" s="47">
        <v>0</v>
      </c>
      <c r="V393" s="47">
        <v>0</v>
      </c>
      <c r="W393" s="47">
        <v>0</v>
      </c>
      <c r="X393" s="47">
        <v>0</v>
      </c>
      <c r="Y393" s="48">
        <v>24792365.170000002</v>
      </c>
      <c r="Z393" s="58">
        <v>0</v>
      </c>
      <c r="AA393" s="50">
        <v>0</v>
      </c>
      <c r="AB393" s="50">
        <v>0</v>
      </c>
      <c r="AC393" s="50">
        <v>0</v>
      </c>
      <c r="AD393" s="62">
        <v>261173.96</v>
      </c>
      <c r="AE393" s="50">
        <v>0</v>
      </c>
      <c r="AF393" s="50">
        <v>0</v>
      </c>
      <c r="AG393" s="49">
        <v>261173.96</v>
      </c>
      <c r="AH393" s="51" t="s">
        <v>74</v>
      </c>
      <c r="AI393" s="51" t="s">
        <v>74</v>
      </c>
      <c r="AJ393" s="51" t="s">
        <v>74</v>
      </c>
      <c r="AK393" s="51" t="s">
        <v>165</v>
      </c>
      <c r="AL393" s="51" t="s">
        <v>74</v>
      </c>
      <c r="AM393" s="51" t="s">
        <v>74</v>
      </c>
      <c r="AN393" s="167">
        <v>0</v>
      </c>
      <c r="AO393" s="167">
        <v>0</v>
      </c>
      <c r="AP393" s="52"/>
      <c r="AQ393" s="52"/>
      <c r="AR393" s="52"/>
      <c r="AS393" s="52">
        <v>0</v>
      </c>
      <c r="AT393" s="53" t="s">
        <v>74</v>
      </c>
      <c r="AU393" s="52">
        <v>0</v>
      </c>
      <c r="AV393" s="52"/>
      <c r="AW393" s="59">
        <v>50000</v>
      </c>
      <c r="AX393" s="52"/>
      <c r="AY393" s="52"/>
      <c r="AZ393" s="52">
        <v>0</v>
      </c>
      <c r="BA393" s="52">
        <v>50000</v>
      </c>
      <c r="BB393" s="54" t="s">
        <v>74</v>
      </c>
      <c r="BC393" s="53" t="s">
        <v>74</v>
      </c>
      <c r="BD393" s="55" t="s">
        <v>515</v>
      </c>
      <c r="BE393" s="55" t="s">
        <v>74</v>
      </c>
      <c r="BF393" s="55" t="s">
        <v>74</v>
      </c>
      <c r="BG393" s="55" t="s">
        <v>74</v>
      </c>
      <c r="BH393" s="52">
        <v>50000</v>
      </c>
      <c r="BI393" s="52">
        <v>24581191.210000001</v>
      </c>
      <c r="BJ393" s="52">
        <v>24531191.210000001</v>
      </c>
      <c r="BK393" s="56">
        <v>44013</v>
      </c>
      <c r="BL393" s="57">
        <v>24581191.210000001</v>
      </c>
      <c r="BM393" s="47">
        <v>0</v>
      </c>
      <c r="BN393" s="9"/>
      <c r="BO393" s="9"/>
      <c r="BP393" s="9"/>
      <c r="BQ393" s="9"/>
      <c r="BR393" s="9"/>
      <c r="BS393" s="9"/>
      <c r="BT393" s="9"/>
      <c r="BU393" s="9"/>
      <c r="BV393" s="9"/>
      <c r="BW393" s="9"/>
    </row>
    <row r="394" spans="1:75" ht="39" hidden="1" outlineLevel="2" x14ac:dyDescent="0.25">
      <c r="A394" s="43" t="s">
        <v>71</v>
      </c>
      <c r="B394" s="110" t="s">
        <v>493</v>
      </c>
      <c r="C394" s="45">
        <v>2020</v>
      </c>
      <c r="D394" s="110" t="s">
        <v>86</v>
      </c>
      <c r="E394" s="47">
        <v>0</v>
      </c>
      <c r="F394" s="47">
        <v>0</v>
      </c>
      <c r="G394" s="47">
        <v>0</v>
      </c>
      <c r="H394" s="47">
        <v>0</v>
      </c>
      <c r="I394" s="47">
        <v>0</v>
      </c>
      <c r="J394" s="47">
        <v>0</v>
      </c>
      <c r="K394" s="47">
        <v>0</v>
      </c>
      <c r="L394" s="47">
        <v>0</v>
      </c>
      <c r="M394" s="47">
        <v>0</v>
      </c>
      <c r="N394" s="47">
        <v>0</v>
      </c>
      <c r="O394" s="47">
        <v>0</v>
      </c>
      <c r="P394" s="47">
        <v>0</v>
      </c>
      <c r="Q394" s="47">
        <v>24803460.02</v>
      </c>
      <c r="R394" s="47">
        <v>0</v>
      </c>
      <c r="S394" s="47">
        <v>0</v>
      </c>
      <c r="T394" s="47">
        <v>0</v>
      </c>
      <c r="U394" s="47">
        <v>0</v>
      </c>
      <c r="V394" s="47">
        <v>0</v>
      </c>
      <c r="W394" s="47">
        <v>0</v>
      </c>
      <c r="X394" s="47">
        <v>0</v>
      </c>
      <c r="Y394" s="48">
        <v>24803460.02</v>
      </c>
      <c r="Z394" s="58">
        <v>0</v>
      </c>
      <c r="AA394" s="50">
        <v>0</v>
      </c>
      <c r="AB394" s="50">
        <v>0</v>
      </c>
      <c r="AC394" s="50">
        <v>0</v>
      </c>
      <c r="AD394" s="62">
        <v>276450.84999999998</v>
      </c>
      <c r="AE394" s="50">
        <v>0</v>
      </c>
      <c r="AF394" s="50">
        <v>0</v>
      </c>
      <c r="AG394" s="49">
        <v>276450.84999999998</v>
      </c>
      <c r="AH394" s="51" t="s">
        <v>74</v>
      </c>
      <c r="AI394" s="51" t="s">
        <v>74</v>
      </c>
      <c r="AJ394" s="51" t="s">
        <v>74</v>
      </c>
      <c r="AK394" s="51" t="s">
        <v>168</v>
      </c>
      <c r="AL394" s="51" t="s">
        <v>74</v>
      </c>
      <c r="AM394" s="51" t="s">
        <v>74</v>
      </c>
      <c r="AN394" s="167">
        <v>0</v>
      </c>
      <c r="AO394" s="167">
        <v>0</v>
      </c>
      <c r="AP394" s="52"/>
      <c r="AQ394" s="52"/>
      <c r="AR394" s="52"/>
      <c r="AS394" s="52">
        <v>0</v>
      </c>
      <c r="AT394" s="53" t="s">
        <v>74</v>
      </c>
      <c r="AU394" s="59">
        <v>2008881.98</v>
      </c>
      <c r="AV394" s="52"/>
      <c r="AW394" s="52">
        <v>0</v>
      </c>
      <c r="AX394" s="52"/>
      <c r="AY394" s="52"/>
      <c r="AZ394" s="52">
        <v>0</v>
      </c>
      <c r="BA394" s="52">
        <v>2008881.98</v>
      </c>
      <c r="BB394" s="53" t="s">
        <v>516</v>
      </c>
      <c r="BC394" s="53" t="s">
        <v>74</v>
      </c>
      <c r="BD394" s="55" t="s">
        <v>74</v>
      </c>
      <c r="BE394" s="55" t="s">
        <v>74</v>
      </c>
      <c r="BF394" s="55" t="s">
        <v>74</v>
      </c>
      <c r="BG394" s="55" t="s">
        <v>74</v>
      </c>
      <c r="BH394" s="52">
        <v>2008881.98</v>
      </c>
      <c r="BI394" s="52">
        <v>26535891.149999999</v>
      </c>
      <c r="BJ394" s="52">
        <v>24527009.170000002</v>
      </c>
      <c r="BK394" s="56">
        <v>44044</v>
      </c>
      <c r="BL394" s="63">
        <v>26535891.149999999</v>
      </c>
      <c r="BM394" s="47">
        <v>0</v>
      </c>
      <c r="BN394" s="9"/>
      <c r="BO394" s="9"/>
      <c r="BP394" s="9"/>
      <c r="BQ394" s="9"/>
      <c r="BR394" s="9"/>
      <c r="BS394" s="9"/>
      <c r="BT394" s="9"/>
      <c r="BU394" s="9"/>
      <c r="BV394" s="9"/>
      <c r="BW394" s="9"/>
    </row>
    <row r="395" spans="1:75" ht="39" hidden="1" outlineLevel="2" x14ac:dyDescent="0.25">
      <c r="A395" s="43" t="s">
        <v>71</v>
      </c>
      <c r="B395" s="110" t="s">
        <v>493</v>
      </c>
      <c r="C395" s="45">
        <v>2020</v>
      </c>
      <c r="D395" s="110" t="s">
        <v>88</v>
      </c>
      <c r="E395" s="47">
        <v>0</v>
      </c>
      <c r="F395" s="47">
        <v>0</v>
      </c>
      <c r="G395" s="47">
        <v>0</v>
      </c>
      <c r="H395" s="47">
        <v>0</v>
      </c>
      <c r="I395" s="47">
        <v>0</v>
      </c>
      <c r="J395" s="47">
        <v>0</v>
      </c>
      <c r="K395" s="47">
        <v>0</v>
      </c>
      <c r="L395" s="47">
        <v>0</v>
      </c>
      <c r="M395" s="47">
        <v>0</v>
      </c>
      <c r="N395" s="47">
        <v>0</v>
      </c>
      <c r="O395" s="47">
        <v>0</v>
      </c>
      <c r="P395" s="47">
        <v>0</v>
      </c>
      <c r="Q395" s="47">
        <v>24803460.02</v>
      </c>
      <c r="R395" s="47">
        <v>0</v>
      </c>
      <c r="S395" s="47">
        <v>0</v>
      </c>
      <c r="T395" s="47">
        <v>0</v>
      </c>
      <c r="U395" s="47">
        <v>0</v>
      </c>
      <c r="V395" s="47">
        <v>0</v>
      </c>
      <c r="W395" s="47">
        <v>0</v>
      </c>
      <c r="X395" s="47">
        <v>0</v>
      </c>
      <c r="Y395" s="48">
        <v>24803460.02</v>
      </c>
      <c r="Z395" s="58">
        <v>0</v>
      </c>
      <c r="AA395" s="50">
        <v>0</v>
      </c>
      <c r="AB395" s="50">
        <v>0</v>
      </c>
      <c r="AC395" s="50">
        <v>0</v>
      </c>
      <c r="AD395" s="62">
        <v>280000</v>
      </c>
      <c r="AE395" s="50">
        <v>0</v>
      </c>
      <c r="AF395" s="50">
        <v>0</v>
      </c>
      <c r="AG395" s="49">
        <v>280000</v>
      </c>
      <c r="AH395" s="51" t="s">
        <v>74</v>
      </c>
      <c r="AI395" s="51" t="s">
        <v>74</v>
      </c>
      <c r="AJ395" s="51" t="s">
        <v>74</v>
      </c>
      <c r="AK395" s="51" t="s">
        <v>517</v>
      </c>
      <c r="AL395" s="51" t="s">
        <v>74</v>
      </c>
      <c r="AM395" s="51" t="s">
        <v>74</v>
      </c>
      <c r="AN395" s="52">
        <v>0</v>
      </c>
      <c r="AO395" s="52">
        <v>0</v>
      </c>
      <c r="AP395" s="52">
        <v>0</v>
      </c>
      <c r="AQ395" s="52">
        <v>0</v>
      </c>
      <c r="AR395" s="52">
        <v>0</v>
      </c>
      <c r="AS395" s="52">
        <v>0</v>
      </c>
      <c r="AT395" s="53" t="s">
        <v>74</v>
      </c>
      <c r="AU395" s="52">
        <v>0</v>
      </c>
      <c r="AV395" s="52"/>
      <c r="AW395" s="52">
        <v>0</v>
      </c>
      <c r="AX395" s="52"/>
      <c r="AY395" s="52"/>
      <c r="AZ395" s="52">
        <v>0</v>
      </c>
      <c r="BA395" s="52">
        <v>0</v>
      </c>
      <c r="BB395" s="54" t="s">
        <v>74</v>
      </c>
      <c r="BC395" s="53" t="s">
        <v>74</v>
      </c>
      <c r="BD395" s="55" t="s">
        <v>74</v>
      </c>
      <c r="BE395" s="55" t="s">
        <v>74</v>
      </c>
      <c r="BF395" s="55" t="s">
        <v>74</v>
      </c>
      <c r="BG395" s="55" t="s">
        <v>74</v>
      </c>
      <c r="BH395" s="52">
        <v>0</v>
      </c>
      <c r="BI395" s="52">
        <v>24523460.02</v>
      </c>
      <c r="BJ395" s="52">
        <v>24523460.02</v>
      </c>
      <c r="BK395" s="56">
        <v>44075</v>
      </c>
      <c r="BL395" s="63">
        <v>24523460.02</v>
      </c>
      <c r="BM395" s="47">
        <v>0</v>
      </c>
      <c r="BN395" s="9"/>
      <c r="BO395" s="9"/>
      <c r="BP395" s="9"/>
      <c r="BQ395" s="9"/>
      <c r="BR395" s="9"/>
      <c r="BS395" s="9"/>
      <c r="BT395" s="9"/>
      <c r="BU395" s="9"/>
      <c r="BV395" s="9"/>
      <c r="BW395" s="9"/>
    </row>
    <row r="396" spans="1:75" ht="64.5" hidden="1" outlineLevel="2" x14ac:dyDescent="0.25">
      <c r="A396" s="43" t="s">
        <v>71</v>
      </c>
      <c r="B396" s="110" t="s">
        <v>493</v>
      </c>
      <c r="C396" s="45">
        <v>2020</v>
      </c>
      <c r="D396" s="110" t="s">
        <v>89</v>
      </c>
      <c r="E396" s="47">
        <v>0</v>
      </c>
      <c r="F396" s="47">
        <v>0</v>
      </c>
      <c r="G396" s="47">
        <v>0</v>
      </c>
      <c r="H396" s="47">
        <v>0</v>
      </c>
      <c r="I396" s="47">
        <v>0</v>
      </c>
      <c r="J396" s="47">
        <v>0</v>
      </c>
      <c r="K396" s="47">
        <v>0</v>
      </c>
      <c r="L396" s="47">
        <v>0</v>
      </c>
      <c r="M396" s="47">
        <v>0</v>
      </c>
      <c r="N396" s="47">
        <v>0</v>
      </c>
      <c r="O396" s="47">
        <v>0</v>
      </c>
      <c r="P396" s="47">
        <v>0</v>
      </c>
      <c r="Q396" s="47">
        <v>24803460.02</v>
      </c>
      <c r="R396" s="47">
        <v>0</v>
      </c>
      <c r="S396" s="47">
        <v>0</v>
      </c>
      <c r="T396" s="47">
        <v>0</v>
      </c>
      <c r="U396" s="47">
        <v>0</v>
      </c>
      <c r="V396" s="47">
        <v>0</v>
      </c>
      <c r="W396" s="47">
        <v>0</v>
      </c>
      <c r="X396" s="47">
        <v>0</v>
      </c>
      <c r="Y396" s="48">
        <v>24803460.02</v>
      </c>
      <c r="Z396" s="58">
        <v>0</v>
      </c>
      <c r="AA396" s="50">
        <v>0</v>
      </c>
      <c r="AB396" s="50">
        <v>0</v>
      </c>
      <c r="AC396" s="50">
        <v>0</v>
      </c>
      <c r="AD396" s="62">
        <v>339792.94</v>
      </c>
      <c r="AE396" s="50">
        <v>0</v>
      </c>
      <c r="AF396" s="50">
        <v>0</v>
      </c>
      <c r="AG396" s="49">
        <v>339792.94</v>
      </c>
      <c r="AH396" s="51" t="s">
        <v>74</v>
      </c>
      <c r="AI396" s="51" t="s">
        <v>74</v>
      </c>
      <c r="AJ396" s="51" t="s">
        <v>74</v>
      </c>
      <c r="AK396" s="51" t="s">
        <v>518</v>
      </c>
      <c r="AL396" s="51" t="s">
        <v>74</v>
      </c>
      <c r="AM396" s="51" t="s">
        <v>74</v>
      </c>
      <c r="AN396" s="52">
        <v>0</v>
      </c>
      <c r="AO396" s="52">
        <v>0</v>
      </c>
      <c r="AP396" s="52">
        <v>0</v>
      </c>
      <c r="AQ396" s="52">
        <v>0</v>
      </c>
      <c r="AR396" s="52">
        <v>0</v>
      </c>
      <c r="AS396" s="52">
        <v>0</v>
      </c>
      <c r="AT396" s="53" t="s">
        <v>74</v>
      </c>
      <c r="AU396" s="52">
        <v>0</v>
      </c>
      <c r="AV396" s="52"/>
      <c r="AW396" s="52">
        <v>0</v>
      </c>
      <c r="AX396" s="52"/>
      <c r="AY396" s="52"/>
      <c r="AZ396" s="52">
        <v>0</v>
      </c>
      <c r="BA396" s="52">
        <v>0</v>
      </c>
      <c r="BB396" s="54" t="s">
        <v>74</v>
      </c>
      <c r="BC396" s="53" t="s">
        <v>74</v>
      </c>
      <c r="BD396" s="55" t="s">
        <v>74</v>
      </c>
      <c r="BE396" s="55" t="s">
        <v>74</v>
      </c>
      <c r="BF396" s="55" t="s">
        <v>74</v>
      </c>
      <c r="BG396" s="55" t="s">
        <v>74</v>
      </c>
      <c r="BH396" s="52">
        <v>0</v>
      </c>
      <c r="BI396" s="52">
        <v>24463667.079999998</v>
      </c>
      <c r="BJ396" s="52">
        <v>24463667.079999998</v>
      </c>
      <c r="BK396" s="56">
        <v>44105</v>
      </c>
      <c r="BL396" s="63">
        <v>24463667.079999998</v>
      </c>
      <c r="BM396" s="47">
        <v>0</v>
      </c>
      <c r="BN396" s="9"/>
      <c r="BO396" s="9"/>
      <c r="BP396" s="9"/>
      <c r="BQ396" s="9"/>
      <c r="BR396" s="9"/>
      <c r="BS396" s="9"/>
      <c r="BT396" s="9"/>
      <c r="BU396" s="9"/>
      <c r="BV396" s="9"/>
      <c r="BW396" s="9"/>
    </row>
    <row r="397" spans="1:75" ht="90" hidden="1" outlineLevel="2" x14ac:dyDescent="0.25">
      <c r="A397" s="43" t="s">
        <v>71</v>
      </c>
      <c r="B397" s="110" t="s">
        <v>493</v>
      </c>
      <c r="C397" s="45">
        <v>2020</v>
      </c>
      <c r="D397" s="110" t="s">
        <v>90</v>
      </c>
      <c r="E397" s="47">
        <v>0</v>
      </c>
      <c r="F397" s="47">
        <v>0</v>
      </c>
      <c r="G397" s="47">
        <v>0</v>
      </c>
      <c r="H397" s="47">
        <v>0</v>
      </c>
      <c r="I397" s="47">
        <v>0</v>
      </c>
      <c r="J397" s="47">
        <v>0</v>
      </c>
      <c r="K397" s="47">
        <v>0</v>
      </c>
      <c r="L397" s="47">
        <v>0</v>
      </c>
      <c r="M397" s="47">
        <v>0</v>
      </c>
      <c r="N397" s="47">
        <v>0</v>
      </c>
      <c r="O397" s="47">
        <v>0</v>
      </c>
      <c r="P397" s="47">
        <v>0</v>
      </c>
      <c r="Q397" s="47">
        <v>24803460.02</v>
      </c>
      <c r="R397" s="47">
        <v>0</v>
      </c>
      <c r="S397" s="47">
        <v>0</v>
      </c>
      <c r="T397" s="47">
        <v>0</v>
      </c>
      <c r="U397" s="47">
        <v>0</v>
      </c>
      <c r="V397" s="47">
        <v>0</v>
      </c>
      <c r="W397" s="47">
        <v>0</v>
      </c>
      <c r="X397" s="47">
        <v>0</v>
      </c>
      <c r="Y397" s="48">
        <v>24803460.02</v>
      </c>
      <c r="Z397" s="58">
        <v>0</v>
      </c>
      <c r="AA397" s="50">
        <v>0</v>
      </c>
      <c r="AB397" s="50">
        <v>0</v>
      </c>
      <c r="AC397" s="50">
        <v>0</v>
      </c>
      <c r="AD397" s="62">
        <v>340393.84</v>
      </c>
      <c r="AE397" s="50">
        <v>0</v>
      </c>
      <c r="AF397" s="50">
        <v>0</v>
      </c>
      <c r="AG397" s="49">
        <v>340393.84</v>
      </c>
      <c r="AH397" s="51" t="s">
        <v>74</v>
      </c>
      <c r="AI397" s="51" t="s">
        <v>74</v>
      </c>
      <c r="AJ397" s="51" t="s">
        <v>74</v>
      </c>
      <c r="AK397" s="51" t="s">
        <v>519</v>
      </c>
      <c r="AL397" s="51" t="s">
        <v>74</v>
      </c>
      <c r="AM397" s="51" t="s">
        <v>74</v>
      </c>
      <c r="AN397" s="52">
        <v>0</v>
      </c>
      <c r="AO397" s="52">
        <v>0</v>
      </c>
      <c r="AP397" s="52">
        <v>0</v>
      </c>
      <c r="AQ397" s="52">
        <v>0</v>
      </c>
      <c r="AR397" s="52">
        <v>0</v>
      </c>
      <c r="AS397" s="52">
        <v>0</v>
      </c>
      <c r="AT397" s="53" t="s">
        <v>74</v>
      </c>
      <c r="AU397" s="52">
        <v>0</v>
      </c>
      <c r="AV397" s="52"/>
      <c r="AW397" s="52">
        <v>0</v>
      </c>
      <c r="AX397" s="52"/>
      <c r="AY397" s="52"/>
      <c r="AZ397" s="52">
        <v>0</v>
      </c>
      <c r="BA397" s="52">
        <v>0</v>
      </c>
      <c r="BB397" s="54" t="s">
        <v>74</v>
      </c>
      <c r="BC397" s="53" t="s">
        <v>74</v>
      </c>
      <c r="BD397" s="55" t="s">
        <v>74</v>
      </c>
      <c r="BE397" s="55" t="s">
        <v>74</v>
      </c>
      <c r="BF397" s="55" t="s">
        <v>74</v>
      </c>
      <c r="BG397" s="55" t="s">
        <v>74</v>
      </c>
      <c r="BH397" s="52">
        <v>0</v>
      </c>
      <c r="BI397" s="52">
        <v>24463066.18</v>
      </c>
      <c r="BJ397" s="52">
        <v>24463066.18</v>
      </c>
      <c r="BK397" s="56">
        <v>44136</v>
      </c>
      <c r="BL397" s="63">
        <v>24463066.18</v>
      </c>
      <c r="BM397" s="47">
        <v>0</v>
      </c>
      <c r="BN397" s="9"/>
      <c r="BO397" s="9"/>
      <c r="BP397" s="9"/>
      <c r="BQ397" s="9"/>
      <c r="BR397" s="9"/>
      <c r="BS397" s="9"/>
      <c r="BT397" s="9"/>
      <c r="BU397" s="9"/>
      <c r="BV397" s="9"/>
      <c r="BW397" s="9"/>
    </row>
    <row r="398" spans="1:75" ht="77.25" hidden="1" outlineLevel="2" x14ac:dyDescent="0.25">
      <c r="A398" s="43" t="s">
        <v>71</v>
      </c>
      <c r="B398" s="110" t="s">
        <v>493</v>
      </c>
      <c r="C398" s="45">
        <v>2020</v>
      </c>
      <c r="D398" s="110" t="s">
        <v>93</v>
      </c>
      <c r="E398" s="47">
        <v>0</v>
      </c>
      <c r="F398" s="47">
        <v>0</v>
      </c>
      <c r="G398" s="47">
        <v>0</v>
      </c>
      <c r="H398" s="47">
        <v>0</v>
      </c>
      <c r="I398" s="47">
        <v>0</v>
      </c>
      <c r="J398" s="47">
        <v>0</v>
      </c>
      <c r="K398" s="47">
        <v>0</v>
      </c>
      <c r="L398" s="47">
        <v>0</v>
      </c>
      <c r="M398" s="47">
        <v>0</v>
      </c>
      <c r="N398" s="47">
        <v>0</v>
      </c>
      <c r="O398" s="47">
        <v>0</v>
      </c>
      <c r="P398" s="47">
        <v>0</v>
      </c>
      <c r="Q398" s="47">
        <v>24803460.02</v>
      </c>
      <c r="R398" s="47">
        <v>0</v>
      </c>
      <c r="S398" s="47">
        <v>0</v>
      </c>
      <c r="T398" s="47">
        <v>0</v>
      </c>
      <c r="U398" s="47">
        <v>0</v>
      </c>
      <c r="V398" s="47">
        <v>0</v>
      </c>
      <c r="W398" s="47">
        <v>0</v>
      </c>
      <c r="X398" s="47">
        <v>0</v>
      </c>
      <c r="Y398" s="48">
        <v>24803460.02</v>
      </c>
      <c r="Z398" s="115">
        <v>0</v>
      </c>
      <c r="AA398" s="50">
        <v>0</v>
      </c>
      <c r="AB398" s="50">
        <v>0</v>
      </c>
      <c r="AC398" s="50">
        <v>0</v>
      </c>
      <c r="AD398" s="62">
        <v>330000</v>
      </c>
      <c r="AE398" s="50">
        <v>0</v>
      </c>
      <c r="AF398" s="50">
        <v>0</v>
      </c>
      <c r="AG398" s="49">
        <v>330000</v>
      </c>
      <c r="AH398" s="51" t="s">
        <v>74</v>
      </c>
      <c r="AI398" s="51" t="s">
        <v>74</v>
      </c>
      <c r="AJ398" s="51" t="s">
        <v>74</v>
      </c>
      <c r="AK398" s="51" t="s">
        <v>520</v>
      </c>
      <c r="AL398" s="51" t="s">
        <v>74</v>
      </c>
      <c r="AM398" s="51" t="s">
        <v>74</v>
      </c>
      <c r="AN398" s="52">
        <v>0</v>
      </c>
      <c r="AO398" s="52">
        <v>0</v>
      </c>
      <c r="AP398" s="52">
        <v>0</v>
      </c>
      <c r="AQ398" s="52">
        <v>0</v>
      </c>
      <c r="AR398" s="52">
        <v>0</v>
      </c>
      <c r="AS398" s="52">
        <v>0</v>
      </c>
      <c r="AT398" s="53" t="s">
        <v>74</v>
      </c>
      <c r="AU398" s="52">
        <v>0</v>
      </c>
      <c r="AV398" s="52"/>
      <c r="AW398" s="52">
        <v>0</v>
      </c>
      <c r="AX398" s="52"/>
      <c r="AY398" s="52"/>
      <c r="AZ398" s="52">
        <v>0</v>
      </c>
      <c r="BA398" s="52">
        <v>0</v>
      </c>
      <c r="BB398" s="54" t="s">
        <v>74</v>
      </c>
      <c r="BC398" s="53" t="s">
        <v>74</v>
      </c>
      <c r="BD398" s="55" t="s">
        <v>74</v>
      </c>
      <c r="BE398" s="55" t="s">
        <v>74</v>
      </c>
      <c r="BF398" s="55" t="s">
        <v>74</v>
      </c>
      <c r="BG398" s="55" t="s">
        <v>74</v>
      </c>
      <c r="BH398" s="52">
        <v>0</v>
      </c>
      <c r="BI398" s="52">
        <v>24473460.02</v>
      </c>
      <c r="BJ398" s="52">
        <v>24473460.02</v>
      </c>
      <c r="BK398" s="56">
        <v>44166</v>
      </c>
      <c r="BL398" s="63">
        <v>24473460.02</v>
      </c>
      <c r="BM398" s="47">
        <v>0</v>
      </c>
      <c r="BN398" s="9"/>
      <c r="BO398" s="9"/>
      <c r="BP398" s="9"/>
      <c r="BQ398" s="9"/>
      <c r="BR398" s="9"/>
      <c r="BS398" s="9"/>
      <c r="BT398" s="9"/>
      <c r="BU398" s="9"/>
      <c r="BV398" s="9"/>
      <c r="BW398" s="9"/>
    </row>
    <row r="399" spans="1:75" ht="141" hidden="1" outlineLevel="2" x14ac:dyDescent="0.25">
      <c r="A399" s="43" t="s">
        <v>71</v>
      </c>
      <c r="B399" s="110" t="s">
        <v>493</v>
      </c>
      <c r="C399" s="45">
        <v>2021</v>
      </c>
      <c r="D399" s="110" t="s">
        <v>73</v>
      </c>
      <c r="E399" s="47">
        <v>0</v>
      </c>
      <c r="F399" s="47">
        <v>0</v>
      </c>
      <c r="G399" s="47">
        <v>0</v>
      </c>
      <c r="H399" s="47">
        <v>0</v>
      </c>
      <c r="I399" s="47">
        <v>0</v>
      </c>
      <c r="J399" s="47">
        <v>0</v>
      </c>
      <c r="K399" s="47">
        <v>0</v>
      </c>
      <c r="L399" s="47">
        <v>0</v>
      </c>
      <c r="M399" s="47">
        <v>0</v>
      </c>
      <c r="N399" s="47">
        <v>0</v>
      </c>
      <c r="O399" s="47">
        <v>0</v>
      </c>
      <c r="P399" s="47">
        <v>0</v>
      </c>
      <c r="Q399" s="47">
        <v>24803460.02</v>
      </c>
      <c r="R399" s="47">
        <v>0</v>
      </c>
      <c r="S399" s="47">
        <v>0</v>
      </c>
      <c r="T399" s="47">
        <v>0</v>
      </c>
      <c r="U399" s="47">
        <v>0</v>
      </c>
      <c r="V399" s="47">
        <v>0</v>
      </c>
      <c r="W399" s="47">
        <v>0</v>
      </c>
      <c r="X399" s="47">
        <v>0</v>
      </c>
      <c r="Y399" s="48">
        <f t="shared" ref="Y399:Y405" si="48">SUM(E399:X399)</f>
        <v>24803460.02</v>
      </c>
      <c r="Z399" s="49">
        <v>0</v>
      </c>
      <c r="AA399" s="50">
        <v>0</v>
      </c>
      <c r="AB399" s="50">
        <v>0</v>
      </c>
      <c r="AC399" s="50">
        <v>0</v>
      </c>
      <c r="AD399" s="62">
        <v>424496.79</v>
      </c>
      <c r="AE399" s="50">
        <v>7277253.2300000004</v>
      </c>
      <c r="AF399" s="50">
        <v>0</v>
      </c>
      <c r="AG399" s="49">
        <f t="shared" ref="AG399:AG405" si="49">SUM(AA399:AF399)</f>
        <v>7701750.0200000005</v>
      </c>
      <c r="AH399" s="51" t="s">
        <v>74</v>
      </c>
      <c r="AI399" s="51" t="s">
        <v>74</v>
      </c>
      <c r="AJ399" s="51" t="s">
        <v>74</v>
      </c>
      <c r="AK399" s="51" t="s">
        <v>521</v>
      </c>
      <c r="AL399" s="51" t="s">
        <v>522</v>
      </c>
      <c r="AM399" s="51" t="s">
        <v>74</v>
      </c>
      <c r="AN399" s="52">
        <v>0</v>
      </c>
      <c r="AO399" s="52">
        <v>0</v>
      </c>
      <c r="AP399" s="52">
        <v>0</v>
      </c>
      <c r="AQ399" s="52">
        <v>0</v>
      </c>
      <c r="AR399" s="52">
        <v>0</v>
      </c>
      <c r="AS399" s="52">
        <f t="shared" ref="AS399:AS405" si="50">AN399+AO399+AP399+AQ399+AR399</f>
        <v>0</v>
      </c>
      <c r="AT399" s="53" t="s">
        <v>74</v>
      </c>
      <c r="AU399" s="52">
        <v>0</v>
      </c>
      <c r="AV399" s="52"/>
      <c r="AW399" s="52">
        <v>0</v>
      </c>
      <c r="AX399" s="52"/>
      <c r="AY399" s="52"/>
      <c r="AZ399" s="52">
        <v>0</v>
      </c>
      <c r="BA399" s="52">
        <f t="shared" ref="BA399:BA408" si="51">AU399+AW399+AX399+AZ399</f>
        <v>0</v>
      </c>
      <c r="BB399" s="54" t="s">
        <v>74</v>
      </c>
      <c r="BC399" s="53" t="s">
        <v>74</v>
      </c>
      <c r="BD399" s="55" t="s">
        <v>74</v>
      </c>
      <c r="BE399" s="55" t="s">
        <v>74</v>
      </c>
      <c r="BF399" s="55" t="s">
        <v>74</v>
      </c>
      <c r="BG399" s="55" t="s">
        <v>74</v>
      </c>
      <c r="BH399" s="52">
        <f t="shared" ref="BH399:BH408" si="52">AS399+BA399</f>
        <v>0</v>
      </c>
      <c r="BI399" s="52">
        <f t="shared" ref="BI399:BI408" si="53">Y399-AG399+BH399</f>
        <v>17101710</v>
      </c>
      <c r="BJ399" s="52">
        <v>17101710</v>
      </c>
      <c r="BK399" s="56">
        <v>44197</v>
      </c>
      <c r="BL399" s="63">
        <v>17101710</v>
      </c>
      <c r="BM399" s="47">
        <v>0</v>
      </c>
      <c r="BN399" s="9"/>
      <c r="BO399" s="9"/>
      <c r="BP399" s="9"/>
      <c r="BQ399" s="9"/>
      <c r="BR399" s="9"/>
      <c r="BS399" s="9"/>
      <c r="BT399" s="9"/>
      <c r="BU399" s="9"/>
      <c r="BV399" s="9"/>
      <c r="BW399" s="9"/>
    </row>
    <row r="400" spans="1:75" ht="26.25" hidden="1" outlineLevel="2" x14ac:dyDescent="0.25">
      <c r="A400" s="43" t="s">
        <v>71</v>
      </c>
      <c r="B400" s="110" t="s">
        <v>493</v>
      </c>
      <c r="C400" s="45">
        <v>2021</v>
      </c>
      <c r="D400" s="110" t="s">
        <v>75</v>
      </c>
      <c r="E400" s="47">
        <v>0</v>
      </c>
      <c r="F400" s="47">
        <v>0</v>
      </c>
      <c r="G400" s="47">
        <v>0</v>
      </c>
      <c r="H400" s="47">
        <v>0</v>
      </c>
      <c r="I400" s="47">
        <v>0</v>
      </c>
      <c r="J400" s="47">
        <v>0</v>
      </c>
      <c r="K400" s="47">
        <v>0</v>
      </c>
      <c r="L400" s="47">
        <v>0</v>
      </c>
      <c r="M400" s="47">
        <v>0</v>
      </c>
      <c r="N400" s="47">
        <v>0</v>
      </c>
      <c r="O400" s="47">
        <v>0</v>
      </c>
      <c r="P400" s="47">
        <v>0</v>
      </c>
      <c r="Q400" s="47">
        <v>24803460.02</v>
      </c>
      <c r="R400" s="47">
        <v>0</v>
      </c>
      <c r="S400" s="47">
        <v>0</v>
      </c>
      <c r="T400" s="47">
        <v>0</v>
      </c>
      <c r="U400" s="47">
        <v>0</v>
      </c>
      <c r="V400" s="47">
        <v>0</v>
      </c>
      <c r="W400" s="47">
        <v>0</v>
      </c>
      <c r="X400" s="47">
        <v>0</v>
      </c>
      <c r="Y400" s="48">
        <f t="shared" si="48"/>
        <v>24803460.02</v>
      </c>
      <c r="Z400" s="49">
        <v>0</v>
      </c>
      <c r="AA400" s="50">
        <v>0</v>
      </c>
      <c r="AB400" s="50">
        <v>0</v>
      </c>
      <c r="AC400" s="50">
        <v>0</v>
      </c>
      <c r="AD400" s="62">
        <v>348145.82</v>
      </c>
      <c r="AE400" s="50">
        <v>0</v>
      </c>
      <c r="AF400" s="50">
        <v>0</v>
      </c>
      <c r="AG400" s="49">
        <f t="shared" si="49"/>
        <v>348145.82</v>
      </c>
      <c r="AH400" s="51" t="s">
        <v>74</v>
      </c>
      <c r="AI400" s="51" t="s">
        <v>74</v>
      </c>
      <c r="AJ400" s="51" t="s">
        <v>74</v>
      </c>
      <c r="AK400" s="51" t="s">
        <v>180</v>
      </c>
      <c r="AL400" s="51" t="s">
        <v>74</v>
      </c>
      <c r="AM400" s="51" t="s">
        <v>74</v>
      </c>
      <c r="AN400" s="52">
        <v>0</v>
      </c>
      <c r="AO400" s="52">
        <v>0</v>
      </c>
      <c r="AP400" s="52">
        <v>0</v>
      </c>
      <c r="AQ400" s="52">
        <v>0</v>
      </c>
      <c r="AR400" s="52">
        <v>0</v>
      </c>
      <c r="AS400" s="52">
        <f t="shared" si="50"/>
        <v>0</v>
      </c>
      <c r="AT400" s="53" t="s">
        <v>74</v>
      </c>
      <c r="AU400" s="52">
        <v>0</v>
      </c>
      <c r="AV400" s="52"/>
      <c r="AW400" s="52">
        <v>0</v>
      </c>
      <c r="AX400" s="52"/>
      <c r="AY400" s="52"/>
      <c r="AZ400" s="52">
        <v>0</v>
      </c>
      <c r="BA400" s="52">
        <f t="shared" si="51"/>
        <v>0</v>
      </c>
      <c r="BB400" s="54" t="s">
        <v>74</v>
      </c>
      <c r="BC400" s="53" t="s">
        <v>74</v>
      </c>
      <c r="BD400" s="55" t="s">
        <v>74</v>
      </c>
      <c r="BE400" s="55" t="s">
        <v>74</v>
      </c>
      <c r="BF400" s="55" t="s">
        <v>74</v>
      </c>
      <c r="BG400" s="55" t="s">
        <v>74</v>
      </c>
      <c r="BH400" s="52">
        <f t="shared" si="52"/>
        <v>0</v>
      </c>
      <c r="BI400" s="52">
        <f t="shared" si="53"/>
        <v>24455314.199999999</v>
      </c>
      <c r="BJ400" s="52">
        <v>24455314.199999999</v>
      </c>
      <c r="BK400" s="56">
        <v>44228</v>
      </c>
      <c r="BL400" s="57">
        <v>24455314.199999999</v>
      </c>
      <c r="BM400" s="47">
        <v>0</v>
      </c>
      <c r="BN400" s="9"/>
      <c r="BO400" s="9"/>
      <c r="BP400" s="9"/>
      <c r="BQ400" s="9"/>
      <c r="BR400" s="9"/>
      <c r="BS400" s="9"/>
      <c r="BT400" s="9"/>
      <c r="BU400" s="9"/>
      <c r="BV400" s="9"/>
      <c r="BW400" s="9"/>
    </row>
    <row r="401" spans="1:75" ht="153.75" hidden="1" outlineLevel="2" x14ac:dyDescent="0.25">
      <c r="A401" s="43" t="s">
        <v>71</v>
      </c>
      <c r="B401" s="110" t="s">
        <v>493</v>
      </c>
      <c r="C401" s="45">
        <v>2021</v>
      </c>
      <c r="D401" s="110" t="s">
        <v>77</v>
      </c>
      <c r="E401" s="47">
        <v>0</v>
      </c>
      <c r="F401" s="47">
        <v>0</v>
      </c>
      <c r="G401" s="47">
        <v>0</v>
      </c>
      <c r="H401" s="47">
        <v>0</v>
      </c>
      <c r="I401" s="47">
        <v>0</v>
      </c>
      <c r="J401" s="47">
        <v>0</v>
      </c>
      <c r="K401" s="47">
        <v>0</v>
      </c>
      <c r="L401" s="47">
        <v>0</v>
      </c>
      <c r="M401" s="47">
        <v>0</v>
      </c>
      <c r="N401" s="47">
        <v>0</v>
      </c>
      <c r="O401" s="47">
        <v>0</v>
      </c>
      <c r="P401" s="47">
        <v>0</v>
      </c>
      <c r="Q401" s="47">
        <v>24803460.02</v>
      </c>
      <c r="R401" s="47">
        <v>0</v>
      </c>
      <c r="S401" s="47">
        <v>0</v>
      </c>
      <c r="T401" s="47">
        <v>0</v>
      </c>
      <c r="U401" s="47">
        <v>0</v>
      </c>
      <c r="V401" s="47">
        <v>0</v>
      </c>
      <c r="W401" s="47">
        <v>0</v>
      </c>
      <c r="X401" s="47">
        <v>0</v>
      </c>
      <c r="Y401" s="48">
        <f t="shared" si="48"/>
        <v>24803460.02</v>
      </c>
      <c r="Z401" s="49">
        <v>0</v>
      </c>
      <c r="AA401" s="50">
        <v>0</v>
      </c>
      <c r="AB401" s="50">
        <v>0</v>
      </c>
      <c r="AC401" s="50">
        <v>0</v>
      </c>
      <c r="AD401" s="62">
        <v>327159.46999999997</v>
      </c>
      <c r="AE401" s="50">
        <v>0</v>
      </c>
      <c r="AF401" s="50">
        <v>0</v>
      </c>
      <c r="AG401" s="49">
        <f t="shared" si="49"/>
        <v>327159.46999999997</v>
      </c>
      <c r="AH401" s="51" t="s">
        <v>74</v>
      </c>
      <c r="AI401" s="51" t="s">
        <v>74</v>
      </c>
      <c r="AJ401" s="51" t="s">
        <v>74</v>
      </c>
      <c r="AK401" s="51" t="s">
        <v>182</v>
      </c>
      <c r="AL401" s="51" t="s">
        <v>74</v>
      </c>
      <c r="AM401" s="51" t="s">
        <v>74</v>
      </c>
      <c r="AN401" s="52"/>
      <c r="AO401" s="52"/>
      <c r="AP401" s="52"/>
      <c r="AQ401" s="52"/>
      <c r="AR401" s="52"/>
      <c r="AS401" s="52">
        <f t="shared" si="50"/>
        <v>0</v>
      </c>
      <c r="AT401" s="53" t="s">
        <v>74</v>
      </c>
      <c r="AU401" s="52">
        <v>0</v>
      </c>
      <c r="AV401" s="52"/>
      <c r="AW401" s="138">
        <v>64999.360000000001</v>
      </c>
      <c r="AX401" s="52"/>
      <c r="AY401" s="52"/>
      <c r="AZ401" s="52">
        <v>0</v>
      </c>
      <c r="BA401" s="52">
        <f t="shared" si="51"/>
        <v>64999.360000000001</v>
      </c>
      <c r="BB401" s="54" t="s">
        <v>74</v>
      </c>
      <c r="BC401" s="53" t="s">
        <v>74</v>
      </c>
      <c r="BD401" s="55" t="s">
        <v>523</v>
      </c>
      <c r="BE401" s="55" t="s">
        <v>74</v>
      </c>
      <c r="BF401" s="55" t="s">
        <v>74</v>
      </c>
      <c r="BG401" s="55" t="s">
        <v>74</v>
      </c>
      <c r="BH401" s="52">
        <f t="shared" si="52"/>
        <v>64999.360000000001</v>
      </c>
      <c r="BI401" s="52">
        <f t="shared" si="53"/>
        <v>24541299.91</v>
      </c>
      <c r="BJ401" s="52">
        <v>24476300.550000001</v>
      </c>
      <c r="BK401" s="56">
        <v>44256</v>
      </c>
      <c r="BL401" s="63">
        <v>24541299.91</v>
      </c>
      <c r="BM401" s="47">
        <v>0</v>
      </c>
      <c r="BN401" s="9"/>
      <c r="BO401" s="9"/>
      <c r="BP401" s="9"/>
      <c r="BQ401" s="9"/>
      <c r="BR401" s="9"/>
      <c r="BS401" s="9"/>
      <c r="BT401" s="9"/>
      <c r="BU401" s="9"/>
      <c r="BV401" s="9"/>
      <c r="BW401" s="9"/>
    </row>
    <row r="402" spans="1:75" hidden="1" outlineLevel="2" x14ac:dyDescent="0.25">
      <c r="A402" s="43" t="s">
        <v>71</v>
      </c>
      <c r="B402" s="110" t="s">
        <v>493</v>
      </c>
      <c r="C402" s="45">
        <v>2021</v>
      </c>
      <c r="D402" s="110" t="s">
        <v>79</v>
      </c>
      <c r="E402" s="47">
        <v>0</v>
      </c>
      <c r="F402" s="47">
        <v>0</v>
      </c>
      <c r="G402" s="47">
        <v>0</v>
      </c>
      <c r="H402" s="47">
        <v>0</v>
      </c>
      <c r="I402" s="47">
        <v>0</v>
      </c>
      <c r="J402" s="47">
        <v>0</v>
      </c>
      <c r="K402" s="47">
        <v>0</v>
      </c>
      <c r="L402" s="47">
        <v>0</v>
      </c>
      <c r="M402" s="47">
        <v>0</v>
      </c>
      <c r="N402" s="47">
        <v>0</v>
      </c>
      <c r="O402" s="47">
        <v>0</v>
      </c>
      <c r="P402" s="47">
        <v>0</v>
      </c>
      <c r="Q402" s="47">
        <v>24803460.02</v>
      </c>
      <c r="R402" s="47">
        <v>0</v>
      </c>
      <c r="S402" s="47">
        <v>0</v>
      </c>
      <c r="T402" s="47">
        <v>0</v>
      </c>
      <c r="U402" s="47">
        <v>0</v>
      </c>
      <c r="V402" s="47">
        <v>0</v>
      </c>
      <c r="W402" s="47">
        <v>0</v>
      </c>
      <c r="X402" s="47">
        <v>0</v>
      </c>
      <c r="Y402" s="48">
        <f t="shared" si="48"/>
        <v>24803460.02</v>
      </c>
      <c r="Z402" s="49">
        <v>0</v>
      </c>
      <c r="AA402" s="50">
        <v>0</v>
      </c>
      <c r="AB402" s="50">
        <v>0</v>
      </c>
      <c r="AC402" s="50">
        <v>0</v>
      </c>
      <c r="AD402" s="62">
        <v>293605.28000000003</v>
      </c>
      <c r="AE402" s="50">
        <v>0</v>
      </c>
      <c r="AF402" s="50">
        <v>0</v>
      </c>
      <c r="AG402" s="49">
        <f t="shared" si="49"/>
        <v>293605.28000000003</v>
      </c>
      <c r="AH402" s="51" t="s">
        <v>74</v>
      </c>
      <c r="AI402" s="51" t="s">
        <v>74</v>
      </c>
      <c r="AJ402" s="51" t="s">
        <v>74</v>
      </c>
      <c r="AK402" s="51" t="s">
        <v>409</v>
      </c>
      <c r="AL402" s="51" t="s">
        <v>74</v>
      </c>
      <c r="AM402" s="51" t="s">
        <v>74</v>
      </c>
      <c r="AN402" s="52">
        <v>0</v>
      </c>
      <c r="AO402" s="52">
        <v>0</v>
      </c>
      <c r="AP402" s="52">
        <v>0</v>
      </c>
      <c r="AQ402" s="52">
        <v>0</v>
      </c>
      <c r="AR402" s="52">
        <v>0</v>
      </c>
      <c r="AS402" s="52">
        <f t="shared" si="50"/>
        <v>0</v>
      </c>
      <c r="AT402" s="53" t="s">
        <v>74</v>
      </c>
      <c r="AU402" s="52">
        <v>0</v>
      </c>
      <c r="AV402" s="52"/>
      <c r="AW402" s="52">
        <v>0</v>
      </c>
      <c r="AX402" s="52"/>
      <c r="AY402" s="52"/>
      <c r="AZ402" s="52">
        <v>0</v>
      </c>
      <c r="BA402" s="52">
        <f t="shared" si="51"/>
        <v>0</v>
      </c>
      <c r="BB402" s="54" t="s">
        <v>74</v>
      </c>
      <c r="BC402" s="53" t="s">
        <v>74</v>
      </c>
      <c r="BD402" s="55" t="s">
        <v>74</v>
      </c>
      <c r="BE402" s="55" t="s">
        <v>74</v>
      </c>
      <c r="BF402" s="55" t="s">
        <v>74</v>
      </c>
      <c r="BG402" s="55" t="s">
        <v>74</v>
      </c>
      <c r="BH402" s="52">
        <f t="shared" si="52"/>
        <v>0</v>
      </c>
      <c r="BI402" s="52">
        <f t="shared" si="53"/>
        <v>24509854.739999998</v>
      </c>
      <c r="BJ402" s="52">
        <v>24509854.739999998</v>
      </c>
      <c r="BK402" s="56">
        <v>44287</v>
      </c>
      <c r="BL402" s="63">
        <v>24509854.739999998</v>
      </c>
      <c r="BM402" s="47">
        <v>0</v>
      </c>
      <c r="BN402" s="9"/>
      <c r="BO402" s="9"/>
      <c r="BP402" s="9"/>
      <c r="BQ402" s="9"/>
      <c r="BR402" s="9"/>
      <c r="BS402" s="9"/>
      <c r="BT402" s="9"/>
      <c r="BU402" s="9"/>
      <c r="BV402" s="9"/>
      <c r="BW402" s="9"/>
    </row>
    <row r="403" spans="1:75" ht="141" hidden="1" outlineLevel="2" x14ac:dyDescent="0.25">
      <c r="A403" s="43" t="s">
        <v>71</v>
      </c>
      <c r="B403" s="110" t="s">
        <v>493</v>
      </c>
      <c r="C403" s="45">
        <v>2021</v>
      </c>
      <c r="D403" s="110" t="s">
        <v>81</v>
      </c>
      <c r="E403" s="47">
        <v>0</v>
      </c>
      <c r="F403" s="47">
        <v>0</v>
      </c>
      <c r="G403" s="47">
        <v>0</v>
      </c>
      <c r="H403" s="47">
        <v>0</v>
      </c>
      <c r="I403" s="47">
        <v>0</v>
      </c>
      <c r="J403" s="47">
        <v>0</v>
      </c>
      <c r="K403" s="47">
        <v>0</v>
      </c>
      <c r="L403" s="47">
        <v>0</v>
      </c>
      <c r="M403" s="47">
        <v>0</v>
      </c>
      <c r="N403" s="47">
        <v>0</v>
      </c>
      <c r="O403" s="47">
        <v>0</v>
      </c>
      <c r="P403" s="47">
        <v>0</v>
      </c>
      <c r="Q403" s="47">
        <v>24803460.02</v>
      </c>
      <c r="R403" s="47">
        <v>0</v>
      </c>
      <c r="S403" s="47">
        <v>0</v>
      </c>
      <c r="T403" s="47">
        <v>0</v>
      </c>
      <c r="U403" s="47">
        <v>0</v>
      </c>
      <c r="V403" s="47">
        <v>0</v>
      </c>
      <c r="W403" s="47">
        <v>0</v>
      </c>
      <c r="X403" s="47">
        <v>0</v>
      </c>
      <c r="Y403" s="48">
        <f t="shared" si="48"/>
        <v>24803460.02</v>
      </c>
      <c r="Z403" s="49">
        <v>0</v>
      </c>
      <c r="AA403" s="50">
        <v>0</v>
      </c>
      <c r="AB403" s="50">
        <v>0</v>
      </c>
      <c r="AC403" s="50">
        <v>0</v>
      </c>
      <c r="AD403" s="62">
        <v>323090.15999999997</v>
      </c>
      <c r="AE403" s="50">
        <v>2480346</v>
      </c>
      <c r="AF403" s="50">
        <v>0</v>
      </c>
      <c r="AG403" s="49">
        <f t="shared" si="49"/>
        <v>2803436.16</v>
      </c>
      <c r="AH403" s="51" t="s">
        <v>74</v>
      </c>
      <c r="AI403" s="51" t="s">
        <v>74</v>
      </c>
      <c r="AJ403" s="51" t="s">
        <v>74</v>
      </c>
      <c r="AK403" s="51" t="s">
        <v>411</v>
      </c>
      <c r="AL403" s="51" t="s">
        <v>524</v>
      </c>
      <c r="AM403" s="51" t="s">
        <v>74</v>
      </c>
      <c r="AN403" s="52">
        <v>0</v>
      </c>
      <c r="AO403" s="52">
        <v>0</v>
      </c>
      <c r="AP403" s="52">
        <v>0</v>
      </c>
      <c r="AQ403" s="52">
        <v>0</v>
      </c>
      <c r="AR403" s="52">
        <v>0</v>
      </c>
      <c r="AS403" s="52">
        <f t="shared" si="50"/>
        <v>0</v>
      </c>
      <c r="AT403" s="53" t="s">
        <v>74</v>
      </c>
      <c r="AU403" s="52">
        <v>0</v>
      </c>
      <c r="AV403" s="52"/>
      <c r="AW403" s="59">
        <v>2655000</v>
      </c>
      <c r="AX403" s="52"/>
      <c r="AY403" s="52"/>
      <c r="AZ403" s="52">
        <v>0</v>
      </c>
      <c r="BA403" s="52">
        <f t="shared" si="51"/>
        <v>2655000</v>
      </c>
      <c r="BB403" s="54" t="s">
        <v>74</v>
      </c>
      <c r="BC403" s="53" t="s">
        <v>74</v>
      </c>
      <c r="BD403" s="55" t="s">
        <v>525</v>
      </c>
      <c r="BE403" s="55" t="s">
        <v>74</v>
      </c>
      <c r="BF403" s="55" t="s">
        <v>74</v>
      </c>
      <c r="BG403" s="55" t="s">
        <v>74</v>
      </c>
      <c r="BH403" s="52">
        <f t="shared" si="52"/>
        <v>2655000</v>
      </c>
      <c r="BI403" s="52">
        <f t="shared" si="53"/>
        <v>24655023.859999999</v>
      </c>
      <c r="BJ403" s="52">
        <v>22000023.859999999</v>
      </c>
      <c r="BK403" s="56">
        <v>44317</v>
      </c>
      <c r="BL403" s="63">
        <v>24655023.859999999</v>
      </c>
      <c r="BM403" s="47">
        <v>0</v>
      </c>
      <c r="BN403" s="9"/>
      <c r="BO403" s="9"/>
      <c r="BP403" s="9"/>
      <c r="BQ403" s="9"/>
      <c r="BR403" s="9"/>
      <c r="BS403" s="9"/>
      <c r="BT403" s="9"/>
      <c r="BU403" s="9"/>
      <c r="BV403" s="9"/>
      <c r="BW403" s="9"/>
    </row>
    <row r="404" spans="1:75" ht="230.25" hidden="1" outlineLevel="2" x14ac:dyDescent="0.25">
      <c r="A404" s="43" t="s">
        <v>71</v>
      </c>
      <c r="B404" s="110" t="s">
        <v>493</v>
      </c>
      <c r="C404" s="45">
        <v>2021</v>
      </c>
      <c r="D404" s="110" t="s">
        <v>83</v>
      </c>
      <c r="E404" s="47">
        <v>0</v>
      </c>
      <c r="F404" s="47">
        <v>0</v>
      </c>
      <c r="G404" s="47">
        <v>0</v>
      </c>
      <c r="H404" s="47">
        <v>0</v>
      </c>
      <c r="I404" s="47">
        <v>0</v>
      </c>
      <c r="J404" s="47">
        <v>0</v>
      </c>
      <c r="K404" s="47">
        <v>0</v>
      </c>
      <c r="L404" s="47">
        <v>0</v>
      </c>
      <c r="M404" s="47">
        <v>0</v>
      </c>
      <c r="N404" s="47">
        <v>0</v>
      </c>
      <c r="O404" s="47">
        <v>0</v>
      </c>
      <c r="P404" s="47">
        <v>0</v>
      </c>
      <c r="Q404" s="47">
        <v>24803460.02</v>
      </c>
      <c r="R404" s="47">
        <v>0</v>
      </c>
      <c r="S404" s="47">
        <v>0</v>
      </c>
      <c r="T404" s="47">
        <v>0</v>
      </c>
      <c r="U404" s="47">
        <v>0</v>
      </c>
      <c r="V404" s="47">
        <v>0</v>
      </c>
      <c r="W404" s="47">
        <v>0</v>
      </c>
      <c r="X404" s="47">
        <v>0</v>
      </c>
      <c r="Y404" s="48">
        <f t="shared" si="48"/>
        <v>24803460.02</v>
      </c>
      <c r="Z404" s="49">
        <v>0</v>
      </c>
      <c r="AA404" s="50">
        <v>0</v>
      </c>
      <c r="AB404" s="50">
        <v>0</v>
      </c>
      <c r="AC404" s="50">
        <v>0</v>
      </c>
      <c r="AD404" s="148">
        <v>316012.62</v>
      </c>
      <c r="AE404" s="50">
        <v>2480346</v>
      </c>
      <c r="AF404" s="50">
        <v>0</v>
      </c>
      <c r="AG404" s="49">
        <f t="shared" si="49"/>
        <v>2796358.62</v>
      </c>
      <c r="AH404" s="51" t="s">
        <v>74</v>
      </c>
      <c r="AI404" s="51" t="s">
        <v>74</v>
      </c>
      <c r="AJ404" s="51" t="s">
        <v>74</v>
      </c>
      <c r="AK404" s="51" t="s">
        <v>413</v>
      </c>
      <c r="AL404" s="51" t="s">
        <v>526</v>
      </c>
      <c r="AM404" s="51" t="s">
        <v>74</v>
      </c>
      <c r="AN404" s="52">
        <v>0</v>
      </c>
      <c r="AO404" s="52">
        <v>0</v>
      </c>
      <c r="AP404" s="52">
        <v>0</v>
      </c>
      <c r="AQ404" s="52">
        <v>0</v>
      </c>
      <c r="AR404" s="52">
        <v>0</v>
      </c>
      <c r="AS404" s="52">
        <f t="shared" si="50"/>
        <v>0</v>
      </c>
      <c r="AT404" s="53" t="s">
        <v>74</v>
      </c>
      <c r="AU404" s="52">
        <v>0</v>
      </c>
      <c r="AV404" s="52"/>
      <c r="AW404" s="59">
        <f>1897000+300639.92</f>
        <v>2197639.92</v>
      </c>
      <c r="AX404" s="52"/>
      <c r="AY404" s="52"/>
      <c r="AZ404" s="52">
        <v>0</v>
      </c>
      <c r="BA404" s="52">
        <f t="shared" si="51"/>
        <v>2197639.92</v>
      </c>
      <c r="BB404" s="54" t="s">
        <v>74</v>
      </c>
      <c r="BC404" s="53" t="s">
        <v>74</v>
      </c>
      <c r="BD404" s="55" t="s">
        <v>527</v>
      </c>
      <c r="BE404" s="55" t="s">
        <v>74</v>
      </c>
      <c r="BF404" s="55" t="s">
        <v>74</v>
      </c>
      <c r="BG404" s="55" t="s">
        <v>74</v>
      </c>
      <c r="BH404" s="52">
        <f t="shared" si="52"/>
        <v>2197639.92</v>
      </c>
      <c r="BI404" s="52">
        <f t="shared" si="53"/>
        <v>24204741.32</v>
      </c>
      <c r="BJ404" s="52">
        <f>Y404-AG404+AX404</f>
        <v>22007101.399999999</v>
      </c>
      <c r="BK404" s="56">
        <v>44348</v>
      </c>
      <c r="BL404" s="63">
        <f>23870114.02+300639.92+33987.38</f>
        <v>24204741.32</v>
      </c>
      <c r="BM404" s="47">
        <v>0</v>
      </c>
      <c r="BN404" s="9"/>
      <c r="BO404" s="9"/>
      <c r="BP404" s="9"/>
      <c r="BQ404" s="9"/>
      <c r="BR404" s="9"/>
      <c r="BS404" s="9"/>
      <c r="BT404" s="9"/>
      <c r="BU404" s="9"/>
      <c r="BV404" s="9"/>
      <c r="BW404" s="9"/>
    </row>
    <row r="405" spans="1:75" ht="204.75" hidden="1" outlineLevel="2" x14ac:dyDescent="0.25">
      <c r="A405" s="43" t="s">
        <v>71</v>
      </c>
      <c r="B405" s="110" t="s">
        <v>493</v>
      </c>
      <c r="C405" s="45">
        <v>2021</v>
      </c>
      <c r="D405" s="110" t="s">
        <v>84</v>
      </c>
      <c r="E405" s="47">
        <v>0</v>
      </c>
      <c r="F405" s="47">
        <v>0</v>
      </c>
      <c r="G405" s="47">
        <v>0</v>
      </c>
      <c r="H405" s="47">
        <v>0</v>
      </c>
      <c r="I405" s="47">
        <v>0</v>
      </c>
      <c r="J405" s="47">
        <v>0</v>
      </c>
      <c r="K405" s="47">
        <v>0</v>
      </c>
      <c r="L405" s="47">
        <v>0</v>
      </c>
      <c r="M405" s="47">
        <v>0</v>
      </c>
      <c r="N405" s="47">
        <v>0</v>
      </c>
      <c r="O405" s="47">
        <v>0</v>
      </c>
      <c r="P405" s="47">
        <v>0</v>
      </c>
      <c r="Q405" s="47">
        <v>11574948.01</v>
      </c>
      <c r="R405" s="47">
        <v>0</v>
      </c>
      <c r="S405" s="47">
        <v>0</v>
      </c>
      <c r="T405" s="47">
        <v>0</v>
      </c>
      <c r="U405" s="47">
        <v>0</v>
      </c>
      <c r="V405" s="47">
        <v>0</v>
      </c>
      <c r="W405" s="47">
        <v>0</v>
      </c>
      <c r="X405" s="47">
        <v>0</v>
      </c>
      <c r="Y405" s="48">
        <f t="shared" si="48"/>
        <v>11574948.01</v>
      </c>
      <c r="Z405" s="49">
        <v>0</v>
      </c>
      <c r="AA405" s="50">
        <v>0</v>
      </c>
      <c r="AB405" s="50">
        <v>0</v>
      </c>
      <c r="AC405" s="50">
        <v>0</v>
      </c>
      <c r="AD405" s="148">
        <v>317097.14</v>
      </c>
      <c r="AE405" s="50">
        <v>2480346</v>
      </c>
      <c r="AF405" s="50">
        <v>0</v>
      </c>
      <c r="AG405" s="49">
        <f t="shared" si="49"/>
        <v>2797443.14</v>
      </c>
      <c r="AH405" s="51" t="s">
        <v>74</v>
      </c>
      <c r="AI405" s="51" t="s">
        <v>74</v>
      </c>
      <c r="AJ405" s="51" t="s">
        <v>74</v>
      </c>
      <c r="AK405" s="51" t="s">
        <v>528</v>
      </c>
      <c r="AL405" s="51" t="s">
        <v>529</v>
      </c>
      <c r="AM405" s="51" t="s">
        <v>74</v>
      </c>
      <c r="AN405" s="52">
        <v>0</v>
      </c>
      <c r="AO405" s="52">
        <v>0</v>
      </c>
      <c r="AP405" s="52">
        <v>0</v>
      </c>
      <c r="AQ405" s="52">
        <v>0</v>
      </c>
      <c r="AR405" s="52">
        <v>0</v>
      </c>
      <c r="AS405" s="52">
        <f t="shared" si="50"/>
        <v>0</v>
      </c>
      <c r="AT405" s="53" t="s">
        <v>74</v>
      </c>
      <c r="AU405" s="52">
        <v>0</v>
      </c>
      <c r="AV405" s="52"/>
      <c r="AW405" s="52">
        <v>0</v>
      </c>
      <c r="AX405" s="68">
        <v>16361857.060000001</v>
      </c>
      <c r="AY405" s="52"/>
      <c r="AZ405" s="52">
        <v>0</v>
      </c>
      <c r="BA405" s="52">
        <f t="shared" si="51"/>
        <v>16361857.060000001</v>
      </c>
      <c r="BB405" s="54" t="s">
        <v>74</v>
      </c>
      <c r="BC405" s="53" t="s">
        <v>74</v>
      </c>
      <c r="BD405" s="55" t="s">
        <v>74</v>
      </c>
      <c r="BE405" s="55" t="s">
        <v>530</v>
      </c>
      <c r="BF405" s="55" t="s">
        <v>74</v>
      </c>
      <c r="BG405" s="55" t="s">
        <v>74</v>
      </c>
      <c r="BH405" s="52">
        <f t="shared" si="52"/>
        <v>16361857.060000001</v>
      </c>
      <c r="BI405" s="52">
        <f t="shared" si="53"/>
        <v>25139361.93</v>
      </c>
      <c r="BJ405" s="52">
        <f>Y405-AG405+AX405</f>
        <v>25139361.93</v>
      </c>
      <c r="BK405" s="56">
        <v>44378</v>
      </c>
      <c r="BL405" s="63">
        <f>6661268.68+2083333.33+32902.86+16361857.06</f>
        <v>25139361.93</v>
      </c>
      <c r="BM405" s="47">
        <v>0</v>
      </c>
      <c r="BN405" s="9"/>
      <c r="BO405" s="9"/>
      <c r="BP405" s="9"/>
      <c r="BQ405" s="9"/>
      <c r="BR405" s="9"/>
      <c r="BS405" s="9"/>
      <c r="BT405" s="9"/>
      <c r="BU405" s="9"/>
      <c r="BV405" s="9"/>
      <c r="BW405" s="9"/>
    </row>
    <row r="406" spans="1:75" ht="294" hidden="1" outlineLevel="2" x14ac:dyDescent="0.25">
      <c r="A406" s="43" t="s">
        <v>71</v>
      </c>
      <c r="B406" s="110" t="s">
        <v>493</v>
      </c>
      <c r="C406" s="45">
        <v>2021</v>
      </c>
      <c r="D406" s="110" t="s">
        <v>86</v>
      </c>
      <c r="E406" s="47"/>
      <c r="F406" s="47"/>
      <c r="G406" s="47"/>
      <c r="H406" s="47"/>
      <c r="I406" s="47"/>
      <c r="J406" s="47"/>
      <c r="K406" s="47"/>
      <c r="L406" s="47"/>
      <c r="M406" s="47"/>
      <c r="N406" s="47"/>
      <c r="O406" s="47"/>
      <c r="P406" s="47"/>
      <c r="Q406" s="47"/>
      <c r="R406" s="47"/>
      <c r="S406" s="47"/>
      <c r="T406" s="47"/>
      <c r="U406" s="47"/>
      <c r="V406" s="47"/>
      <c r="W406" s="47">
        <v>0</v>
      </c>
      <c r="X406" s="47">
        <v>0</v>
      </c>
      <c r="Y406" s="48"/>
      <c r="Z406" s="102"/>
      <c r="AA406" s="50"/>
      <c r="AB406" s="50"/>
      <c r="AC406" s="50"/>
      <c r="AD406" s="148"/>
      <c r="AE406" s="50"/>
      <c r="AF406" s="50"/>
      <c r="AG406" s="49"/>
      <c r="AH406" s="70" t="s">
        <v>74</v>
      </c>
      <c r="AI406" s="70" t="s">
        <v>74</v>
      </c>
      <c r="AJ406" s="70" t="s">
        <v>74</v>
      </c>
      <c r="AK406" s="70" t="s">
        <v>74</v>
      </c>
      <c r="AL406" s="70" t="s">
        <v>74</v>
      </c>
      <c r="AM406" s="70" t="s">
        <v>74</v>
      </c>
      <c r="AN406" s="52"/>
      <c r="AO406" s="52"/>
      <c r="AP406" s="52"/>
      <c r="AQ406" s="52"/>
      <c r="AR406" s="52"/>
      <c r="AS406" s="52"/>
      <c r="AT406" s="70" t="s">
        <v>74</v>
      </c>
      <c r="AU406" s="52"/>
      <c r="AV406" s="52"/>
      <c r="AW406" s="52"/>
      <c r="AX406" s="68">
        <f>16361857.06+12896993.47</f>
        <v>29258850.530000001</v>
      </c>
      <c r="AY406" s="52"/>
      <c r="AZ406" s="52"/>
      <c r="BA406" s="52">
        <f t="shared" si="51"/>
        <v>29258850.530000001</v>
      </c>
      <c r="BB406" s="52" t="s">
        <v>74</v>
      </c>
      <c r="BC406" s="52" t="s">
        <v>74</v>
      </c>
      <c r="BD406" s="52" t="s">
        <v>74</v>
      </c>
      <c r="BE406" s="55" t="s">
        <v>531</v>
      </c>
      <c r="BF406" s="52" t="s">
        <v>74</v>
      </c>
      <c r="BG406" s="52"/>
      <c r="BH406" s="52">
        <f t="shared" si="52"/>
        <v>29258850.530000001</v>
      </c>
      <c r="BI406" s="52">
        <f t="shared" si="53"/>
        <v>29258850.530000001</v>
      </c>
      <c r="BJ406" s="52">
        <f>Y406-AG406+AX406</f>
        <v>29258850.530000001</v>
      </c>
      <c r="BK406" s="56">
        <v>44409</v>
      </c>
      <c r="BL406" s="63">
        <f>16361857.06+12896993.47</f>
        <v>29258850.530000001</v>
      </c>
      <c r="BM406" s="47">
        <v>0</v>
      </c>
      <c r="BN406" s="9"/>
      <c r="BO406" s="9"/>
      <c r="BP406" s="9"/>
      <c r="BQ406" s="9"/>
      <c r="BR406" s="9"/>
      <c r="BS406" s="9"/>
      <c r="BT406" s="9"/>
      <c r="BU406" s="9"/>
      <c r="BV406" s="9"/>
      <c r="BW406" s="9"/>
    </row>
    <row r="407" spans="1:75" ht="166.5" hidden="1" outlineLevel="2" x14ac:dyDescent="0.25">
      <c r="A407" s="43" t="s">
        <v>71</v>
      </c>
      <c r="B407" s="110" t="s">
        <v>493</v>
      </c>
      <c r="C407" s="45">
        <v>2021</v>
      </c>
      <c r="D407" s="110" t="s">
        <v>88</v>
      </c>
      <c r="E407" s="47"/>
      <c r="F407" s="47"/>
      <c r="G407" s="47"/>
      <c r="H407" s="47"/>
      <c r="I407" s="47"/>
      <c r="J407" s="47"/>
      <c r="K407" s="47"/>
      <c r="L407" s="47"/>
      <c r="M407" s="47"/>
      <c r="N407" s="47"/>
      <c r="O407" s="47"/>
      <c r="P407" s="47"/>
      <c r="Q407" s="47"/>
      <c r="R407" s="47"/>
      <c r="S407" s="47"/>
      <c r="T407" s="47"/>
      <c r="U407" s="47"/>
      <c r="V407" s="47"/>
      <c r="W407" s="47">
        <v>0</v>
      </c>
      <c r="X407" s="47">
        <v>0</v>
      </c>
      <c r="Y407" s="48"/>
      <c r="Z407" s="102"/>
      <c r="AA407" s="50"/>
      <c r="AB407" s="50"/>
      <c r="AC407" s="50"/>
      <c r="AD407" s="148"/>
      <c r="AE407" s="50"/>
      <c r="AF407" s="50"/>
      <c r="AG407" s="49"/>
      <c r="AH407" s="70" t="s">
        <v>74</v>
      </c>
      <c r="AI407" s="70" t="s">
        <v>74</v>
      </c>
      <c r="AJ407" s="70" t="s">
        <v>74</v>
      </c>
      <c r="AK407" s="70" t="s">
        <v>74</v>
      </c>
      <c r="AL407" s="70" t="s">
        <v>74</v>
      </c>
      <c r="AM407" s="70" t="s">
        <v>74</v>
      </c>
      <c r="AN407" s="52"/>
      <c r="AO407" s="52"/>
      <c r="AP407" s="52"/>
      <c r="AQ407" s="52"/>
      <c r="AR407" s="52"/>
      <c r="AS407" s="52"/>
      <c r="AT407" s="70" t="s">
        <v>74</v>
      </c>
      <c r="AU407" s="52"/>
      <c r="AV407" s="52"/>
      <c r="AW407" s="52"/>
      <c r="AX407" s="68">
        <v>14629425.27</v>
      </c>
      <c r="AY407" s="52"/>
      <c r="AZ407" s="52"/>
      <c r="BA407" s="52">
        <f t="shared" si="51"/>
        <v>14629425.27</v>
      </c>
      <c r="BB407" s="52" t="s">
        <v>74</v>
      </c>
      <c r="BC407" s="52" t="s">
        <v>74</v>
      </c>
      <c r="BD407" s="52" t="s">
        <v>74</v>
      </c>
      <c r="BE407" s="55" t="s">
        <v>532</v>
      </c>
      <c r="BF407" s="52" t="s">
        <v>74</v>
      </c>
      <c r="BG407" s="52"/>
      <c r="BH407" s="52">
        <f t="shared" si="52"/>
        <v>14629425.27</v>
      </c>
      <c r="BI407" s="52">
        <f t="shared" si="53"/>
        <v>14629425.27</v>
      </c>
      <c r="BJ407" s="52">
        <f>Y407-AG407+AX407</f>
        <v>14629425.27</v>
      </c>
      <c r="BK407" s="56">
        <v>44440</v>
      </c>
      <c r="BL407" s="63">
        <v>14629425.27</v>
      </c>
      <c r="BM407" s="47">
        <v>0</v>
      </c>
      <c r="BN407" s="9"/>
      <c r="BO407" s="9"/>
      <c r="BP407" s="9"/>
      <c r="BQ407" s="9"/>
      <c r="BR407" s="9"/>
      <c r="BS407" s="9"/>
      <c r="BT407" s="9"/>
      <c r="BU407" s="9"/>
      <c r="BV407" s="9"/>
      <c r="BW407" s="9"/>
    </row>
    <row r="408" spans="1:75" hidden="1" outlineLevel="2" x14ac:dyDescent="0.25">
      <c r="A408" s="71" t="s">
        <v>71</v>
      </c>
      <c r="B408" s="116" t="s">
        <v>493</v>
      </c>
      <c r="C408" s="73">
        <v>2021</v>
      </c>
      <c r="D408" s="116" t="s">
        <v>89</v>
      </c>
      <c r="E408" s="75"/>
      <c r="F408" s="75"/>
      <c r="G408" s="75"/>
      <c r="H408" s="75"/>
      <c r="I408" s="75"/>
      <c r="J408" s="75"/>
      <c r="K408" s="75"/>
      <c r="L408" s="75"/>
      <c r="M408" s="75"/>
      <c r="N408" s="75"/>
      <c r="O408" s="75"/>
      <c r="P408" s="75"/>
      <c r="Q408" s="75"/>
      <c r="R408" s="75"/>
      <c r="S408" s="75"/>
      <c r="T408" s="75"/>
      <c r="U408" s="75"/>
      <c r="V408" s="75"/>
      <c r="W408" s="75">
        <v>0</v>
      </c>
      <c r="X408" s="75">
        <v>0</v>
      </c>
      <c r="Y408" s="76"/>
      <c r="Z408" s="118"/>
      <c r="AA408" s="79"/>
      <c r="AB408" s="79"/>
      <c r="AC408" s="79"/>
      <c r="AD408" s="153"/>
      <c r="AE408" s="79"/>
      <c r="AF408" s="79"/>
      <c r="AG408" s="80">
        <f>SUM(AA408:AF408)</f>
        <v>0</v>
      </c>
      <c r="AH408" s="81" t="s">
        <v>74</v>
      </c>
      <c r="AI408" s="81" t="s">
        <v>74</v>
      </c>
      <c r="AJ408" s="81" t="s">
        <v>74</v>
      </c>
      <c r="AK408" s="81" t="s">
        <v>74</v>
      </c>
      <c r="AL408" s="81" t="s">
        <v>74</v>
      </c>
      <c r="AM408" s="81" t="s">
        <v>74</v>
      </c>
      <c r="AN408" s="82"/>
      <c r="AO408" s="82"/>
      <c r="AP408" s="82"/>
      <c r="AQ408" s="82"/>
      <c r="AR408" s="82"/>
      <c r="AS408" s="82"/>
      <c r="AT408" s="81" t="s">
        <v>74</v>
      </c>
      <c r="AU408" s="82"/>
      <c r="AV408" s="82"/>
      <c r="AW408" s="82"/>
      <c r="AX408" s="119"/>
      <c r="AY408" s="82"/>
      <c r="AZ408" s="82"/>
      <c r="BA408" s="82">
        <f t="shared" si="51"/>
        <v>0</v>
      </c>
      <c r="BB408" s="82" t="s">
        <v>74</v>
      </c>
      <c r="BC408" s="82" t="s">
        <v>74</v>
      </c>
      <c r="BD408" s="82" t="s">
        <v>74</v>
      </c>
      <c r="BE408" s="82" t="s">
        <v>74</v>
      </c>
      <c r="BF408" s="82" t="s">
        <v>74</v>
      </c>
      <c r="BG408" s="82"/>
      <c r="BH408" s="82">
        <f t="shared" si="52"/>
        <v>0</v>
      </c>
      <c r="BI408" s="82">
        <f t="shared" si="53"/>
        <v>0</v>
      </c>
      <c r="BJ408" s="52">
        <f>Y408-AG408+AX408</f>
        <v>0</v>
      </c>
      <c r="BK408" s="56">
        <v>44470</v>
      </c>
      <c r="BL408" s="83"/>
      <c r="BM408" s="75">
        <v>0</v>
      </c>
      <c r="BN408" s="9"/>
      <c r="BO408" s="9"/>
      <c r="BP408" s="9"/>
      <c r="BQ408" s="9"/>
      <c r="BR408" s="9"/>
      <c r="BS408" s="9"/>
      <c r="BT408" s="9"/>
      <c r="BU408" s="9"/>
      <c r="BV408" s="9"/>
      <c r="BW408" s="9"/>
    </row>
    <row r="409" spans="1:75" hidden="1" outlineLevel="1" collapsed="1" x14ac:dyDescent="0.25">
      <c r="A409" s="84"/>
      <c r="B409" s="120" t="s">
        <v>533</v>
      </c>
      <c r="C409" s="86"/>
      <c r="D409" s="120"/>
      <c r="E409" s="88"/>
      <c r="F409" s="88"/>
      <c r="G409" s="88"/>
      <c r="H409" s="88"/>
      <c r="I409" s="88"/>
      <c r="J409" s="88"/>
      <c r="K409" s="88"/>
      <c r="L409" s="88"/>
      <c r="M409" s="88"/>
      <c r="N409" s="88"/>
      <c r="O409" s="88"/>
      <c r="P409" s="88"/>
      <c r="Q409" s="88"/>
      <c r="R409" s="88"/>
      <c r="S409" s="88"/>
      <c r="T409" s="88"/>
      <c r="U409" s="88"/>
      <c r="V409" s="88"/>
      <c r="W409" s="88"/>
      <c r="X409" s="88"/>
      <c r="Y409" s="89">
        <f t="shared" ref="Y409:AG409" si="54">SUBTOTAL(9,Y351:Y408)</f>
        <v>0</v>
      </c>
      <c r="Z409" s="89">
        <f t="shared" si="54"/>
        <v>0</v>
      </c>
      <c r="AA409" s="89">
        <f t="shared" si="54"/>
        <v>0</v>
      </c>
      <c r="AB409" s="89">
        <f t="shared" si="54"/>
        <v>0</v>
      </c>
      <c r="AC409" s="89">
        <f t="shared" si="54"/>
        <v>0</v>
      </c>
      <c r="AD409" s="156">
        <f t="shared" si="54"/>
        <v>0</v>
      </c>
      <c r="AE409" s="89">
        <f t="shared" si="54"/>
        <v>0</v>
      </c>
      <c r="AF409" s="89">
        <f t="shared" si="54"/>
        <v>0</v>
      </c>
      <c r="AG409" s="89">
        <f t="shared" si="54"/>
        <v>0</v>
      </c>
      <c r="AH409" s="91"/>
      <c r="AI409" s="91"/>
      <c r="AJ409" s="91"/>
      <c r="AK409" s="91"/>
      <c r="AL409" s="91"/>
      <c r="AM409" s="91"/>
      <c r="AN409" s="92">
        <f t="shared" ref="AN409:AS409" si="55">SUBTOTAL(9,AN351:AN408)</f>
        <v>0</v>
      </c>
      <c r="AO409" s="92">
        <f t="shared" si="55"/>
        <v>0</v>
      </c>
      <c r="AP409" s="92">
        <f t="shared" si="55"/>
        <v>0</v>
      </c>
      <c r="AQ409" s="92">
        <f t="shared" si="55"/>
        <v>0</v>
      </c>
      <c r="AR409" s="92">
        <f t="shared" si="55"/>
        <v>0</v>
      </c>
      <c r="AS409" s="92">
        <f t="shared" si="55"/>
        <v>0</v>
      </c>
      <c r="AT409" s="91"/>
      <c r="AU409" s="92">
        <f t="shared" ref="AU409:BA409" si="56">SUBTOTAL(9,AU351:AU408)</f>
        <v>0</v>
      </c>
      <c r="AV409" s="92">
        <f t="shared" si="56"/>
        <v>0</v>
      </c>
      <c r="AW409" s="92">
        <f t="shared" si="56"/>
        <v>0</v>
      </c>
      <c r="AX409" s="122">
        <f t="shared" si="56"/>
        <v>0</v>
      </c>
      <c r="AY409" s="92">
        <f t="shared" si="56"/>
        <v>0</v>
      </c>
      <c r="AZ409" s="92">
        <f t="shared" si="56"/>
        <v>0</v>
      </c>
      <c r="BA409" s="92">
        <f t="shared" si="56"/>
        <v>0</v>
      </c>
      <c r="BB409" s="92"/>
      <c r="BC409" s="92"/>
      <c r="BD409" s="92"/>
      <c r="BE409" s="92"/>
      <c r="BF409" s="92"/>
      <c r="BG409" s="92"/>
      <c r="BH409" s="92">
        <f>SUBTOTAL(9,BH351:BH408)</f>
        <v>0</v>
      </c>
      <c r="BI409" s="92">
        <f>SUBTOTAL(9,BI351:BI408)</f>
        <v>0</v>
      </c>
      <c r="BJ409" s="93"/>
      <c r="BK409" s="94"/>
      <c r="BL409" s="95">
        <f>SUBTOTAL(9,BL351:BL408)</f>
        <v>0</v>
      </c>
      <c r="BM409" s="88">
        <f>SUBTOTAL(9,BM351:BM408)</f>
        <v>0</v>
      </c>
      <c r="BN409" s="9"/>
      <c r="BO409" s="9"/>
      <c r="BP409" s="9"/>
      <c r="BQ409" s="9"/>
      <c r="BR409" s="9"/>
      <c r="BS409" s="9"/>
      <c r="BT409" s="9"/>
      <c r="BU409" s="9"/>
      <c r="BV409" s="9"/>
      <c r="BW409" s="9"/>
    </row>
    <row r="410" spans="1:75" ht="408.75" hidden="1" outlineLevel="2" x14ac:dyDescent="0.25">
      <c r="A410" s="96" t="s">
        <v>534</v>
      </c>
      <c r="B410" s="97" t="s">
        <v>535</v>
      </c>
      <c r="C410" s="98">
        <v>2018</v>
      </c>
      <c r="D410" s="97" t="s">
        <v>90</v>
      </c>
      <c r="E410" s="100">
        <v>2763895.088</v>
      </c>
      <c r="F410" s="100">
        <v>0</v>
      </c>
      <c r="G410" s="100">
        <v>0</v>
      </c>
      <c r="H410" s="100">
        <v>0</v>
      </c>
      <c r="I410" s="100">
        <v>0</v>
      </c>
      <c r="J410" s="100">
        <v>0</v>
      </c>
      <c r="K410" s="100">
        <v>0</v>
      </c>
      <c r="L410" s="100">
        <v>0</v>
      </c>
      <c r="M410" s="100">
        <v>0</v>
      </c>
      <c r="N410" s="100">
        <v>0</v>
      </c>
      <c r="O410" s="100">
        <v>0</v>
      </c>
      <c r="P410" s="100">
        <v>0</v>
      </c>
      <c r="Q410" s="100">
        <v>0</v>
      </c>
      <c r="R410" s="100">
        <v>0</v>
      </c>
      <c r="S410" s="100">
        <v>0</v>
      </c>
      <c r="T410" s="100">
        <v>0</v>
      </c>
      <c r="U410" s="100">
        <v>0</v>
      </c>
      <c r="V410" s="100">
        <v>0</v>
      </c>
      <c r="W410" s="100">
        <v>0</v>
      </c>
      <c r="X410" s="100">
        <v>0</v>
      </c>
      <c r="Y410" s="101">
        <v>2763895.088</v>
      </c>
      <c r="Z410" s="102">
        <v>0</v>
      </c>
      <c r="AA410" s="103">
        <v>0</v>
      </c>
      <c r="AB410" s="103">
        <v>0</v>
      </c>
      <c r="AC410" s="103">
        <v>0</v>
      </c>
      <c r="AD410" s="103">
        <v>0</v>
      </c>
      <c r="AE410" s="103">
        <v>0</v>
      </c>
      <c r="AF410" s="103">
        <v>0</v>
      </c>
      <c r="AG410" s="102">
        <v>0</v>
      </c>
      <c r="AH410" s="104" t="s">
        <v>74</v>
      </c>
      <c r="AI410" s="104" t="s">
        <v>74</v>
      </c>
      <c r="AJ410" s="104" t="s">
        <v>74</v>
      </c>
      <c r="AK410" s="104" t="s">
        <v>74</v>
      </c>
      <c r="AL410" s="104" t="s">
        <v>74</v>
      </c>
      <c r="AM410" s="104" t="s">
        <v>74</v>
      </c>
      <c r="AN410" s="105">
        <v>0</v>
      </c>
      <c r="AO410" s="105">
        <v>0</v>
      </c>
      <c r="AP410" s="105">
        <v>0</v>
      </c>
      <c r="AQ410" s="105">
        <v>0</v>
      </c>
      <c r="AR410" s="105">
        <v>0</v>
      </c>
      <c r="AS410" s="105">
        <v>0</v>
      </c>
      <c r="AT410" s="106" t="s">
        <v>74</v>
      </c>
      <c r="AU410" s="105">
        <v>0</v>
      </c>
      <c r="AV410" s="164">
        <v>4182504</v>
      </c>
      <c r="AW410" s="105">
        <v>0</v>
      </c>
      <c r="AX410" s="105"/>
      <c r="AY410" s="105"/>
      <c r="AZ410" s="105">
        <v>0</v>
      </c>
      <c r="BA410" s="105">
        <f>AU410+AV410+AW410+AX410+AY410+AZ410</f>
        <v>4182504</v>
      </c>
      <c r="BB410" s="107" t="s">
        <v>74</v>
      </c>
      <c r="BC410" s="106" t="s">
        <v>536</v>
      </c>
      <c r="BD410" s="108" t="s">
        <v>74</v>
      </c>
      <c r="BE410" s="108" t="s">
        <v>74</v>
      </c>
      <c r="BF410" s="108" t="s">
        <v>74</v>
      </c>
      <c r="BG410" s="108" t="s">
        <v>74</v>
      </c>
      <c r="BH410" s="105">
        <f>AS410+BA410</f>
        <v>4182504</v>
      </c>
      <c r="BI410" s="105">
        <f>Y410-AG410+BH410</f>
        <v>6946399.0879999995</v>
      </c>
      <c r="BJ410" s="52">
        <f>BI410-BH410</f>
        <v>2763895.0879999995</v>
      </c>
      <c r="BK410" s="56">
        <v>43405</v>
      </c>
      <c r="BL410" s="109">
        <f>2763895.09+4182504</f>
        <v>6946399.0899999999</v>
      </c>
      <c r="BM410" s="100">
        <v>0</v>
      </c>
      <c r="BN410" s="9"/>
      <c r="BO410" s="9"/>
      <c r="BP410" s="9"/>
      <c r="BQ410" s="9"/>
      <c r="BR410" s="9"/>
      <c r="BS410" s="9"/>
      <c r="BT410" s="9"/>
      <c r="BU410" s="9"/>
      <c r="BV410" s="9"/>
      <c r="BW410" s="9"/>
    </row>
    <row r="411" spans="1:75" ht="141" hidden="1" outlineLevel="2" x14ac:dyDescent="0.25">
      <c r="A411" s="43" t="s">
        <v>534</v>
      </c>
      <c r="B411" s="110" t="s">
        <v>535</v>
      </c>
      <c r="C411" s="45">
        <v>2018</v>
      </c>
      <c r="D411" s="110" t="s">
        <v>93</v>
      </c>
      <c r="E411" s="47">
        <v>20729213.16</v>
      </c>
      <c r="F411" s="47">
        <v>0</v>
      </c>
      <c r="G411" s="47">
        <v>0</v>
      </c>
      <c r="H411" s="47">
        <v>0</v>
      </c>
      <c r="I411" s="47">
        <v>0</v>
      </c>
      <c r="J411" s="47">
        <v>0</v>
      </c>
      <c r="K411" s="47">
        <v>0</v>
      </c>
      <c r="L411" s="47">
        <v>0</v>
      </c>
      <c r="M411" s="47">
        <v>0</v>
      </c>
      <c r="N411" s="47">
        <v>0</v>
      </c>
      <c r="O411" s="47">
        <v>0</v>
      </c>
      <c r="P411" s="47">
        <v>0</v>
      </c>
      <c r="Q411" s="47">
        <v>0</v>
      </c>
      <c r="R411" s="47">
        <v>0</v>
      </c>
      <c r="S411" s="47">
        <v>0</v>
      </c>
      <c r="T411" s="47">
        <v>0</v>
      </c>
      <c r="U411" s="47">
        <v>0</v>
      </c>
      <c r="V411" s="47">
        <v>0</v>
      </c>
      <c r="W411" s="47">
        <v>0</v>
      </c>
      <c r="X411" s="47">
        <v>0</v>
      </c>
      <c r="Y411" s="48">
        <v>20729213.16</v>
      </c>
      <c r="Z411" s="58">
        <v>636128.01</v>
      </c>
      <c r="AA411" s="50">
        <v>636128.01</v>
      </c>
      <c r="AB411" s="50">
        <v>0</v>
      </c>
      <c r="AC411" s="50">
        <v>9915.33</v>
      </c>
      <c r="AD411" s="50">
        <v>16834.939999999999</v>
      </c>
      <c r="AE411" s="50">
        <v>6739717.9100000001</v>
      </c>
      <c r="AF411" s="50">
        <v>0</v>
      </c>
      <c r="AG411" s="49">
        <v>7402596.1900000004</v>
      </c>
      <c r="AH411" s="51" t="s">
        <v>104</v>
      </c>
      <c r="AI411" s="51" t="s">
        <v>74</v>
      </c>
      <c r="AJ411" s="51" t="s">
        <v>127</v>
      </c>
      <c r="AK411" s="51" t="s">
        <v>128</v>
      </c>
      <c r="AL411" s="51" t="s">
        <v>537</v>
      </c>
      <c r="AM411" s="51" t="s">
        <v>74</v>
      </c>
      <c r="AN411" s="52">
        <v>0</v>
      </c>
      <c r="AO411" s="52">
        <v>0</v>
      </c>
      <c r="AP411" s="52">
        <v>0</v>
      </c>
      <c r="AQ411" s="52">
        <v>0</v>
      </c>
      <c r="AR411" s="52">
        <v>0</v>
      </c>
      <c r="AS411" s="52">
        <v>0</v>
      </c>
      <c r="AT411" s="53" t="s">
        <v>74</v>
      </c>
      <c r="AU411" s="52">
        <v>0</v>
      </c>
      <c r="AV411" s="52"/>
      <c r="AW411" s="52">
        <v>0</v>
      </c>
      <c r="AX411" s="52"/>
      <c r="AY411" s="52"/>
      <c r="AZ411" s="52">
        <v>0</v>
      </c>
      <c r="BA411" s="52">
        <v>0</v>
      </c>
      <c r="BB411" s="54" t="s">
        <v>74</v>
      </c>
      <c r="BC411" s="53" t="s">
        <v>74</v>
      </c>
      <c r="BD411" s="55" t="s">
        <v>74</v>
      </c>
      <c r="BE411" s="55" t="s">
        <v>74</v>
      </c>
      <c r="BF411" s="55" t="s">
        <v>74</v>
      </c>
      <c r="BG411" s="55" t="s">
        <v>74</v>
      </c>
      <c r="BH411" s="52">
        <v>0</v>
      </c>
      <c r="BI411" s="52">
        <v>13326616.970000001</v>
      </c>
      <c r="BJ411" s="52">
        <v>13326616.970000001</v>
      </c>
      <c r="BK411" s="56">
        <v>43435</v>
      </c>
      <c r="BL411" s="57">
        <v>13326616.970000001</v>
      </c>
      <c r="BM411" s="47">
        <v>0</v>
      </c>
      <c r="BN411" s="9"/>
      <c r="BO411" s="9"/>
      <c r="BP411" s="9"/>
      <c r="BQ411" s="9"/>
      <c r="BR411" s="9"/>
      <c r="BS411" s="9"/>
      <c r="BT411" s="9"/>
      <c r="BU411" s="9"/>
      <c r="BV411" s="9"/>
      <c r="BW411" s="9"/>
    </row>
    <row r="412" spans="1:75" ht="64.5" hidden="1" outlineLevel="2" x14ac:dyDescent="0.25">
      <c r="A412" s="43" t="s">
        <v>534</v>
      </c>
      <c r="B412" s="110" t="s">
        <v>535</v>
      </c>
      <c r="C412" s="45">
        <v>2019</v>
      </c>
      <c r="D412" s="110" t="s">
        <v>73</v>
      </c>
      <c r="E412" s="47">
        <v>20729213.16</v>
      </c>
      <c r="F412" s="47">
        <v>0</v>
      </c>
      <c r="G412" s="47">
        <v>0</v>
      </c>
      <c r="H412" s="47">
        <v>0</v>
      </c>
      <c r="I412" s="47">
        <v>0</v>
      </c>
      <c r="J412" s="47">
        <v>0</v>
      </c>
      <c r="K412" s="47">
        <v>0</v>
      </c>
      <c r="L412" s="47">
        <v>0</v>
      </c>
      <c r="M412" s="47">
        <v>0</v>
      </c>
      <c r="N412" s="47">
        <v>0</v>
      </c>
      <c r="O412" s="47">
        <v>0</v>
      </c>
      <c r="P412" s="47">
        <v>0</v>
      </c>
      <c r="Q412" s="47">
        <v>0</v>
      </c>
      <c r="R412" s="47">
        <v>0</v>
      </c>
      <c r="S412" s="47">
        <v>0</v>
      </c>
      <c r="T412" s="47">
        <v>0</v>
      </c>
      <c r="U412" s="47">
        <v>0</v>
      </c>
      <c r="V412" s="47">
        <v>0</v>
      </c>
      <c r="W412" s="47">
        <v>0</v>
      </c>
      <c r="X412" s="47">
        <v>0</v>
      </c>
      <c r="Y412" s="48">
        <v>20729213.16</v>
      </c>
      <c r="Z412" s="58">
        <v>5262624.46</v>
      </c>
      <c r="AA412" s="50">
        <v>5262624.46</v>
      </c>
      <c r="AB412" s="50">
        <v>0</v>
      </c>
      <c r="AC412" s="50">
        <v>9239.73</v>
      </c>
      <c r="AD412" s="50">
        <v>134857.06</v>
      </c>
      <c r="AE412" s="50">
        <v>0</v>
      </c>
      <c r="AF412" s="50">
        <v>0</v>
      </c>
      <c r="AG412" s="49">
        <v>5406721.25</v>
      </c>
      <c r="AH412" s="51" t="s">
        <v>104</v>
      </c>
      <c r="AI412" s="51" t="s">
        <v>74</v>
      </c>
      <c r="AJ412" s="51" t="s">
        <v>96</v>
      </c>
      <c r="AK412" s="51" t="s">
        <v>538</v>
      </c>
      <c r="AL412" s="51" t="s">
        <v>74</v>
      </c>
      <c r="AM412" s="51" t="s">
        <v>74</v>
      </c>
      <c r="AN412" s="52">
        <v>76.760000000000005</v>
      </c>
      <c r="AO412" s="52">
        <v>0</v>
      </c>
      <c r="AP412" s="52">
        <v>0</v>
      </c>
      <c r="AQ412" s="52">
        <v>0</v>
      </c>
      <c r="AR412" s="52">
        <v>0</v>
      </c>
      <c r="AS412" s="52">
        <v>76.760000000000005</v>
      </c>
      <c r="AT412" s="51" t="s">
        <v>539</v>
      </c>
      <c r="AU412" s="52">
        <v>0</v>
      </c>
      <c r="AV412" s="52"/>
      <c r="AW412" s="52">
        <v>0</v>
      </c>
      <c r="AX412" s="52"/>
      <c r="AY412" s="52"/>
      <c r="AZ412" s="52">
        <v>0</v>
      </c>
      <c r="BA412" s="52">
        <v>0</v>
      </c>
      <c r="BB412" s="54" t="s">
        <v>74</v>
      </c>
      <c r="BC412" s="53" t="s">
        <v>74</v>
      </c>
      <c r="BD412" s="55" t="s">
        <v>74</v>
      </c>
      <c r="BE412" s="55" t="s">
        <v>74</v>
      </c>
      <c r="BF412" s="55" t="s">
        <v>74</v>
      </c>
      <c r="BG412" s="55" t="s">
        <v>74</v>
      </c>
      <c r="BH412" s="52">
        <v>76.760000000000005</v>
      </c>
      <c r="BI412" s="52">
        <v>15322568.67</v>
      </c>
      <c r="BJ412" s="52">
        <v>15322568.67</v>
      </c>
      <c r="BK412" s="56">
        <v>43466</v>
      </c>
      <c r="BL412" s="57">
        <v>15322568.67</v>
      </c>
      <c r="BM412" s="47">
        <v>0</v>
      </c>
      <c r="BN412" s="9"/>
      <c r="BO412" s="9"/>
      <c r="BP412" s="9"/>
      <c r="BQ412" s="9"/>
      <c r="BR412" s="9"/>
      <c r="BS412" s="9"/>
      <c r="BT412" s="9"/>
      <c r="BU412" s="9"/>
      <c r="BV412" s="9"/>
      <c r="BW412" s="9"/>
    </row>
    <row r="413" spans="1:75" ht="27.75" hidden="1" customHeight="1" outlineLevel="2" x14ac:dyDescent="0.25">
      <c r="A413" s="43" t="s">
        <v>534</v>
      </c>
      <c r="B413" s="110" t="s">
        <v>535</v>
      </c>
      <c r="C413" s="45">
        <v>2019</v>
      </c>
      <c r="D413" s="110" t="s">
        <v>75</v>
      </c>
      <c r="E413" s="47">
        <v>20729213.16</v>
      </c>
      <c r="F413" s="47">
        <v>0</v>
      </c>
      <c r="G413" s="47">
        <v>0</v>
      </c>
      <c r="H413" s="47">
        <v>0</v>
      </c>
      <c r="I413" s="47">
        <v>0</v>
      </c>
      <c r="J413" s="47">
        <v>0</v>
      </c>
      <c r="K413" s="47">
        <v>0</v>
      </c>
      <c r="L413" s="47">
        <v>0</v>
      </c>
      <c r="M413" s="47">
        <v>0</v>
      </c>
      <c r="N413" s="47">
        <v>0</v>
      </c>
      <c r="O413" s="47">
        <v>0</v>
      </c>
      <c r="P413" s="47">
        <v>0</v>
      </c>
      <c r="Q413" s="47">
        <v>0</v>
      </c>
      <c r="R413" s="47">
        <v>0</v>
      </c>
      <c r="S413" s="47">
        <v>0</v>
      </c>
      <c r="T413" s="47">
        <v>0</v>
      </c>
      <c r="U413" s="47">
        <v>0</v>
      </c>
      <c r="V413" s="47">
        <v>0</v>
      </c>
      <c r="W413" s="47">
        <v>0</v>
      </c>
      <c r="X413" s="47">
        <v>0</v>
      </c>
      <c r="Y413" s="48">
        <v>20729213.16</v>
      </c>
      <c r="Z413" s="58">
        <v>4752151.38</v>
      </c>
      <c r="AA413" s="50">
        <v>4752151.38</v>
      </c>
      <c r="AB413" s="50">
        <v>0</v>
      </c>
      <c r="AC413" s="50">
        <v>0</v>
      </c>
      <c r="AD413" s="50">
        <v>0</v>
      </c>
      <c r="AE413" s="50">
        <v>0</v>
      </c>
      <c r="AF413" s="50">
        <v>0</v>
      </c>
      <c r="AG413" s="49">
        <v>4752151.38</v>
      </c>
      <c r="AH413" s="51" t="s">
        <v>104</v>
      </c>
      <c r="AI413" s="51" t="s">
        <v>74</v>
      </c>
      <c r="AJ413" s="51" t="s">
        <v>74</v>
      </c>
      <c r="AK413" s="51" t="s">
        <v>74</v>
      </c>
      <c r="AL413" s="51" t="s">
        <v>74</v>
      </c>
      <c r="AM413" s="51" t="s">
        <v>74</v>
      </c>
      <c r="AN413" s="52">
        <v>0</v>
      </c>
      <c r="AO413" s="52">
        <v>0</v>
      </c>
      <c r="AP413" s="52">
        <v>0</v>
      </c>
      <c r="AQ413" s="52">
        <v>0</v>
      </c>
      <c r="AR413" s="52">
        <v>0</v>
      </c>
      <c r="AS413" s="52">
        <v>0</v>
      </c>
      <c r="AT413" s="53" t="s">
        <v>74</v>
      </c>
      <c r="AU413" s="52">
        <v>0</v>
      </c>
      <c r="AV413" s="52"/>
      <c r="AW413" s="52">
        <v>0</v>
      </c>
      <c r="AX413" s="52"/>
      <c r="AY413" s="52"/>
      <c r="AZ413" s="52">
        <v>0</v>
      </c>
      <c r="BA413" s="52">
        <v>0</v>
      </c>
      <c r="BB413" s="54" t="s">
        <v>74</v>
      </c>
      <c r="BC413" s="53" t="s">
        <v>74</v>
      </c>
      <c r="BD413" s="55" t="s">
        <v>74</v>
      </c>
      <c r="BE413" s="55" t="s">
        <v>74</v>
      </c>
      <c r="BF413" s="55" t="s">
        <v>74</v>
      </c>
      <c r="BG413" s="55" t="s">
        <v>74</v>
      </c>
      <c r="BH413" s="52">
        <v>0</v>
      </c>
      <c r="BI413" s="52">
        <v>15977061.779999999</v>
      </c>
      <c r="BJ413" s="52">
        <v>15977061.779999999</v>
      </c>
      <c r="BK413" s="56">
        <v>43497</v>
      </c>
      <c r="BL413" s="57">
        <v>15977061.779999999</v>
      </c>
      <c r="BM413" s="47">
        <v>0</v>
      </c>
      <c r="BN413" s="9"/>
      <c r="BO413" s="9"/>
      <c r="BP413" s="9"/>
      <c r="BQ413" s="9"/>
      <c r="BR413" s="9"/>
      <c r="BS413" s="9"/>
      <c r="BT413" s="9"/>
      <c r="BU413" s="9"/>
      <c r="BV413" s="9"/>
      <c r="BW413" s="9"/>
    </row>
    <row r="414" spans="1:75" ht="64.5" hidden="1" outlineLevel="2" x14ac:dyDescent="0.25">
      <c r="A414" s="43" t="s">
        <v>534</v>
      </c>
      <c r="B414" s="110" t="s">
        <v>535</v>
      </c>
      <c r="C414" s="45">
        <v>2019</v>
      </c>
      <c r="D414" s="110" t="s">
        <v>77</v>
      </c>
      <c r="E414" s="47">
        <v>20729213.16</v>
      </c>
      <c r="F414" s="47">
        <v>0</v>
      </c>
      <c r="G414" s="47">
        <v>0</v>
      </c>
      <c r="H414" s="47">
        <v>0</v>
      </c>
      <c r="I414" s="47">
        <v>0</v>
      </c>
      <c r="J414" s="47">
        <v>0</v>
      </c>
      <c r="K414" s="47">
        <v>0</v>
      </c>
      <c r="L414" s="47">
        <v>0</v>
      </c>
      <c r="M414" s="47">
        <v>0</v>
      </c>
      <c r="N414" s="47">
        <v>0</v>
      </c>
      <c r="O414" s="47">
        <v>0</v>
      </c>
      <c r="P414" s="47">
        <v>0</v>
      </c>
      <c r="Q414" s="47">
        <v>0</v>
      </c>
      <c r="R414" s="47">
        <v>0</v>
      </c>
      <c r="S414" s="47">
        <v>0</v>
      </c>
      <c r="T414" s="47">
        <v>0</v>
      </c>
      <c r="U414" s="47">
        <v>0</v>
      </c>
      <c r="V414" s="47">
        <v>0</v>
      </c>
      <c r="W414" s="47">
        <v>0</v>
      </c>
      <c r="X414" s="47">
        <v>0</v>
      </c>
      <c r="Y414" s="48">
        <v>20729213.16</v>
      </c>
      <c r="Z414" s="58">
        <v>4872853.1100000003</v>
      </c>
      <c r="AA414" s="50">
        <v>4760840.76</v>
      </c>
      <c r="AB414" s="50">
        <v>0</v>
      </c>
      <c r="AC414" s="50">
        <v>9799.42</v>
      </c>
      <c r="AD414" s="50">
        <v>129038.68</v>
      </c>
      <c r="AE414" s="50">
        <v>0</v>
      </c>
      <c r="AF414" s="50">
        <v>0</v>
      </c>
      <c r="AG414" s="49">
        <v>4899678.8600000003</v>
      </c>
      <c r="AH414" s="51" t="s">
        <v>540</v>
      </c>
      <c r="AI414" s="51" t="s">
        <v>74</v>
      </c>
      <c r="AJ414" s="51" t="s">
        <v>133</v>
      </c>
      <c r="AK414" s="51" t="s">
        <v>134</v>
      </c>
      <c r="AL414" s="51" t="s">
        <v>74</v>
      </c>
      <c r="AM414" s="51" t="s">
        <v>74</v>
      </c>
      <c r="AN414" s="52">
        <v>0</v>
      </c>
      <c r="AO414" s="52">
        <v>0</v>
      </c>
      <c r="AP414" s="52">
        <v>0</v>
      </c>
      <c r="AQ414" s="52">
        <v>0</v>
      </c>
      <c r="AR414" s="52">
        <v>0</v>
      </c>
      <c r="AS414" s="52">
        <v>0</v>
      </c>
      <c r="AT414" s="53" t="s">
        <v>74</v>
      </c>
      <c r="AU414" s="52">
        <v>0</v>
      </c>
      <c r="AV414" s="52"/>
      <c r="AW414" s="52">
        <v>0</v>
      </c>
      <c r="AX414" s="52"/>
      <c r="AY414" s="52"/>
      <c r="AZ414" s="52">
        <v>0</v>
      </c>
      <c r="BA414" s="52">
        <v>0</v>
      </c>
      <c r="BB414" s="54" t="s">
        <v>74</v>
      </c>
      <c r="BC414" s="53" t="s">
        <v>74</v>
      </c>
      <c r="BD414" s="55" t="s">
        <v>74</v>
      </c>
      <c r="BE414" s="55" t="s">
        <v>74</v>
      </c>
      <c r="BF414" s="55" t="s">
        <v>74</v>
      </c>
      <c r="BG414" s="55" t="s">
        <v>74</v>
      </c>
      <c r="BH414" s="52">
        <v>0</v>
      </c>
      <c r="BI414" s="52">
        <v>15829534.300000001</v>
      </c>
      <c r="BJ414" s="52">
        <v>15829534.300000001</v>
      </c>
      <c r="BK414" s="56">
        <v>43525</v>
      </c>
      <c r="BL414" s="57">
        <v>15829534.300000001</v>
      </c>
      <c r="BM414" s="47">
        <v>0</v>
      </c>
      <c r="BN414" s="9"/>
      <c r="BO414" s="9"/>
      <c r="BP414" s="9"/>
      <c r="BQ414" s="9"/>
      <c r="BR414" s="9"/>
      <c r="BS414" s="9"/>
      <c r="BT414" s="9"/>
      <c r="BU414" s="9"/>
      <c r="BV414" s="9"/>
      <c r="BW414" s="9"/>
    </row>
    <row r="415" spans="1:75" ht="64.5" hidden="1" outlineLevel="2" x14ac:dyDescent="0.25">
      <c r="A415" s="43" t="s">
        <v>534</v>
      </c>
      <c r="B415" s="110" t="s">
        <v>535</v>
      </c>
      <c r="C415" s="45">
        <v>2019</v>
      </c>
      <c r="D415" s="110" t="s">
        <v>79</v>
      </c>
      <c r="E415" s="47">
        <v>20729213.16</v>
      </c>
      <c r="F415" s="47">
        <v>0</v>
      </c>
      <c r="G415" s="47">
        <v>0</v>
      </c>
      <c r="H415" s="47">
        <v>0</v>
      </c>
      <c r="I415" s="47">
        <v>0</v>
      </c>
      <c r="J415" s="47">
        <v>0</v>
      </c>
      <c r="K415" s="47">
        <v>0</v>
      </c>
      <c r="L415" s="47">
        <v>0</v>
      </c>
      <c r="M415" s="47">
        <v>0</v>
      </c>
      <c r="N415" s="47">
        <v>0</v>
      </c>
      <c r="O415" s="47">
        <v>0</v>
      </c>
      <c r="P415" s="47">
        <v>0</v>
      </c>
      <c r="Q415" s="47">
        <v>0</v>
      </c>
      <c r="R415" s="47">
        <v>0</v>
      </c>
      <c r="S415" s="47">
        <v>0</v>
      </c>
      <c r="T415" s="47">
        <v>0</v>
      </c>
      <c r="U415" s="47">
        <v>0</v>
      </c>
      <c r="V415" s="47">
        <v>0</v>
      </c>
      <c r="W415" s="47">
        <v>0</v>
      </c>
      <c r="X415" s="47">
        <v>0</v>
      </c>
      <c r="Y415" s="48">
        <v>20729213.16</v>
      </c>
      <c r="Z415" s="58">
        <v>4762481.08</v>
      </c>
      <c r="AA415" s="50">
        <v>4760840.76</v>
      </c>
      <c r="AB415" s="50">
        <v>112012.35</v>
      </c>
      <c r="AC415" s="50">
        <v>9948.48</v>
      </c>
      <c r="AD415" s="50">
        <v>146786.34</v>
      </c>
      <c r="AE415" s="50">
        <v>0</v>
      </c>
      <c r="AF415" s="50">
        <v>0</v>
      </c>
      <c r="AG415" s="49">
        <v>5029587.93</v>
      </c>
      <c r="AH415" s="51" t="s">
        <v>541</v>
      </c>
      <c r="AI415" s="51" t="s">
        <v>542</v>
      </c>
      <c r="AJ415" s="51" t="s">
        <v>436</v>
      </c>
      <c r="AK415" s="51" t="s">
        <v>259</v>
      </c>
      <c r="AL415" s="51" t="s">
        <v>74</v>
      </c>
      <c r="AM415" s="51" t="s">
        <v>74</v>
      </c>
      <c r="AN415" s="52">
        <v>0</v>
      </c>
      <c r="AO415" s="52">
        <v>0</v>
      </c>
      <c r="AP415" s="52">
        <v>0</v>
      </c>
      <c r="AQ415" s="52">
        <v>0</v>
      </c>
      <c r="AR415" s="52">
        <v>0</v>
      </c>
      <c r="AS415" s="52">
        <v>0</v>
      </c>
      <c r="AT415" s="53" t="s">
        <v>74</v>
      </c>
      <c r="AU415" s="52">
        <v>0</v>
      </c>
      <c r="AV415" s="52"/>
      <c r="AW415" s="52">
        <v>0</v>
      </c>
      <c r="AX415" s="52"/>
      <c r="AY415" s="52"/>
      <c r="AZ415" s="52">
        <v>0</v>
      </c>
      <c r="BA415" s="52">
        <v>0</v>
      </c>
      <c r="BB415" s="54" t="s">
        <v>74</v>
      </c>
      <c r="BC415" s="53" t="s">
        <v>74</v>
      </c>
      <c r="BD415" s="55" t="s">
        <v>74</v>
      </c>
      <c r="BE415" s="55" t="s">
        <v>74</v>
      </c>
      <c r="BF415" s="55" t="s">
        <v>74</v>
      </c>
      <c r="BG415" s="55" t="s">
        <v>74</v>
      </c>
      <c r="BH415" s="52">
        <v>0</v>
      </c>
      <c r="BI415" s="52">
        <v>15699625.23</v>
      </c>
      <c r="BJ415" s="52">
        <v>15699625.23</v>
      </c>
      <c r="BK415" s="56">
        <v>43556</v>
      </c>
      <c r="BL415" s="57">
        <v>15699625.23</v>
      </c>
      <c r="BM415" s="47">
        <v>0</v>
      </c>
      <c r="BN415" s="9"/>
      <c r="BO415" s="9"/>
      <c r="BP415" s="9"/>
      <c r="BQ415" s="9"/>
      <c r="BR415" s="9"/>
      <c r="BS415" s="9"/>
      <c r="BT415" s="9"/>
      <c r="BU415" s="9"/>
      <c r="BV415" s="9"/>
      <c r="BW415" s="9"/>
    </row>
    <row r="416" spans="1:75" ht="64.5" hidden="1" outlineLevel="2" x14ac:dyDescent="0.25">
      <c r="A416" s="43" t="s">
        <v>534</v>
      </c>
      <c r="B416" s="110" t="s">
        <v>535</v>
      </c>
      <c r="C416" s="45">
        <v>2019</v>
      </c>
      <c r="D416" s="110" t="s">
        <v>81</v>
      </c>
      <c r="E416" s="47">
        <v>17965318.072000001</v>
      </c>
      <c r="F416" s="47">
        <v>2211116.06</v>
      </c>
      <c r="G416" s="47">
        <v>0</v>
      </c>
      <c r="H416" s="47">
        <v>0</v>
      </c>
      <c r="I416" s="47">
        <v>0</v>
      </c>
      <c r="J416" s="47">
        <v>0</v>
      </c>
      <c r="K416" s="47">
        <v>0</v>
      </c>
      <c r="L416" s="47">
        <v>0</v>
      </c>
      <c r="M416" s="47">
        <v>0</v>
      </c>
      <c r="N416" s="47">
        <v>0</v>
      </c>
      <c r="O416" s="47">
        <v>0</v>
      </c>
      <c r="P416" s="47">
        <v>0</v>
      </c>
      <c r="Q416" s="47">
        <v>0</v>
      </c>
      <c r="R416" s="47">
        <v>0</v>
      </c>
      <c r="S416" s="47">
        <v>0</v>
      </c>
      <c r="T416" s="47">
        <v>0</v>
      </c>
      <c r="U416" s="47">
        <v>0</v>
      </c>
      <c r="V416" s="47">
        <v>0</v>
      </c>
      <c r="W416" s="47">
        <v>0</v>
      </c>
      <c r="X416" s="47">
        <v>0</v>
      </c>
      <c r="Y416" s="48">
        <v>20176434.131999999</v>
      </c>
      <c r="Z416" s="58">
        <v>4757221.84</v>
      </c>
      <c r="AA416" s="50">
        <v>4757221.84</v>
      </c>
      <c r="AB416" s="50">
        <v>1640.32</v>
      </c>
      <c r="AC416" s="50">
        <v>17285.599999999999</v>
      </c>
      <c r="AD416" s="50">
        <v>263041.23</v>
      </c>
      <c r="AE416" s="50">
        <v>0</v>
      </c>
      <c r="AF416" s="50">
        <v>0</v>
      </c>
      <c r="AG416" s="49">
        <v>5039188.99</v>
      </c>
      <c r="AH416" s="51" t="s">
        <v>104</v>
      </c>
      <c r="AI416" s="51" t="s">
        <v>543</v>
      </c>
      <c r="AJ416" s="51" t="s">
        <v>544</v>
      </c>
      <c r="AK416" s="51" t="s">
        <v>545</v>
      </c>
      <c r="AL416" s="51" t="s">
        <v>74</v>
      </c>
      <c r="AM416" s="51" t="s">
        <v>74</v>
      </c>
      <c r="AN416" s="52">
        <v>0</v>
      </c>
      <c r="AO416" s="52">
        <v>0</v>
      </c>
      <c r="AP416" s="52">
        <v>0</v>
      </c>
      <c r="AQ416" s="52">
        <v>0</v>
      </c>
      <c r="AR416" s="52">
        <v>0</v>
      </c>
      <c r="AS416" s="52">
        <v>0</v>
      </c>
      <c r="AT416" s="53" t="s">
        <v>74</v>
      </c>
      <c r="AU416" s="52">
        <v>0</v>
      </c>
      <c r="AV416" s="52"/>
      <c r="AW416" s="52">
        <v>0</v>
      </c>
      <c r="AX416" s="52"/>
      <c r="AY416" s="52"/>
      <c r="AZ416" s="52">
        <v>0</v>
      </c>
      <c r="BA416" s="52">
        <v>0</v>
      </c>
      <c r="BB416" s="54" t="s">
        <v>74</v>
      </c>
      <c r="BC416" s="53" t="s">
        <v>74</v>
      </c>
      <c r="BD416" s="55" t="s">
        <v>74</v>
      </c>
      <c r="BE416" s="55" t="s">
        <v>74</v>
      </c>
      <c r="BF416" s="55" t="s">
        <v>74</v>
      </c>
      <c r="BG416" s="55" t="s">
        <v>74</v>
      </c>
      <c r="BH416" s="52">
        <v>0</v>
      </c>
      <c r="BI416" s="52">
        <v>15137245.142000001</v>
      </c>
      <c r="BJ416" s="52">
        <v>15137245.142000001</v>
      </c>
      <c r="BK416" s="56">
        <v>43586</v>
      </c>
      <c r="BL416" s="57">
        <v>15137245.140000001</v>
      </c>
      <c r="BM416" s="47">
        <v>0</v>
      </c>
      <c r="BN416" s="9"/>
      <c r="BO416" s="9"/>
      <c r="BP416" s="9"/>
      <c r="BQ416" s="9"/>
      <c r="BR416" s="9"/>
      <c r="BS416" s="9"/>
      <c r="BT416" s="9"/>
      <c r="BU416" s="9"/>
      <c r="BV416" s="9"/>
      <c r="BW416" s="9"/>
    </row>
    <row r="417" spans="1:75" ht="26.25" hidden="1" outlineLevel="2" x14ac:dyDescent="0.25">
      <c r="A417" s="43" t="s">
        <v>534</v>
      </c>
      <c r="B417" s="110" t="s">
        <v>535</v>
      </c>
      <c r="C417" s="45">
        <v>2019</v>
      </c>
      <c r="D417" s="113" t="s">
        <v>83</v>
      </c>
      <c r="E417" s="47">
        <v>0</v>
      </c>
      <c r="F417" s="47">
        <v>16583370.529999999</v>
      </c>
      <c r="G417" s="47">
        <v>0</v>
      </c>
      <c r="H417" s="47">
        <v>0</v>
      </c>
      <c r="I417" s="47">
        <v>0</v>
      </c>
      <c r="J417" s="47">
        <v>0</v>
      </c>
      <c r="K417" s="47">
        <v>0</v>
      </c>
      <c r="L417" s="47">
        <v>0</v>
      </c>
      <c r="M417" s="47">
        <v>0</v>
      </c>
      <c r="N417" s="47">
        <v>0</v>
      </c>
      <c r="O417" s="47">
        <v>0</v>
      </c>
      <c r="P417" s="47">
        <v>0</v>
      </c>
      <c r="Q417" s="47">
        <v>0</v>
      </c>
      <c r="R417" s="47">
        <v>0</v>
      </c>
      <c r="S417" s="47">
        <v>0</v>
      </c>
      <c r="T417" s="47">
        <v>0</v>
      </c>
      <c r="U417" s="47">
        <v>0</v>
      </c>
      <c r="V417" s="47">
        <v>0</v>
      </c>
      <c r="W417" s="47">
        <v>0</v>
      </c>
      <c r="X417" s="47">
        <v>0</v>
      </c>
      <c r="Y417" s="48">
        <v>16583370.529999999</v>
      </c>
      <c r="Z417" s="58">
        <v>4620337.38</v>
      </c>
      <c r="AA417" s="50">
        <v>4620337.38</v>
      </c>
      <c r="AB417" s="50">
        <v>0</v>
      </c>
      <c r="AC417" s="50">
        <v>0</v>
      </c>
      <c r="AD417" s="50">
        <v>0</v>
      </c>
      <c r="AE417" s="50">
        <v>0</v>
      </c>
      <c r="AF417" s="50">
        <v>0</v>
      </c>
      <c r="AG417" s="49">
        <v>4620337.38</v>
      </c>
      <c r="AH417" s="51" t="s">
        <v>104</v>
      </c>
      <c r="AI417" s="51" t="s">
        <v>74</v>
      </c>
      <c r="AJ417" s="51" t="s">
        <v>74</v>
      </c>
      <c r="AK417" s="51" t="s">
        <v>74</v>
      </c>
      <c r="AL417" s="51" t="s">
        <v>74</v>
      </c>
      <c r="AM417" s="51" t="s">
        <v>74</v>
      </c>
      <c r="AN417" s="52">
        <v>0</v>
      </c>
      <c r="AO417" s="52">
        <v>0</v>
      </c>
      <c r="AP417" s="52">
        <v>0</v>
      </c>
      <c r="AQ417" s="52">
        <v>0</v>
      </c>
      <c r="AR417" s="52">
        <v>0</v>
      </c>
      <c r="AS417" s="52">
        <v>0</v>
      </c>
      <c r="AT417" s="53" t="s">
        <v>74</v>
      </c>
      <c r="AU417" s="52">
        <v>0</v>
      </c>
      <c r="AV417" s="52"/>
      <c r="AW417" s="52">
        <v>0</v>
      </c>
      <c r="AX417" s="52"/>
      <c r="AY417" s="52"/>
      <c r="AZ417" s="52">
        <v>0</v>
      </c>
      <c r="BA417" s="52">
        <v>0</v>
      </c>
      <c r="BB417" s="54" t="s">
        <v>74</v>
      </c>
      <c r="BC417" s="53" t="s">
        <v>74</v>
      </c>
      <c r="BD417" s="55" t="s">
        <v>74</v>
      </c>
      <c r="BE417" s="55" t="s">
        <v>74</v>
      </c>
      <c r="BF417" s="55" t="s">
        <v>74</v>
      </c>
      <c r="BG417" s="55" t="s">
        <v>74</v>
      </c>
      <c r="BH417" s="52">
        <v>0</v>
      </c>
      <c r="BI417" s="52">
        <v>11963033.15</v>
      </c>
      <c r="BJ417" s="52">
        <v>11963033.15</v>
      </c>
      <c r="BK417" s="56">
        <v>43617</v>
      </c>
      <c r="BL417" s="57">
        <v>11963033.15</v>
      </c>
      <c r="BM417" s="47">
        <v>0</v>
      </c>
      <c r="BN417" s="9"/>
      <c r="BO417" s="9"/>
      <c r="BP417" s="9"/>
      <c r="BQ417" s="9"/>
      <c r="BR417" s="9"/>
      <c r="BS417" s="9"/>
      <c r="BT417" s="9"/>
      <c r="BU417" s="9"/>
      <c r="BV417" s="9"/>
      <c r="BW417" s="9"/>
    </row>
    <row r="418" spans="1:75" ht="49.5" hidden="1" customHeight="1" outlineLevel="2" x14ac:dyDescent="0.25">
      <c r="A418" s="43" t="s">
        <v>534</v>
      </c>
      <c r="B418" s="110" t="s">
        <v>535</v>
      </c>
      <c r="C418" s="45">
        <v>2019</v>
      </c>
      <c r="D418" s="113" t="s">
        <v>84</v>
      </c>
      <c r="E418" s="47">
        <v>0</v>
      </c>
      <c r="F418" s="47">
        <v>16583370.529999999</v>
      </c>
      <c r="G418" s="47">
        <v>0</v>
      </c>
      <c r="H418" s="47">
        <v>0</v>
      </c>
      <c r="I418" s="47">
        <v>0</v>
      </c>
      <c r="J418" s="47">
        <v>0</v>
      </c>
      <c r="K418" s="47">
        <v>0</v>
      </c>
      <c r="L418" s="47">
        <v>0</v>
      </c>
      <c r="M418" s="47">
        <v>0</v>
      </c>
      <c r="N418" s="47">
        <v>0</v>
      </c>
      <c r="O418" s="47">
        <v>0</v>
      </c>
      <c r="P418" s="47">
        <v>0</v>
      </c>
      <c r="Q418" s="47">
        <v>0</v>
      </c>
      <c r="R418" s="47">
        <v>0</v>
      </c>
      <c r="S418" s="47">
        <v>0</v>
      </c>
      <c r="T418" s="47">
        <v>0</v>
      </c>
      <c r="U418" s="47">
        <v>0</v>
      </c>
      <c r="V418" s="47">
        <v>0</v>
      </c>
      <c r="W418" s="47">
        <v>0</v>
      </c>
      <c r="X418" s="47">
        <v>0</v>
      </c>
      <c r="Y418" s="48">
        <v>16583370.529999999</v>
      </c>
      <c r="Z418" s="58">
        <v>4783857.6399999997</v>
      </c>
      <c r="AA418" s="50">
        <v>4757221.84</v>
      </c>
      <c r="AB418" s="50">
        <v>0</v>
      </c>
      <c r="AC418" s="50">
        <v>10660.05</v>
      </c>
      <c r="AD418" s="50">
        <v>133072.89000000001</v>
      </c>
      <c r="AE418" s="50">
        <v>0</v>
      </c>
      <c r="AF418" s="50">
        <v>0</v>
      </c>
      <c r="AG418" s="49">
        <v>4900954.78</v>
      </c>
      <c r="AH418" s="51" t="s">
        <v>546</v>
      </c>
      <c r="AI418" s="51" t="s">
        <v>74</v>
      </c>
      <c r="AJ418" s="51" t="s">
        <v>547</v>
      </c>
      <c r="AK418" s="51" t="s">
        <v>548</v>
      </c>
      <c r="AL418" s="51" t="s">
        <v>74</v>
      </c>
      <c r="AM418" s="51" t="s">
        <v>74</v>
      </c>
      <c r="AN418" s="52">
        <v>0</v>
      </c>
      <c r="AO418" s="52">
        <v>0</v>
      </c>
      <c r="AP418" s="52">
        <v>0</v>
      </c>
      <c r="AQ418" s="52">
        <v>0</v>
      </c>
      <c r="AR418" s="52">
        <v>0</v>
      </c>
      <c r="AS418" s="52">
        <v>0</v>
      </c>
      <c r="AT418" s="53" t="s">
        <v>74</v>
      </c>
      <c r="AU418" s="52">
        <v>0</v>
      </c>
      <c r="AV418" s="52"/>
      <c r="AW418" s="52">
        <v>0</v>
      </c>
      <c r="AX418" s="52"/>
      <c r="AY418" s="52"/>
      <c r="AZ418" s="52">
        <v>0</v>
      </c>
      <c r="BA418" s="52">
        <v>0</v>
      </c>
      <c r="BB418" s="54" t="s">
        <v>74</v>
      </c>
      <c r="BC418" s="53" t="s">
        <v>74</v>
      </c>
      <c r="BD418" s="55" t="s">
        <v>74</v>
      </c>
      <c r="BE418" s="55" t="s">
        <v>74</v>
      </c>
      <c r="BF418" s="55" t="s">
        <v>74</v>
      </c>
      <c r="BG418" s="55" t="s">
        <v>74</v>
      </c>
      <c r="BH418" s="52">
        <v>0</v>
      </c>
      <c r="BI418" s="52">
        <v>11682415.75</v>
      </c>
      <c r="BJ418" s="52">
        <v>11682415.75</v>
      </c>
      <c r="BK418" s="56">
        <v>43647</v>
      </c>
      <c r="BL418" s="57">
        <v>11682415.75</v>
      </c>
      <c r="BM418" s="47">
        <v>0</v>
      </c>
      <c r="BN418" s="9"/>
      <c r="BO418" s="9"/>
      <c r="BP418" s="9"/>
      <c r="BQ418" s="9"/>
      <c r="BR418" s="9"/>
      <c r="BS418" s="9"/>
      <c r="BT418" s="9"/>
      <c r="BU418" s="9"/>
      <c r="BV418" s="9"/>
      <c r="BW418" s="9"/>
    </row>
    <row r="419" spans="1:75" ht="117.75" hidden="1" customHeight="1" outlineLevel="2" x14ac:dyDescent="0.25">
      <c r="A419" s="43" t="s">
        <v>534</v>
      </c>
      <c r="B419" s="110" t="s">
        <v>535</v>
      </c>
      <c r="C419" s="45">
        <v>2019</v>
      </c>
      <c r="D419" s="113" t="s">
        <v>86</v>
      </c>
      <c r="E419" s="47">
        <v>0</v>
      </c>
      <c r="F419" s="134">
        <v>14372254.470000001</v>
      </c>
      <c r="G419" s="47">
        <v>3869453.12</v>
      </c>
      <c r="H419" s="47">
        <v>0</v>
      </c>
      <c r="I419" s="47">
        <v>0</v>
      </c>
      <c r="J419" s="47">
        <v>0</v>
      </c>
      <c r="K419" s="47">
        <v>0</v>
      </c>
      <c r="L419" s="47">
        <v>0</v>
      </c>
      <c r="M419" s="47">
        <v>0</v>
      </c>
      <c r="N419" s="47">
        <v>0</v>
      </c>
      <c r="O419" s="47">
        <v>0</v>
      </c>
      <c r="P419" s="47">
        <v>0</v>
      </c>
      <c r="Q419" s="47">
        <v>0</v>
      </c>
      <c r="R419" s="47">
        <v>0</v>
      </c>
      <c r="S419" s="47">
        <v>0</v>
      </c>
      <c r="T419" s="47">
        <v>0</v>
      </c>
      <c r="U419" s="47">
        <v>0</v>
      </c>
      <c r="V419" s="47">
        <v>0</v>
      </c>
      <c r="W419" s="47">
        <v>0</v>
      </c>
      <c r="X419" s="47">
        <v>0</v>
      </c>
      <c r="Y419" s="48">
        <v>18241707.59</v>
      </c>
      <c r="Z419" s="58">
        <v>4868761.8899999997</v>
      </c>
      <c r="AA419" s="50">
        <f>4757221.84+111540.05</f>
        <v>4868761.8899999997</v>
      </c>
      <c r="AB419" s="50">
        <v>26635.8</v>
      </c>
      <c r="AC419" s="50">
        <v>16765.150000000001</v>
      </c>
      <c r="AD419" s="50">
        <v>232809.63</v>
      </c>
      <c r="AE419" s="50">
        <v>185281.61</v>
      </c>
      <c r="AF419" s="50">
        <v>0</v>
      </c>
      <c r="AG419" s="49">
        <v>5330254.08</v>
      </c>
      <c r="AH419" s="51" t="s">
        <v>549</v>
      </c>
      <c r="AI419" s="51" t="s">
        <v>550</v>
      </c>
      <c r="AJ419" s="51" t="s">
        <v>551</v>
      </c>
      <c r="AK419" s="51" t="s">
        <v>552</v>
      </c>
      <c r="AL419" s="51" t="s">
        <v>553</v>
      </c>
      <c r="AM419" s="51" t="s">
        <v>74</v>
      </c>
      <c r="AN419" s="52">
        <v>0</v>
      </c>
      <c r="AO419" s="52">
        <v>0</v>
      </c>
      <c r="AP419" s="52">
        <v>0</v>
      </c>
      <c r="AQ419" s="52">
        <v>0</v>
      </c>
      <c r="AR419" s="52">
        <v>0</v>
      </c>
      <c r="AS419" s="52">
        <v>0</v>
      </c>
      <c r="AT419" s="53" t="s">
        <v>74</v>
      </c>
      <c r="AU419" s="52">
        <v>0</v>
      </c>
      <c r="AV419" s="52"/>
      <c r="AW419" s="52">
        <v>0</v>
      </c>
      <c r="AX419" s="52"/>
      <c r="AY419" s="52"/>
      <c r="AZ419" s="52">
        <v>0</v>
      </c>
      <c r="BA419" s="52">
        <v>0</v>
      </c>
      <c r="BB419" s="54" t="s">
        <v>74</v>
      </c>
      <c r="BC419" s="53" t="s">
        <v>74</v>
      </c>
      <c r="BD419" s="55" t="s">
        <v>74</v>
      </c>
      <c r="BE419" s="55" t="s">
        <v>74</v>
      </c>
      <c r="BF419" s="55" t="s">
        <v>74</v>
      </c>
      <c r="BG419" s="55" t="s">
        <v>74</v>
      </c>
      <c r="BH419" s="52">
        <v>0</v>
      </c>
      <c r="BI419" s="52">
        <v>12911453.51</v>
      </c>
      <c r="BJ419" s="52">
        <v>12911453.51</v>
      </c>
      <c r="BK419" s="56">
        <v>43678</v>
      </c>
      <c r="BL419" s="57">
        <v>12911453.51</v>
      </c>
      <c r="BM419" s="47">
        <v>0</v>
      </c>
      <c r="BN419" s="9"/>
      <c r="BO419" s="9"/>
      <c r="BP419" s="9"/>
      <c r="BQ419" s="9"/>
      <c r="BR419" s="9"/>
      <c r="BS419" s="9"/>
      <c r="BT419" s="9"/>
      <c r="BU419" s="9"/>
      <c r="BV419" s="9"/>
      <c r="BW419" s="9"/>
    </row>
    <row r="420" spans="1:75" ht="64.5" hidden="1" outlineLevel="2" x14ac:dyDescent="0.25">
      <c r="A420" s="43" t="s">
        <v>534</v>
      </c>
      <c r="B420" s="110" t="s">
        <v>535</v>
      </c>
      <c r="C420" s="45">
        <v>2019</v>
      </c>
      <c r="D420" s="110" t="s">
        <v>88</v>
      </c>
      <c r="E420" s="47">
        <v>0</v>
      </c>
      <c r="F420" s="47">
        <v>0</v>
      </c>
      <c r="G420" s="47">
        <v>16583370.529999999</v>
      </c>
      <c r="H420" s="47">
        <v>0</v>
      </c>
      <c r="I420" s="47">
        <v>0</v>
      </c>
      <c r="J420" s="47">
        <v>0</v>
      </c>
      <c r="K420" s="47">
        <v>0</v>
      </c>
      <c r="L420" s="47">
        <v>0</v>
      </c>
      <c r="M420" s="47">
        <v>0</v>
      </c>
      <c r="N420" s="47">
        <v>0</v>
      </c>
      <c r="O420" s="47">
        <v>0</v>
      </c>
      <c r="P420" s="47">
        <v>0</v>
      </c>
      <c r="Q420" s="47">
        <v>0</v>
      </c>
      <c r="R420" s="47">
        <v>0</v>
      </c>
      <c r="S420" s="47">
        <v>0</v>
      </c>
      <c r="T420" s="47">
        <v>0</v>
      </c>
      <c r="U420" s="47">
        <v>0</v>
      </c>
      <c r="V420" s="47">
        <v>0</v>
      </c>
      <c r="W420" s="47">
        <v>0</v>
      </c>
      <c r="X420" s="47">
        <v>0</v>
      </c>
      <c r="Y420" s="48">
        <v>16583370.529999999</v>
      </c>
      <c r="Z420" s="58">
        <v>4782466.59</v>
      </c>
      <c r="AA420" s="50">
        <v>4782466.59</v>
      </c>
      <c r="AB420" s="50">
        <v>0</v>
      </c>
      <c r="AC420" s="50">
        <v>11046.65</v>
      </c>
      <c r="AD420" s="50">
        <v>113592.06</v>
      </c>
      <c r="AE420" s="50">
        <v>0</v>
      </c>
      <c r="AF420" s="50">
        <v>0</v>
      </c>
      <c r="AG420" s="49">
        <v>4907105.3</v>
      </c>
      <c r="AH420" s="51" t="s">
        <v>104</v>
      </c>
      <c r="AI420" s="51" t="s">
        <v>74</v>
      </c>
      <c r="AJ420" s="51" t="s">
        <v>554</v>
      </c>
      <c r="AK420" s="51" t="s">
        <v>555</v>
      </c>
      <c r="AL420" s="51" t="s">
        <v>74</v>
      </c>
      <c r="AM420" s="51" t="s">
        <v>74</v>
      </c>
      <c r="AN420" s="52">
        <v>0</v>
      </c>
      <c r="AO420" s="52">
        <v>0</v>
      </c>
      <c r="AP420" s="52">
        <v>0</v>
      </c>
      <c r="AQ420" s="52">
        <v>0</v>
      </c>
      <c r="AR420" s="52">
        <v>0</v>
      </c>
      <c r="AS420" s="52">
        <v>0</v>
      </c>
      <c r="AT420" s="53" t="s">
        <v>74</v>
      </c>
      <c r="AU420" s="52">
        <v>0</v>
      </c>
      <c r="AV420" s="52"/>
      <c r="AW420" s="52">
        <v>0</v>
      </c>
      <c r="AX420" s="52"/>
      <c r="AY420" s="52"/>
      <c r="AZ420" s="52">
        <v>0</v>
      </c>
      <c r="BA420" s="52">
        <v>0</v>
      </c>
      <c r="BB420" s="54" t="s">
        <v>74</v>
      </c>
      <c r="BC420" s="53" t="s">
        <v>74</v>
      </c>
      <c r="BD420" s="55" t="s">
        <v>74</v>
      </c>
      <c r="BE420" s="55" t="s">
        <v>74</v>
      </c>
      <c r="BF420" s="55" t="s">
        <v>74</v>
      </c>
      <c r="BG420" s="55" t="s">
        <v>74</v>
      </c>
      <c r="BH420" s="52">
        <v>0</v>
      </c>
      <c r="BI420" s="52">
        <v>11676265.23</v>
      </c>
      <c r="BJ420" s="52">
        <v>11676265.23</v>
      </c>
      <c r="BK420" s="56">
        <v>43709</v>
      </c>
      <c r="BL420" s="57">
        <v>11676265.23</v>
      </c>
      <c r="BM420" s="47">
        <v>0</v>
      </c>
      <c r="BN420" s="9"/>
      <c r="BO420" s="9"/>
      <c r="BP420" s="9"/>
      <c r="BQ420" s="9"/>
      <c r="BR420" s="9"/>
      <c r="BS420" s="9"/>
      <c r="BT420" s="9"/>
      <c r="BU420" s="9"/>
      <c r="BV420" s="9"/>
      <c r="BW420" s="9"/>
    </row>
    <row r="421" spans="1:75" ht="39" hidden="1" outlineLevel="2" x14ac:dyDescent="0.25">
      <c r="A421" s="43" t="s">
        <v>534</v>
      </c>
      <c r="B421" s="110" t="s">
        <v>535</v>
      </c>
      <c r="C421" s="45">
        <v>2019</v>
      </c>
      <c r="D421" s="110" t="s">
        <v>89</v>
      </c>
      <c r="E421" s="47">
        <v>0</v>
      </c>
      <c r="F421" s="47">
        <v>0</v>
      </c>
      <c r="G421" s="47">
        <v>0</v>
      </c>
      <c r="H421" s="47">
        <v>16583370.529999999</v>
      </c>
      <c r="I421" s="47">
        <v>0</v>
      </c>
      <c r="J421" s="47">
        <v>0</v>
      </c>
      <c r="K421" s="47">
        <v>0</v>
      </c>
      <c r="L421" s="47">
        <v>0</v>
      </c>
      <c r="M421" s="47">
        <v>0</v>
      </c>
      <c r="N421" s="47">
        <v>0</v>
      </c>
      <c r="O421" s="47">
        <v>0</v>
      </c>
      <c r="P421" s="47">
        <v>0</v>
      </c>
      <c r="Q421" s="47">
        <v>0</v>
      </c>
      <c r="R421" s="47">
        <v>0</v>
      </c>
      <c r="S421" s="47">
        <v>0</v>
      </c>
      <c r="T421" s="47">
        <v>0</v>
      </c>
      <c r="U421" s="47">
        <v>0</v>
      </c>
      <c r="V421" s="47">
        <v>0</v>
      </c>
      <c r="W421" s="47">
        <v>0</v>
      </c>
      <c r="X421" s="47">
        <v>0</v>
      </c>
      <c r="Y421" s="48">
        <v>16583370.529999999</v>
      </c>
      <c r="Z421" s="58">
        <v>4735691.7699999996</v>
      </c>
      <c r="AA421" s="50">
        <v>4735691.7699999996</v>
      </c>
      <c r="AB421" s="50">
        <v>0</v>
      </c>
      <c r="AC421" s="50">
        <v>9008.7199999999993</v>
      </c>
      <c r="AD421" s="50">
        <v>142028.82</v>
      </c>
      <c r="AE421" s="50">
        <v>0</v>
      </c>
      <c r="AF421" s="50">
        <v>0</v>
      </c>
      <c r="AG421" s="49">
        <v>4886729.3099999996</v>
      </c>
      <c r="AH421" s="51" t="s">
        <v>104</v>
      </c>
      <c r="AI421" s="51" t="s">
        <v>74</v>
      </c>
      <c r="AJ421" s="51" t="s">
        <v>556</v>
      </c>
      <c r="AK421" s="51" t="s">
        <v>557</v>
      </c>
      <c r="AL421" s="51" t="s">
        <v>74</v>
      </c>
      <c r="AM421" s="51" t="s">
        <v>74</v>
      </c>
      <c r="AN421" s="52">
        <v>0</v>
      </c>
      <c r="AO421" s="52">
        <v>0</v>
      </c>
      <c r="AP421" s="52">
        <v>0</v>
      </c>
      <c r="AQ421" s="52">
        <v>0</v>
      </c>
      <c r="AR421" s="52">
        <v>0</v>
      </c>
      <c r="AS421" s="52">
        <v>0</v>
      </c>
      <c r="AT421" s="53" t="s">
        <v>74</v>
      </c>
      <c r="AU421" s="52">
        <v>0</v>
      </c>
      <c r="AV421" s="52"/>
      <c r="AW421" s="52">
        <v>0</v>
      </c>
      <c r="AX421" s="52"/>
      <c r="AY421" s="52"/>
      <c r="AZ421" s="52">
        <v>0</v>
      </c>
      <c r="BA421" s="52">
        <v>0</v>
      </c>
      <c r="BB421" s="54" t="s">
        <v>74</v>
      </c>
      <c r="BC421" s="53" t="s">
        <v>74</v>
      </c>
      <c r="BD421" s="55" t="s">
        <v>74</v>
      </c>
      <c r="BE421" s="55" t="s">
        <v>74</v>
      </c>
      <c r="BF421" s="55" t="s">
        <v>74</v>
      </c>
      <c r="BG421" s="55" t="s">
        <v>74</v>
      </c>
      <c r="BH421" s="52">
        <v>0</v>
      </c>
      <c r="BI421" s="52">
        <v>11696641.220000001</v>
      </c>
      <c r="BJ421" s="52">
        <v>11696641.220000001</v>
      </c>
      <c r="BK421" s="56">
        <v>43739</v>
      </c>
      <c r="BL421" s="57">
        <v>11696641.220000001</v>
      </c>
      <c r="BM421" s="47">
        <v>0</v>
      </c>
      <c r="BN421" s="9"/>
      <c r="BO421" s="9"/>
      <c r="BP421" s="9"/>
      <c r="BQ421" s="9"/>
      <c r="BR421" s="9"/>
      <c r="BS421" s="9"/>
      <c r="BT421" s="9"/>
      <c r="BU421" s="9"/>
      <c r="BV421" s="9"/>
      <c r="BW421" s="9"/>
    </row>
    <row r="422" spans="1:75" ht="192" hidden="1" outlineLevel="2" x14ac:dyDescent="0.25">
      <c r="A422" s="71" t="s">
        <v>534</v>
      </c>
      <c r="B422" s="116" t="s">
        <v>535</v>
      </c>
      <c r="C422" s="73">
        <v>2019</v>
      </c>
      <c r="D422" s="116" t="s">
        <v>90</v>
      </c>
      <c r="E422" s="75">
        <v>0</v>
      </c>
      <c r="F422" s="75">
        <v>0</v>
      </c>
      <c r="G422" s="75">
        <v>0</v>
      </c>
      <c r="H422" s="75">
        <v>16583370.529999999</v>
      </c>
      <c r="I422" s="75">
        <v>0</v>
      </c>
      <c r="J422" s="75">
        <v>0</v>
      </c>
      <c r="K422" s="75">
        <v>0</v>
      </c>
      <c r="L422" s="75">
        <v>0</v>
      </c>
      <c r="M422" s="75">
        <v>0</v>
      </c>
      <c r="N422" s="75">
        <v>0</v>
      </c>
      <c r="O422" s="75">
        <v>0</v>
      </c>
      <c r="P422" s="75">
        <v>0</v>
      </c>
      <c r="Q422" s="75">
        <v>0</v>
      </c>
      <c r="R422" s="75">
        <v>0</v>
      </c>
      <c r="S422" s="75">
        <v>0</v>
      </c>
      <c r="T422" s="75">
        <v>0</v>
      </c>
      <c r="U422" s="75">
        <v>0</v>
      </c>
      <c r="V422" s="75">
        <v>0</v>
      </c>
      <c r="W422" s="75">
        <v>0</v>
      </c>
      <c r="X422" s="75">
        <v>0</v>
      </c>
      <c r="Y422" s="76">
        <v>16583370.529999999</v>
      </c>
      <c r="Z422" s="115">
        <v>4755808.21</v>
      </c>
      <c r="AA422" s="79">
        <v>4755808.21</v>
      </c>
      <c r="AB422" s="79">
        <v>0</v>
      </c>
      <c r="AC422" s="79">
        <v>9007.39</v>
      </c>
      <c r="AD422" s="79">
        <v>293615.02</v>
      </c>
      <c r="AE422" s="79">
        <v>3658092.29</v>
      </c>
      <c r="AF422" s="79">
        <v>0</v>
      </c>
      <c r="AG422" s="80">
        <v>8716522.9100000001</v>
      </c>
      <c r="AH422" s="123" t="s">
        <v>104</v>
      </c>
      <c r="AI422" s="123" t="s">
        <v>74</v>
      </c>
      <c r="AJ422" s="123" t="s">
        <v>558</v>
      </c>
      <c r="AK422" s="123" t="s">
        <v>559</v>
      </c>
      <c r="AL422" s="123" t="s">
        <v>560</v>
      </c>
      <c r="AM422" s="123" t="s">
        <v>74</v>
      </c>
      <c r="AN422" s="82">
        <v>0</v>
      </c>
      <c r="AO422" s="82">
        <v>0</v>
      </c>
      <c r="AP422" s="82">
        <v>2648069.4300000002</v>
      </c>
      <c r="AQ422" s="82">
        <v>0</v>
      </c>
      <c r="AR422" s="82">
        <v>0</v>
      </c>
      <c r="AS422" s="82">
        <v>2648069.4300000002</v>
      </c>
      <c r="AT422" s="123" t="s">
        <v>561</v>
      </c>
      <c r="AU422" s="141">
        <v>29689014.66</v>
      </c>
      <c r="AV422" s="82"/>
      <c r="AW422" s="82">
        <v>0</v>
      </c>
      <c r="AX422" s="82"/>
      <c r="AY422" s="82"/>
      <c r="AZ422" s="82">
        <v>0</v>
      </c>
      <c r="BA422" s="82">
        <v>29689014.66</v>
      </c>
      <c r="BB422" s="126" t="s">
        <v>562</v>
      </c>
      <c r="BC422" s="123" t="s">
        <v>74</v>
      </c>
      <c r="BD422" s="125" t="s">
        <v>74</v>
      </c>
      <c r="BE422" s="125" t="s">
        <v>74</v>
      </c>
      <c r="BF422" s="125" t="s">
        <v>74</v>
      </c>
      <c r="BG422" s="125" t="s">
        <v>74</v>
      </c>
      <c r="BH422" s="82">
        <v>32337084.09</v>
      </c>
      <c r="BI422" s="82">
        <v>40203931.710000001</v>
      </c>
      <c r="BJ422" s="52">
        <v>10514917.050000001</v>
      </c>
      <c r="BK422" s="56">
        <v>43770</v>
      </c>
      <c r="BL422" s="127">
        <v>40203931.710000001</v>
      </c>
      <c r="BM422" s="75">
        <v>0</v>
      </c>
      <c r="BN422" s="9"/>
      <c r="BO422" s="9"/>
      <c r="BP422" s="9"/>
      <c r="BQ422" s="9"/>
      <c r="BR422" s="9"/>
      <c r="BS422" s="9"/>
      <c r="BT422" s="9"/>
      <c r="BU422" s="9"/>
      <c r="BV422" s="9"/>
      <c r="BW422" s="9"/>
    </row>
    <row r="423" spans="1:75" hidden="1" outlineLevel="1" collapsed="1" x14ac:dyDescent="0.25">
      <c r="A423" s="84"/>
      <c r="B423" s="120" t="s">
        <v>563</v>
      </c>
      <c r="C423" s="86"/>
      <c r="D423" s="120"/>
      <c r="E423" s="88"/>
      <c r="F423" s="88"/>
      <c r="G423" s="88"/>
      <c r="H423" s="88"/>
      <c r="I423" s="88"/>
      <c r="J423" s="88"/>
      <c r="K423" s="88"/>
      <c r="L423" s="88"/>
      <c r="M423" s="88"/>
      <c r="N423" s="88"/>
      <c r="O423" s="88"/>
      <c r="P423" s="88"/>
      <c r="Q423" s="88"/>
      <c r="R423" s="88"/>
      <c r="S423" s="88"/>
      <c r="T423" s="88"/>
      <c r="U423" s="88"/>
      <c r="V423" s="88"/>
      <c r="W423" s="88"/>
      <c r="X423" s="88"/>
      <c r="Y423" s="89">
        <f t="shared" ref="Y423:AG423" si="57">SUBTOTAL(9,Y410:Y422)</f>
        <v>0</v>
      </c>
      <c r="Z423" s="128">
        <f t="shared" si="57"/>
        <v>0</v>
      </c>
      <c r="AA423" s="89">
        <f t="shared" si="57"/>
        <v>0</v>
      </c>
      <c r="AB423" s="89">
        <f t="shared" si="57"/>
        <v>0</v>
      </c>
      <c r="AC423" s="89">
        <f t="shared" si="57"/>
        <v>0</v>
      </c>
      <c r="AD423" s="89">
        <f t="shared" si="57"/>
        <v>0</v>
      </c>
      <c r="AE423" s="89">
        <f t="shared" si="57"/>
        <v>0</v>
      </c>
      <c r="AF423" s="89">
        <f t="shared" si="57"/>
        <v>0</v>
      </c>
      <c r="AG423" s="89">
        <f t="shared" si="57"/>
        <v>0</v>
      </c>
      <c r="AH423" s="129"/>
      <c r="AI423" s="129"/>
      <c r="AJ423" s="129"/>
      <c r="AK423" s="129"/>
      <c r="AL423" s="129"/>
      <c r="AM423" s="129"/>
      <c r="AN423" s="92">
        <f t="shared" ref="AN423:AS423" si="58">SUBTOTAL(9,AN410:AN422)</f>
        <v>0</v>
      </c>
      <c r="AO423" s="92">
        <f t="shared" si="58"/>
        <v>0</v>
      </c>
      <c r="AP423" s="92">
        <f t="shared" si="58"/>
        <v>0</v>
      </c>
      <c r="AQ423" s="92">
        <f t="shared" si="58"/>
        <v>0</v>
      </c>
      <c r="AR423" s="92">
        <f t="shared" si="58"/>
        <v>0</v>
      </c>
      <c r="AS423" s="92">
        <f t="shared" si="58"/>
        <v>0</v>
      </c>
      <c r="AT423" s="129"/>
      <c r="AU423" s="143">
        <f t="shared" ref="AU423:BA423" si="59">SUBTOTAL(9,AU410:AU422)</f>
        <v>0</v>
      </c>
      <c r="AV423" s="92">
        <f t="shared" si="59"/>
        <v>0</v>
      </c>
      <c r="AW423" s="92">
        <f t="shared" si="59"/>
        <v>0</v>
      </c>
      <c r="AX423" s="92">
        <f t="shared" si="59"/>
        <v>0</v>
      </c>
      <c r="AY423" s="92">
        <f t="shared" si="59"/>
        <v>0</v>
      </c>
      <c r="AZ423" s="92">
        <f t="shared" si="59"/>
        <v>0</v>
      </c>
      <c r="BA423" s="92">
        <f t="shared" si="59"/>
        <v>0</v>
      </c>
      <c r="BB423" s="132"/>
      <c r="BC423" s="129"/>
      <c r="BD423" s="131"/>
      <c r="BE423" s="131"/>
      <c r="BF423" s="131"/>
      <c r="BG423" s="131"/>
      <c r="BH423" s="92">
        <f>SUBTOTAL(9,BH410:BH422)</f>
        <v>0</v>
      </c>
      <c r="BI423" s="92">
        <f>SUBTOTAL(9,BI410:BI422)</f>
        <v>0</v>
      </c>
      <c r="BJ423" s="93"/>
      <c r="BK423" s="94"/>
      <c r="BL423" s="88">
        <f>SUBTOTAL(9,BL410:BL422)</f>
        <v>0</v>
      </c>
      <c r="BM423" s="88">
        <f>SUBTOTAL(9,BM410:BM422)</f>
        <v>0</v>
      </c>
      <c r="BN423" s="9"/>
      <c r="BO423" s="9"/>
      <c r="BP423" s="9"/>
      <c r="BQ423" s="9"/>
      <c r="BR423" s="9"/>
      <c r="BS423" s="9"/>
      <c r="BT423" s="9"/>
      <c r="BU423" s="9"/>
      <c r="BV423" s="9"/>
      <c r="BW423" s="9"/>
    </row>
    <row r="424" spans="1:75" ht="26.25" hidden="1" outlineLevel="2" x14ac:dyDescent="0.25">
      <c r="A424" s="96" t="s">
        <v>564</v>
      </c>
      <c r="B424" s="97" t="s">
        <v>565</v>
      </c>
      <c r="C424" s="98">
        <v>2019</v>
      </c>
      <c r="D424" s="97" t="s">
        <v>93</v>
      </c>
      <c r="E424" s="100">
        <v>15036374.800000001</v>
      </c>
      <c r="F424" s="100">
        <v>0</v>
      </c>
      <c r="G424" s="100">
        <v>0</v>
      </c>
      <c r="H424" s="100">
        <v>0</v>
      </c>
      <c r="I424" s="100">
        <v>0</v>
      </c>
      <c r="J424" s="100">
        <v>0</v>
      </c>
      <c r="K424" s="100">
        <v>0</v>
      </c>
      <c r="L424" s="100">
        <v>0</v>
      </c>
      <c r="M424" s="100">
        <v>0</v>
      </c>
      <c r="N424" s="100">
        <v>0</v>
      </c>
      <c r="O424" s="100">
        <v>0</v>
      </c>
      <c r="P424" s="100">
        <v>0</v>
      </c>
      <c r="Q424" s="100">
        <v>0</v>
      </c>
      <c r="R424" s="100">
        <v>0</v>
      </c>
      <c r="S424" s="100">
        <v>0</v>
      </c>
      <c r="T424" s="100">
        <v>0</v>
      </c>
      <c r="U424" s="100">
        <v>0</v>
      </c>
      <c r="V424" s="100">
        <v>0</v>
      </c>
      <c r="W424" s="100">
        <v>0</v>
      </c>
      <c r="X424" s="100">
        <v>0</v>
      </c>
      <c r="Y424" s="101">
        <v>15036374.800000001</v>
      </c>
      <c r="Z424" s="133">
        <v>3442504.83</v>
      </c>
      <c r="AA424" s="103">
        <v>3442504.83</v>
      </c>
      <c r="AB424" s="103">
        <v>0</v>
      </c>
      <c r="AC424" s="103">
        <v>8589.7900000000009</v>
      </c>
      <c r="AD424" s="103">
        <v>0</v>
      </c>
      <c r="AE424" s="103">
        <v>0</v>
      </c>
      <c r="AF424" s="103">
        <v>0</v>
      </c>
      <c r="AG424" s="102">
        <v>3451094.62</v>
      </c>
      <c r="AH424" s="104" t="s">
        <v>104</v>
      </c>
      <c r="AI424" s="104" t="s">
        <v>74</v>
      </c>
      <c r="AJ424" s="104" t="s">
        <v>566</v>
      </c>
      <c r="AK424" s="104" t="s">
        <v>74</v>
      </c>
      <c r="AL424" s="104" t="s">
        <v>74</v>
      </c>
      <c r="AM424" s="104" t="s">
        <v>74</v>
      </c>
      <c r="AN424" s="105">
        <v>0</v>
      </c>
      <c r="AO424" s="105">
        <v>0</v>
      </c>
      <c r="AP424" s="105">
        <v>0</v>
      </c>
      <c r="AQ424" s="105">
        <v>0</v>
      </c>
      <c r="AR424" s="105">
        <v>0</v>
      </c>
      <c r="AS424" s="105">
        <v>0</v>
      </c>
      <c r="AT424" s="106" t="s">
        <v>74</v>
      </c>
      <c r="AU424" s="105">
        <v>0</v>
      </c>
      <c r="AV424" s="105"/>
      <c r="AW424" s="105">
        <v>0</v>
      </c>
      <c r="AX424" s="105"/>
      <c r="AY424" s="105"/>
      <c r="AZ424" s="105">
        <v>0</v>
      </c>
      <c r="BA424" s="105">
        <v>0</v>
      </c>
      <c r="BB424" s="107" t="s">
        <v>74</v>
      </c>
      <c r="BC424" s="106" t="s">
        <v>74</v>
      </c>
      <c r="BD424" s="108" t="s">
        <v>74</v>
      </c>
      <c r="BE424" s="108" t="s">
        <v>74</v>
      </c>
      <c r="BF424" s="108" t="s">
        <v>74</v>
      </c>
      <c r="BG424" s="108" t="s">
        <v>74</v>
      </c>
      <c r="BH424" s="105">
        <v>0</v>
      </c>
      <c r="BI424" s="105">
        <v>11585280.18</v>
      </c>
      <c r="BJ424" s="52">
        <v>11585280.18</v>
      </c>
      <c r="BK424" s="56">
        <v>43800</v>
      </c>
      <c r="BL424" s="109">
        <v>11585280.18</v>
      </c>
      <c r="BM424" s="100">
        <v>0</v>
      </c>
      <c r="BN424" s="9"/>
      <c r="BO424" s="9"/>
      <c r="BP424" s="9"/>
      <c r="BQ424" s="9"/>
      <c r="BR424" s="9"/>
      <c r="BS424" s="9"/>
      <c r="BT424" s="9"/>
      <c r="BU424" s="9"/>
      <c r="BV424" s="9"/>
      <c r="BW424" s="9"/>
    </row>
    <row r="425" spans="1:75" ht="26.25" hidden="1" outlineLevel="2" x14ac:dyDescent="0.25">
      <c r="A425" s="43" t="s">
        <v>564</v>
      </c>
      <c r="B425" s="110" t="s">
        <v>565</v>
      </c>
      <c r="C425" s="45">
        <v>2020</v>
      </c>
      <c r="D425" s="110" t="s">
        <v>73</v>
      </c>
      <c r="E425" s="47">
        <v>15036374.800000001</v>
      </c>
      <c r="F425" s="47"/>
      <c r="G425" s="47">
        <v>0</v>
      </c>
      <c r="H425" s="47">
        <v>0</v>
      </c>
      <c r="I425" s="47">
        <v>0</v>
      </c>
      <c r="J425" s="47">
        <v>0</v>
      </c>
      <c r="K425" s="47">
        <v>0</v>
      </c>
      <c r="L425" s="47">
        <v>0</v>
      </c>
      <c r="M425" s="47">
        <v>0</v>
      </c>
      <c r="N425" s="47">
        <v>0</v>
      </c>
      <c r="O425" s="47">
        <v>0</v>
      </c>
      <c r="P425" s="47">
        <v>0</v>
      </c>
      <c r="Q425" s="47">
        <v>0</v>
      </c>
      <c r="R425" s="47">
        <v>0</v>
      </c>
      <c r="S425" s="47">
        <v>0</v>
      </c>
      <c r="T425" s="47">
        <v>0</v>
      </c>
      <c r="U425" s="47">
        <v>0</v>
      </c>
      <c r="V425" s="47">
        <v>0</v>
      </c>
      <c r="W425" s="47">
        <v>0</v>
      </c>
      <c r="X425" s="47">
        <v>0</v>
      </c>
      <c r="Y425" s="48">
        <v>15036374.800000001</v>
      </c>
      <c r="Z425" s="58">
        <v>3442504.83</v>
      </c>
      <c r="AA425" s="50">
        <v>3442504.83</v>
      </c>
      <c r="AB425" s="50">
        <v>0</v>
      </c>
      <c r="AC425" s="50">
        <v>7734.21</v>
      </c>
      <c r="AD425" s="50">
        <v>132296.76</v>
      </c>
      <c r="AE425" s="50">
        <v>0</v>
      </c>
      <c r="AF425" s="50"/>
      <c r="AG425" s="49">
        <f t="shared" ref="AG425:AG436" si="60">AA425+AB425+AC425+AD425+AE425+AF425</f>
        <v>3582535.8</v>
      </c>
      <c r="AH425" s="51" t="s">
        <v>104</v>
      </c>
      <c r="AI425" s="51" t="s">
        <v>74</v>
      </c>
      <c r="AJ425" s="51" t="s">
        <v>156</v>
      </c>
      <c r="AK425" s="51" t="s">
        <v>157</v>
      </c>
      <c r="AL425" s="51" t="s">
        <v>74</v>
      </c>
      <c r="AM425" s="51"/>
      <c r="AN425" s="52">
        <v>0</v>
      </c>
      <c r="AO425" s="52">
        <v>0</v>
      </c>
      <c r="AP425" s="52">
        <v>0</v>
      </c>
      <c r="AQ425" s="52">
        <v>0</v>
      </c>
      <c r="AR425" s="52">
        <v>0</v>
      </c>
      <c r="AS425" s="52">
        <v>0</v>
      </c>
      <c r="AT425" s="53" t="s">
        <v>74</v>
      </c>
      <c r="AU425" s="52">
        <v>0</v>
      </c>
      <c r="AV425" s="52"/>
      <c r="AW425" s="52">
        <v>0</v>
      </c>
      <c r="AX425" s="52"/>
      <c r="AY425" s="52"/>
      <c r="AZ425" s="52">
        <v>0</v>
      </c>
      <c r="BA425" s="52">
        <v>0</v>
      </c>
      <c r="BB425" s="54" t="s">
        <v>74</v>
      </c>
      <c r="BC425" s="53" t="s">
        <v>74</v>
      </c>
      <c r="BD425" s="55" t="s">
        <v>74</v>
      </c>
      <c r="BE425" s="55" t="s">
        <v>74</v>
      </c>
      <c r="BF425" s="55" t="s">
        <v>74</v>
      </c>
      <c r="BG425" s="55" t="s">
        <v>74</v>
      </c>
      <c r="BH425" s="52">
        <v>0</v>
      </c>
      <c r="BI425" s="52">
        <v>11453839</v>
      </c>
      <c r="BJ425" s="52">
        <v>11453839</v>
      </c>
      <c r="BK425" s="56">
        <v>43831</v>
      </c>
      <c r="BL425" s="57">
        <v>11453839</v>
      </c>
      <c r="BM425" s="47">
        <v>0</v>
      </c>
      <c r="BN425" s="9"/>
      <c r="BO425" s="9"/>
      <c r="BP425" s="9"/>
      <c r="BQ425" s="9"/>
      <c r="BR425" s="9"/>
      <c r="BS425" s="9"/>
      <c r="BT425" s="9"/>
      <c r="BU425" s="9"/>
      <c r="BV425" s="9"/>
      <c r="BW425" s="9"/>
    </row>
    <row r="426" spans="1:75" ht="26.25" hidden="1" outlineLevel="2" x14ac:dyDescent="0.25">
      <c r="A426" s="43" t="s">
        <v>564</v>
      </c>
      <c r="B426" s="110" t="s">
        <v>565</v>
      </c>
      <c r="C426" s="45">
        <v>2020</v>
      </c>
      <c r="D426" s="110" t="s">
        <v>75</v>
      </c>
      <c r="E426" s="47">
        <v>15036374.800000001</v>
      </c>
      <c r="F426" s="47"/>
      <c r="G426" s="47">
        <v>0</v>
      </c>
      <c r="H426" s="47">
        <v>0</v>
      </c>
      <c r="I426" s="47">
        <v>0</v>
      </c>
      <c r="J426" s="47">
        <v>0</v>
      </c>
      <c r="K426" s="47">
        <v>0</v>
      </c>
      <c r="L426" s="47">
        <v>0</v>
      </c>
      <c r="M426" s="47">
        <v>0</v>
      </c>
      <c r="N426" s="47">
        <v>0</v>
      </c>
      <c r="O426" s="47">
        <v>0</v>
      </c>
      <c r="P426" s="47">
        <v>0</v>
      </c>
      <c r="Q426" s="47">
        <v>0</v>
      </c>
      <c r="R426" s="47">
        <v>0</v>
      </c>
      <c r="S426" s="47">
        <v>0</v>
      </c>
      <c r="T426" s="47">
        <v>0</v>
      </c>
      <c r="U426" s="47">
        <v>0</v>
      </c>
      <c r="V426" s="47">
        <v>0</v>
      </c>
      <c r="W426" s="47">
        <v>0</v>
      </c>
      <c r="X426" s="47">
        <v>0</v>
      </c>
      <c r="Y426" s="48">
        <v>15036374.800000001</v>
      </c>
      <c r="Z426" s="58">
        <v>3317049.51</v>
      </c>
      <c r="AA426" s="50">
        <v>3317049.51</v>
      </c>
      <c r="AB426" s="50">
        <v>0</v>
      </c>
      <c r="AC426" s="50">
        <v>0</v>
      </c>
      <c r="AD426" s="62">
        <v>115853.99</v>
      </c>
      <c r="AE426" s="50">
        <v>0</v>
      </c>
      <c r="AF426" s="50"/>
      <c r="AG426" s="49">
        <f t="shared" si="60"/>
        <v>3432903.5</v>
      </c>
      <c r="AH426" s="51" t="s">
        <v>104</v>
      </c>
      <c r="AI426" s="51" t="s">
        <v>74</v>
      </c>
      <c r="AJ426" s="51" t="s">
        <v>74</v>
      </c>
      <c r="AK426" s="51" t="s">
        <v>158</v>
      </c>
      <c r="AL426" s="51" t="s">
        <v>74</v>
      </c>
      <c r="AM426" s="51"/>
      <c r="AN426" s="52">
        <v>0</v>
      </c>
      <c r="AO426" s="52">
        <v>0</v>
      </c>
      <c r="AP426" s="52">
        <v>0</v>
      </c>
      <c r="AQ426" s="52">
        <v>0</v>
      </c>
      <c r="AR426" s="52">
        <v>0</v>
      </c>
      <c r="AS426" s="52">
        <v>0</v>
      </c>
      <c r="AT426" s="53" t="s">
        <v>74</v>
      </c>
      <c r="AU426" s="52">
        <v>0</v>
      </c>
      <c r="AV426" s="52"/>
      <c r="AW426" s="52">
        <v>0</v>
      </c>
      <c r="AX426" s="52"/>
      <c r="AY426" s="52"/>
      <c r="AZ426" s="52">
        <v>0</v>
      </c>
      <c r="BA426" s="52">
        <v>0</v>
      </c>
      <c r="BB426" s="54" t="s">
        <v>74</v>
      </c>
      <c r="BC426" s="53" t="s">
        <v>74</v>
      </c>
      <c r="BD426" s="55" t="s">
        <v>74</v>
      </c>
      <c r="BE426" s="55" t="s">
        <v>74</v>
      </c>
      <c r="BF426" s="55" t="s">
        <v>74</v>
      </c>
      <c r="BG426" s="55" t="s">
        <v>74</v>
      </c>
      <c r="BH426" s="52">
        <v>0</v>
      </c>
      <c r="BI426" s="52">
        <v>11603471.300000001</v>
      </c>
      <c r="BJ426" s="52">
        <v>10117034.039999999</v>
      </c>
      <c r="BK426" s="56">
        <v>43862</v>
      </c>
      <c r="BL426" s="57">
        <v>11603471.300000001</v>
      </c>
      <c r="BM426" s="47">
        <v>0</v>
      </c>
      <c r="BN426" s="9"/>
      <c r="BO426" s="9"/>
      <c r="BP426" s="9"/>
      <c r="BQ426" s="9"/>
      <c r="BR426" s="9"/>
      <c r="BS426" s="9"/>
      <c r="BT426" s="9"/>
      <c r="BU426" s="9"/>
      <c r="BV426" s="9"/>
      <c r="BW426" s="9"/>
    </row>
    <row r="427" spans="1:75" ht="77.25" hidden="1" outlineLevel="2" x14ac:dyDescent="0.25">
      <c r="A427" s="43" t="s">
        <v>564</v>
      </c>
      <c r="B427" s="110" t="s">
        <v>565</v>
      </c>
      <c r="C427" s="45">
        <v>2020</v>
      </c>
      <c r="D427" s="110" t="s">
        <v>77</v>
      </c>
      <c r="E427" s="47">
        <v>15036374.800000001</v>
      </c>
      <c r="F427" s="47"/>
      <c r="G427" s="47">
        <v>0</v>
      </c>
      <c r="H427" s="47">
        <v>0</v>
      </c>
      <c r="I427" s="47">
        <v>0</v>
      </c>
      <c r="J427" s="47">
        <v>0</v>
      </c>
      <c r="K427" s="47">
        <v>0</v>
      </c>
      <c r="L427" s="47">
        <v>0</v>
      </c>
      <c r="M427" s="47">
        <v>0</v>
      </c>
      <c r="N427" s="47">
        <v>0</v>
      </c>
      <c r="O427" s="47">
        <v>0</v>
      </c>
      <c r="P427" s="47">
        <v>0</v>
      </c>
      <c r="Q427" s="47">
        <v>0</v>
      </c>
      <c r="R427" s="47">
        <v>0</v>
      </c>
      <c r="S427" s="47">
        <v>0</v>
      </c>
      <c r="T427" s="47">
        <v>0</v>
      </c>
      <c r="U427" s="47">
        <v>0</v>
      </c>
      <c r="V427" s="47">
        <v>0</v>
      </c>
      <c r="W427" s="47">
        <v>0</v>
      </c>
      <c r="X427" s="47">
        <v>0</v>
      </c>
      <c r="Y427" s="48">
        <v>15036374.800000001</v>
      </c>
      <c r="Z427" s="58">
        <v>3325466.42</v>
      </c>
      <c r="AA427" s="50">
        <v>3325466.42</v>
      </c>
      <c r="AB427" s="50">
        <v>0</v>
      </c>
      <c r="AC427" s="50">
        <v>0</v>
      </c>
      <c r="AD427" s="62">
        <v>120243.25</v>
      </c>
      <c r="AE427" s="50">
        <v>0</v>
      </c>
      <c r="AF427" s="50"/>
      <c r="AG427" s="49">
        <f t="shared" si="60"/>
        <v>3445709.67</v>
      </c>
      <c r="AH427" s="51" t="s">
        <v>104</v>
      </c>
      <c r="AI427" s="51" t="s">
        <v>74</v>
      </c>
      <c r="AJ427" s="51" t="s">
        <v>74</v>
      </c>
      <c r="AK427" s="51" t="s">
        <v>313</v>
      </c>
      <c r="AL427" s="51" t="s">
        <v>74</v>
      </c>
      <c r="AM427" s="51"/>
      <c r="AN427" s="52">
        <v>0</v>
      </c>
      <c r="AO427" s="52">
        <v>323646.46999999997</v>
      </c>
      <c r="AP427" s="52">
        <v>0</v>
      </c>
      <c r="AQ427" s="52">
        <v>0</v>
      </c>
      <c r="AR427" s="52">
        <v>0</v>
      </c>
      <c r="AS427" s="52">
        <v>323646.46999999997</v>
      </c>
      <c r="AT427" s="51" t="s">
        <v>567</v>
      </c>
      <c r="AU427" s="52">
        <v>0</v>
      </c>
      <c r="AV427" s="52"/>
      <c r="AW427" s="52">
        <v>0</v>
      </c>
      <c r="AX427" s="52"/>
      <c r="AY427" s="52"/>
      <c r="AZ427" s="52">
        <v>0</v>
      </c>
      <c r="BA427" s="52">
        <v>0</v>
      </c>
      <c r="BB427" s="54" t="s">
        <v>74</v>
      </c>
      <c r="BC427" s="53" t="s">
        <v>74</v>
      </c>
      <c r="BD427" s="55" t="s">
        <v>74</v>
      </c>
      <c r="BE427" s="55" t="s">
        <v>74</v>
      </c>
      <c r="BF427" s="55" t="s">
        <v>74</v>
      </c>
      <c r="BG427" s="55" t="s">
        <v>74</v>
      </c>
      <c r="BH427" s="52">
        <v>323646.46999999997</v>
      </c>
      <c r="BI427" s="52">
        <v>11914311.6</v>
      </c>
      <c r="BJ427" s="52">
        <v>11914311.6</v>
      </c>
      <c r="BK427" s="56">
        <v>43891</v>
      </c>
      <c r="BL427" s="57">
        <v>11914311.6</v>
      </c>
      <c r="BM427" s="47">
        <v>0</v>
      </c>
      <c r="BN427" s="9"/>
      <c r="BO427" s="9"/>
      <c r="BP427" s="9"/>
      <c r="BQ427" s="9"/>
      <c r="BR427" s="9"/>
      <c r="BS427" s="9"/>
      <c r="BT427" s="9"/>
      <c r="BU427" s="9"/>
      <c r="BV427" s="9"/>
      <c r="BW427" s="9"/>
    </row>
    <row r="428" spans="1:75" ht="26.25" hidden="1" outlineLevel="2" x14ac:dyDescent="0.25">
      <c r="A428" s="43" t="s">
        <v>564</v>
      </c>
      <c r="B428" s="110" t="s">
        <v>565</v>
      </c>
      <c r="C428" s="45">
        <v>2020</v>
      </c>
      <c r="D428" s="110" t="s">
        <v>79</v>
      </c>
      <c r="E428" s="47">
        <v>15036374.800000001</v>
      </c>
      <c r="F428" s="47"/>
      <c r="G428" s="47">
        <v>0</v>
      </c>
      <c r="H428" s="47">
        <v>0</v>
      </c>
      <c r="I428" s="47">
        <v>0</v>
      </c>
      <c r="J428" s="47">
        <v>0</v>
      </c>
      <c r="K428" s="47">
        <v>0</v>
      </c>
      <c r="L428" s="47">
        <v>0</v>
      </c>
      <c r="M428" s="47">
        <v>0</v>
      </c>
      <c r="N428" s="47">
        <v>0</v>
      </c>
      <c r="O428" s="47">
        <v>0</v>
      </c>
      <c r="P428" s="47">
        <v>0</v>
      </c>
      <c r="Q428" s="47">
        <v>0</v>
      </c>
      <c r="R428" s="47">
        <v>0</v>
      </c>
      <c r="S428" s="47">
        <v>0</v>
      </c>
      <c r="T428" s="47">
        <v>0</v>
      </c>
      <c r="U428" s="47">
        <v>0</v>
      </c>
      <c r="V428" s="47">
        <v>0</v>
      </c>
      <c r="W428" s="47">
        <v>0</v>
      </c>
      <c r="X428" s="47">
        <v>0</v>
      </c>
      <c r="Y428" s="48">
        <v>15036374.800000001</v>
      </c>
      <c r="Z428" s="58">
        <v>2647142.89</v>
      </c>
      <c r="AA428" s="50">
        <v>2647142.89</v>
      </c>
      <c r="AB428" s="50">
        <v>0</v>
      </c>
      <c r="AC428" s="50">
        <v>0</v>
      </c>
      <c r="AD428" s="50">
        <v>104778.73</v>
      </c>
      <c r="AE428" s="50">
        <v>0</v>
      </c>
      <c r="AF428" s="50"/>
      <c r="AG428" s="49">
        <f t="shared" si="60"/>
        <v>2751921.62</v>
      </c>
      <c r="AH428" s="51" t="s">
        <v>104</v>
      </c>
      <c r="AI428" s="51" t="s">
        <v>74</v>
      </c>
      <c r="AJ428" s="51" t="s">
        <v>74</v>
      </c>
      <c r="AK428" s="51" t="s">
        <v>315</v>
      </c>
      <c r="AL428" s="51" t="s">
        <v>74</v>
      </c>
      <c r="AM428" s="51"/>
      <c r="AN428" s="52">
        <v>0</v>
      </c>
      <c r="AO428" s="52">
        <v>0</v>
      </c>
      <c r="AP428" s="52">
        <v>0</v>
      </c>
      <c r="AQ428" s="52">
        <v>0</v>
      </c>
      <c r="AR428" s="52">
        <v>0</v>
      </c>
      <c r="AS428" s="52">
        <v>0</v>
      </c>
      <c r="AT428" s="53" t="s">
        <v>74</v>
      </c>
      <c r="AU428" s="52">
        <v>0</v>
      </c>
      <c r="AV428" s="52"/>
      <c r="AW428" s="52">
        <v>0</v>
      </c>
      <c r="AX428" s="52"/>
      <c r="AY428" s="52"/>
      <c r="AZ428" s="52">
        <v>0</v>
      </c>
      <c r="BA428" s="52">
        <v>0</v>
      </c>
      <c r="BB428" s="54" t="s">
        <v>74</v>
      </c>
      <c r="BC428" s="53" t="s">
        <v>74</v>
      </c>
      <c r="BD428" s="55" t="s">
        <v>74</v>
      </c>
      <c r="BE428" s="55" t="s">
        <v>74</v>
      </c>
      <c r="BF428" s="55" t="s">
        <v>74</v>
      </c>
      <c r="BG428" s="55" t="s">
        <v>74</v>
      </c>
      <c r="BH428" s="52">
        <v>0</v>
      </c>
      <c r="BI428" s="52">
        <v>12284453.18</v>
      </c>
      <c r="BJ428" s="52">
        <v>12284453.18</v>
      </c>
      <c r="BK428" s="56">
        <v>43922</v>
      </c>
      <c r="BL428" s="57">
        <v>12284453.18</v>
      </c>
      <c r="BM428" s="47">
        <v>0</v>
      </c>
      <c r="BN428" s="9"/>
      <c r="BO428" s="9"/>
      <c r="BP428" s="9"/>
      <c r="BQ428" s="9"/>
      <c r="BR428" s="9"/>
      <c r="BS428" s="9"/>
      <c r="BT428" s="9"/>
      <c r="BU428" s="9"/>
      <c r="BV428" s="9"/>
      <c r="BW428" s="9"/>
    </row>
    <row r="429" spans="1:75" ht="26.25" hidden="1" outlineLevel="2" x14ac:dyDescent="0.25">
      <c r="A429" s="43" t="s">
        <v>564</v>
      </c>
      <c r="B429" s="110" t="s">
        <v>565</v>
      </c>
      <c r="C429" s="45">
        <v>2020</v>
      </c>
      <c r="D429" s="110" t="s">
        <v>81</v>
      </c>
      <c r="E429" s="47">
        <v>15036374.800000001</v>
      </c>
      <c r="F429" s="47"/>
      <c r="G429" s="47">
        <v>0</v>
      </c>
      <c r="H429" s="47">
        <v>0</v>
      </c>
      <c r="I429" s="47">
        <v>0</v>
      </c>
      <c r="J429" s="47">
        <v>0</v>
      </c>
      <c r="K429" s="47">
        <v>0</v>
      </c>
      <c r="L429" s="47">
        <v>0</v>
      </c>
      <c r="M429" s="47">
        <v>0</v>
      </c>
      <c r="N429" s="47">
        <v>0</v>
      </c>
      <c r="O429" s="47">
        <v>0</v>
      </c>
      <c r="P429" s="47">
        <v>0</v>
      </c>
      <c r="Q429" s="47">
        <v>0</v>
      </c>
      <c r="R429" s="47">
        <v>0</v>
      </c>
      <c r="S429" s="47">
        <v>0</v>
      </c>
      <c r="T429" s="47">
        <v>0</v>
      </c>
      <c r="U429" s="47">
        <v>0</v>
      </c>
      <c r="V429" s="47">
        <v>0</v>
      </c>
      <c r="W429" s="47">
        <v>0</v>
      </c>
      <c r="X429" s="47">
        <v>0</v>
      </c>
      <c r="Y429" s="48">
        <v>15036374.800000001</v>
      </c>
      <c r="Z429" s="58">
        <v>2629058.31</v>
      </c>
      <c r="AA429" s="50">
        <v>2629058.31</v>
      </c>
      <c r="AB429" s="50">
        <v>0</v>
      </c>
      <c r="AC429" s="50">
        <v>0</v>
      </c>
      <c r="AD429" s="50">
        <v>120787.81</v>
      </c>
      <c r="AE429" s="50">
        <v>0</v>
      </c>
      <c r="AF429" s="50"/>
      <c r="AG429" s="49">
        <f t="shared" si="60"/>
        <v>2749846.12</v>
      </c>
      <c r="AH429" s="51" t="s">
        <v>104</v>
      </c>
      <c r="AI429" s="51" t="s">
        <v>74</v>
      </c>
      <c r="AJ429" s="51" t="s">
        <v>74</v>
      </c>
      <c r="AK429" s="51" t="s">
        <v>568</v>
      </c>
      <c r="AL429" s="51" t="s">
        <v>74</v>
      </c>
      <c r="AM429" s="51"/>
      <c r="AN429" s="52">
        <v>0</v>
      </c>
      <c r="AO429" s="52">
        <v>0</v>
      </c>
      <c r="AP429" s="52">
        <v>0</v>
      </c>
      <c r="AQ429" s="52">
        <v>0</v>
      </c>
      <c r="AR429" s="52">
        <v>0</v>
      </c>
      <c r="AS429" s="52">
        <v>0</v>
      </c>
      <c r="AT429" s="53" t="s">
        <v>74</v>
      </c>
      <c r="AU429" s="52">
        <v>0</v>
      </c>
      <c r="AV429" s="52"/>
      <c r="AW429" s="52">
        <v>0</v>
      </c>
      <c r="AX429" s="52"/>
      <c r="AY429" s="52"/>
      <c r="AZ429" s="52">
        <v>0</v>
      </c>
      <c r="BA429" s="52">
        <v>0</v>
      </c>
      <c r="BB429" s="54" t="s">
        <v>74</v>
      </c>
      <c r="BC429" s="53" t="s">
        <v>74</v>
      </c>
      <c r="BD429" s="55" t="s">
        <v>74</v>
      </c>
      <c r="BE429" s="55" t="s">
        <v>74</v>
      </c>
      <c r="BF429" s="55" t="s">
        <v>74</v>
      </c>
      <c r="BG429" s="55" t="s">
        <v>74</v>
      </c>
      <c r="BH429" s="52">
        <v>0</v>
      </c>
      <c r="BI429" s="52">
        <v>12286528.68</v>
      </c>
      <c r="BJ429" s="52">
        <v>12286528.68</v>
      </c>
      <c r="BK429" s="56">
        <v>43952</v>
      </c>
      <c r="BL429" s="57">
        <v>12286528.68</v>
      </c>
      <c r="BM429" s="47">
        <v>0</v>
      </c>
      <c r="BN429" s="9"/>
      <c r="BO429" s="9"/>
      <c r="BP429" s="9"/>
      <c r="BQ429" s="9"/>
      <c r="BR429" s="9"/>
      <c r="BS429" s="9"/>
      <c r="BT429" s="9"/>
      <c r="BU429" s="9"/>
      <c r="BV429" s="9"/>
      <c r="BW429" s="9"/>
    </row>
    <row r="430" spans="1:75" ht="294" hidden="1" outlineLevel="2" x14ac:dyDescent="0.25">
      <c r="A430" s="43" t="s">
        <v>564</v>
      </c>
      <c r="B430" s="110" t="s">
        <v>565</v>
      </c>
      <c r="C430" s="45">
        <v>2020</v>
      </c>
      <c r="D430" s="113" t="s">
        <v>83</v>
      </c>
      <c r="E430" s="47">
        <v>15036374.800000001</v>
      </c>
      <c r="F430" s="47"/>
      <c r="G430" s="47">
        <v>0</v>
      </c>
      <c r="H430" s="47">
        <v>0</v>
      </c>
      <c r="I430" s="47">
        <v>0</v>
      </c>
      <c r="J430" s="47">
        <v>0</v>
      </c>
      <c r="K430" s="47">
        <v>0</v>
      </c>
      <c r="L430" s="47">
        <v>0</v>
      </c>
      <c r="M430" s="47">
        <v>0</v>
      </c>
      <c r="N430" s="47">
        <v>0</v>
      </c>
      <c r="O430" s="47">
        <v>0</v>
      </c>
      <c r="P430" s="47">
        <v>0</v>
      </c>
      <c r="Q430" s="47">
        <v>0</v>
      </c>
      <c r="R430" s="47">
        <v>0</v>
      </c>
      <c r="S430" s="47">
        <v>0</v>
      </c>
      <c r="T430" s="47">
        <v>0</v>
      </c>
      <c r="U430" s="47">
        <v>0</v>
      </c>
      <c r="V430" s="47">
        <v>0</v>
      </c>
      <c r="W430" s="47">
        <v>0</v>
      </c>
      <c r="X430" s="47">
        <v>0</v>
      </c>
      <c r="Y430" s="48">
        <v>15036374.800000001</v>
      </c>
      <c r="Z430" s="58">
        <v>2832495.74</v>
      </c>
      <c r="AA430" s="50">
        <v>2832495.74</v>
      </c>
      <c r="AB430" s="50">
        <v>0</v>
      </c>
      <c r="AC430" s="50">
        <v>0</v>
      </c>
      <c r="AD430" s="62">
        <v>92338.31</v>
      </c>
      <c r="AE430" s="50">
        <v>0</v>
      </c>
      <c r="AF430" s="50"/>
      <c r="AG430" s="49">
        <f t="shared" si="60"/>
        <v>2924834.0500000003</v>
      </c>
      <c r="AH430" s="51" t="s">
        <v>104</v>
      </c>
      <c r="AI430" s="51" t="s">
        <v>74</v>
      </c>
      <c r="AJ430" s="51" t="s">
        <v>74</v>
      </c>
      <c r="AK430" s="51" t="s">
        <v>163</v>
      </c>
      <c r="AL430" s="51" t="s">
        <v>74</v>
      </c>
      <c r="AM430" s="51"/>
      <c r="AN430" s="52"/>
      <c r="AO430" s="52"/>
      <c r="AP430" s="52"/>
      <c r="AQ430" s="52"/>
      <c r="AR430" s="52"/>
      <c r="AS430" s="52">
        <v>0</v>
      </c>
      <c r="AT430" s="53" t="s">
        <v>74</v>
      </c>
      <c r="AU430" s="52">
        <v>0</v>
      </c>
      <c r="AV430" s="52"/>
      <c r="AW430" s="59">
        <v>2440790</v>
      </c>
      <c r="AX430" s="52"/>
      <c r="AY430" s="52"/>
      <c r="AZ430" s="52">
        <v>0</v>
      </c>
      <c r="BA430" s="52">
        <v>2440790</v>
      </c>
      <c r="BB430" s="54" t="s">
        <v>74</v>
      </c>
      <c r="BC430" s="53" t="s">
        <v>74</v>
      </c>
      <c r="BD430" s="55" t="s">
        <v>569</v>
      </c>
      <c r="BE430" s="55" t="s">
        <v>74</v>
      </c>
      <c r="BF430" s="55" t="s">
        <v>74</v>
      </c>
      <c r="BG430" s="55" t="s">
        <v>74</v>
      </c>
      <c r="BH430" s="52">
        <v>2440790</v>
      </c>
      <c r="BI430" s="52">
        <v>14552330.75</v>
      </c>
      <c r="BJ430" s="52">
        <v>12111540.75</v>
      </c>
      <c r="BK430" s="56">
        <v>43983</v>
      </c>
      <c r="BL430" s="57">
        <v>14552330.75</v>
      </c>
      <c r="BM430" s="47">
        <v>0</v>
      </c>
      <c r="BN430" s="9"/>
      <c r="BO430" s="9"/>
      <c r="BP430" s="9"/>
      <c r="BQ430" s="9"/>
      <c r="BR430" s="9"/>
      <c r="BS430" s="9"/>
      <c r="BT430" s="9"/>
      <c r="BU430" s="9"/>
      <c r="BV430" s="9"/>
      <c r="BW430" s="9"/>
    </row>
    <row r="431" spans="1:75" ht="39" hidden="1" outlineLevel="2" x14ac:dyDescent="0.25">
      <c r="A431" s="43" t="s">
        <v>564</v>
      </c>
      <c r="B431" s="110" t="s">
        <v>565</v>
      </c>
      <c r="C431" s="45">
        <v>2020</v>
      </c>
      <c r="D431" s="113" t="s">
        <v>84</v>
      </c>
      <c r="E431" s="47">
        <v>15036374.800000001</v>
      </c>
      <c r="F431" s="47">
        <v>494041.2</v>
      </c>
      <c r="G431" s="47">
        <v>0</v>
      </c>
      <c r="H431" s="47">
        <v>0</v>
      </c>
      <c r="I431" s="47">
        <v>0</v>
      </c>
      <c r="J431" s="47">
        <v>0</v>
      </c>
      <c r="K431" s="47">
        <v>0</v>
      </c>
      <c r="L431" s="47">
        <v>0</v>
      </c>
      <c r="M431" s="47">
        <v>0</v>
      </c>
      <c r="N431" s="47">
        <v>0</v>
      </c>
      <c r="O431" s="47">
        <v>0</v>
      </c>
      <c r="P431" s="47">
        <v>0</v>
      </c>
      <c r="Q431" s="47">
        <v>0</v>
      </c>
      <c r="R431" s="47">
        <v>0</v>
      </c>
      <c r="S431" s="47">
        <v>0</v>
      </c>
      <c r="T431" s="47">
        <v>0</v>
      </c>
      <c r="U431" s="47">
        <v>0</v>
      </c>
      <c r="V431" s="47">
        <v>0</v>
      </c>
      <c r="W431" s="47">
        <v>0</v>
      </c>
      <c r="X431" s="47">
        <v>0</v>
      </c>
      <c r="Y431" s="48">
        <v>15530416</v>
      </c>
      <c r="Z431" s="58">
        <v>2782758.55</v>
      </c>
      <c r="AA431" s="61">
        <v>2782758.55</v>
      </c>
      <c r="AB431" s="50">
        <v>0</v>
      </c>
      <c r="AC431" s="62">
        <v>9202.42</v>
      </c>
      <c r="AD431" s="62">
        <v>95454.22</v>
      </c>
      <c r="AE431" s="50">
        <v>0</v>
      </c>
      <c r="AF431" s="50">
        <v>0</v>
      </c>
      <c r="AG431" s="49">
        <f t="shared" si="60"/>
        <v>2887415.19</v>
      </c>
      <c r="AH431" s="51" t="s">
        <v>104</v>
      </c>
      <c r="AI431" s="51" t="s">
        <v>74</v>
      </c>
      <c r="AJ431" s="51" t="s">
        <v>164</v>
      </c>
      <c r="AK431" s="51" t="s">
        <v>165</v>
      </c>
      <c r="AL431" s="51" t="s">
        <v>74</v>
      </c>
      <c r="AM431" s="51" t="s">
        <v>74</v>
      </c>
      <c r="AN431" s="52"/>
      <c r="AO431" s="52">
        <v>0</v>
      </c>
      <c r="AP431" s="52"/>
      <c r="AQ431" s="52"/>
      <c r="AR431" s="52"/>
      <c r="AS431" s="52">
        <v>0</v>
      </c>
      <c r="AT431" s="53" t="s">
        <v>74</v>
      </c>
      <c r="AU431" s="52">
        <v>0</v>
      </c>
      <c r="AV431" s="52"/>
      <c r="AW431" s="59">
        <v>1102000</v>
      </c>
      <c r="AX431" s="52"/>
      <c r="AY431" s="52"/>
      <c r="AZ431" s="52">
        <v>0</v>
      </c>
      <c r="BA431" s="52">
        <v>1102000</v>
      </c>
      <c r="BB431" s="54" t="s">
        <v>74</v>
      </c>
      <c r="BC431" s="53" t="s">
        <v>74</v>
      </c>
      <c r="BD431" s="55" t="s">
        <v>570</v>
      </c>
      <c r="BE431" s="55" t="s">
        <v>74</v>
      </c>
      <c r="BF431" s="55" t="s">
        <v>74</v>
      </c>
      <c r="BG431" s="55" t="s">
        <v>74</v>
      </c>
      <c r="BH431" s="52">
        <v>1102000</v>
      </c>
      <c r="BI431" s="52">
        <v>13745000.810000001</v>
      </c>
      <c r="BJ431" s="52">
        <v>12643000.810000001</v>
      </c>
      <c r="BK431" s="56">
        <v>44013</v>
      </c>
      <c r="BL431" s="57">
        <v>13745000.810000001</v>
      </c>
      <c r="BM431" s="47">
        <v>0</v>
      </c>
      <c r="BN431" s="9"/>
      <c r="BO431" s="9"/>
      <c r="BP431" s="9"/>
      <c r="BQ431" s="9"/>
      <c r="BR431" s="9"/>
      <c r="BS431" s="9"/>
      <c r="BT431" s="9"/>
      <c r="BU431" s="9"/>
      <c r="BV431" s="9"/>
      <c r="BW431" s="9"/>
    </row>
    <row r="432" spans="1:75" ht="141" hidden="1" outlineLevel="2" x14ac:dyDescent="0.25">
      <c r="A432" s="43" t="s">
        <v>564</v>
      </c>
      <c r="B432" s="110" t="s">
        <v>565</v>
      </c>
      <c r="C432" s="45">
        <v>2020</v>
      </c>
      <c r="D432" s="113" t="s">
        <v>86</v>
      </c>
      <c r="E432" s="47">
        <v>15036374.800000001</v>
      </c>
      <c r="F432" s="47">
        <v>494041.2</v>
      </c>
      <c r="G432" s="47">
        <v>0</v>
      </c>
      <c r="H432" s="47">
        <v>0</v>
      </c>
      <c r="I432" s="47">
        <v>0</v>
      </c>
      <c r="J432" s="47">
        <v>0</v>
      </c>
      <c r="K432" s="47">
        <v>0</v>
      </c>
      <c r="L432" s="47">
        <v>0</v>
      </c>
      <c r="M432" s="47">
        <v>0</v>
      </c>
      <c r="N432" s="47">
        <v>0</v>
      </c>
      <c r="O432" s="47">
        <v>0</v>
      </c>
      <c r="P432" s="47">
        <v>0</v>
      </c>
      <c r="Q432" s="47">
        <v>0</v>
      </c>
      <c r="R432" s="47">
        <v>0</v>
      </c>
      <c r="S432" s="47">
        <v>0</v>
      </c>
      <c r="T432" s="47">
        <v>0</v>
      </c>
      <c r="U432" s="47">
        <v>0</v>
      </c>
      <c r="V432" s="47">
        <v>0</v>
      </c>
      <c r="W432" s="47">
        <v>0</v>
      </c>
      <c r="X432" s="47">
        <v>0</v>
      </c>
      <c r="Y432" s="48">
        <v>15530416</v>
      </c>
      <c r="Z432" s="65">
        <v>3271283.99</v>
      </c>
      <c r="AA432" s="61">
        <v>3271283.99</v>
      </c>
      <c r="AB432" s="50">
        <v>0</v>
      </c>
      <c r="AC432" s="62">
        <v>9389.32</v>
      </c>
      <c r="AD432" s="62">
        <v>94664.38</v>
      </c>
      <c r="AE432" s="50">
        <v>0</v>
      </c>
      <c r="AF432" s="50">
        <v>0</v>
      </c>
      <c r="AG432" s="49">
        <f t="shared" si="60"/>
        <v>3375337.69</v>
      </c>
      <c r="AH432" s="51" t="s">
        <v>104</v>
      </c>
      <c r="AI432" s="51" t="s">
        <v>74</v>
      </c>
      <c r="AJ432" s="51" t="s">
        <v>167</v>
      </c>
      <c r="AK432" s="51" t="s">
        <v>168</v>
      </c>
      <c r="AL432" s="51" t="s">
        <v>74</v>
      </c>
      <c r="AM432" s="51" t="s">
        <v>74</v>
      </c>
      <c r="AN432" s="52"/>
      <c r="AO432" s="52">
        <v>0</v>
      </c>
      <c r="AP432" s="52"/>
      <c r="AQ432" s="52"/>
      <c r="AR432" s="52"/>
      <c r="AS432" s="52">
        <v>0</v>
      </c>
      <c r="AT432" s="53" t="s">
        <v>74</v>
      </c>
      <c r="AU432" s="52">
        <v>0</v>
      </c>
      <c r="AV432" s="52"/>
      <c r="AW432" s="59">
        <v>1308000</v>
      </c>
      <c r="AX432" s="52"/>
      <c r="AY432" s="52"/>
      <c r="AZ432" s="52">
        <v>0</v>
      </c>
      <c r="BA432" s="52">
        <v>1308000</v>
      </c>
      <c r="BB432" s="54" t="s">
        <v>74</v>
      </c>
      <c r="BC432" s="53" t="s">
        <v>74</v>
      </c>
      <c r="BD432" s="55" t="s">
        <v>571</v>
      </c>
      <c r="BE432" s="55" t="s">
        <v>74</v>
      </c>
      <c r="BF432" s="55" t="s">
        <v>74</v>
      </c>
      <c r="BG432" s="55" t="s">
        <v>74</v>
      </c>
      <c r="BH432" s="52">
        <v>1308000</v>
      </c>
      <c r="BI432" s="52">
        <v>13463078.310000001</v>
      </c>
      <c r="BJ432" s="52">
        <v>12155078.310000001</v>
      </c>
      <c r="BK432" s="56">
        <v>44044</v>
      </c>
      <c r="BL432" s="63">
        <v>13463078.310000001</v>
      </c>
      <c r="BM432" s="47">
        <v>0</v>
      </c>
      <c r="BN432" s="9"/>
      <c r="BO432" s="9"/>
      <c r="BP432" s="9"/>
      <c r="BQ432" s="9"/>
      <c r="BR432" s="9"/>
      <c r="BS432" s="9"/>
      <c r="BT432" s="9"/>
      <c r="BU432" s="9"/>
      <c r="BV432" s="9"/>
      <c r="BW432" s="9"/>
    </row>
    <row r="433" spans="1:75" ht="26.25" hidden="1" outlineLevel="2" x14ac:dyDescent="0.25">
      <c r="A433" s="43" t="s">
        <v>564</v>
      </c>
      <c r="B433" s="110" t="s">
        <v>565</v>
      </c>
      <c r="C433" s="45">
        <v>2020</v>
      </c>
      <c r="D433" s="110" t="s">
        <v>88</v>
      </c>
      <c r="E433" s="47">
        <v>15036374.800000001</v>
      </c>
      <c r="F433" s="47">
        <v>494041.2</v>
      </c>
      <c r="G433" s="47">
        <v>0</v>
      </c>
      <c r="H433" s="47">
        <v>0</v>
      </c>
      <c r="I433" s="47">
        <v>0</v>
      </c>
      <c r="J433" s="47">
        <v>0</v>
      </c>
      <c r="K433" s="47">
        <v>0</v>
      </c>
      <c r="L433" s="47">
        <v>0</v>
      </c>
      <c r="M433" s="47">
        <v>0</v>
      </c>
      <c r="N433" s="47">
        <v>0</v>
      </c>
      <c r="O433" s="47">
        <v>0</v>
      </c>
      <c r="P433" s="47">
        <v>0</v>
      </c>
      <c r="Q433" s="47">
        <v>0</v>
      </c>
      <c r="R433" s="47">
        <v>0</v>
      </c>
      <c r="S433" s="47">
        <v>0</v>
      </c>
      <c r="T433" s="47">
        <v>0</v>
      </c>
      <c r="U433" s="47">
        <v>0</v>
      </c>
      <c r="V433" s="47">
        <v>0</v>
      </c>
      <c r="W433" s="47">
        <v>0</v>
      </c>
      <c r="X433" s="47">
        <v>0</v>
      </c>
      <c r="Y433" s="48">
        <v>15530416</v>
      </c>
      <c r="Z433" s="65">
        <v>3192748.62</v>
      </c>
      <c r="AA433" s="61">
        <v>3192748.62</v>
      </c>
      <c r="AB433" s="50">
        <v>0</v>
      </c>
      <c r="AC433" s="62">
        <v>8685.33</v>
      </c>
      <c r="AD433" s="62">
        <v>105971.84</v>
      </c>
      <c r="AE433" s="50">
        <v>0</v>
      </c>
      <c r="AF433" s="50">
        <v>0</v>
      </c>
      <c r="AG433" s="49">
        <f t="shared" si="60"/>
        <v>3307405.79</v>
      </c>
      <c r="AH433" s="51" t="s">
        <v>104</v>
      </c>
      <c r="AI433" s="51" t="s">
        <v>74</v>
      </c>
      <c r="AJ433" s="51" t="s">
        <v>169</v>
      </c>
      <c r="AK433" s="51" t="s">
        <v>170</v>
      </c>
      <c r="AL433" s="51" t="s">
        <v>74</v>
      </c>
      <c r="AM433" s="51" t="s">
        <v>74</v>
      </c>
      <c r="AN433" s="52">
        <v>0</v>
      </c>
      <c r="AO433" s="52">
        <v>0</v>
      </c>
      <c r="AP433" s="52">
        <v>0</v>
      </c>
      <c r="AQ433" s="52">
        <v>0</v>
      </c>
      <c r="AR433" s="52">
        <v>0</v>
      </c>
      <c r="AS433" s="52">
        <v>0</v>
      </c>
      <c r="AT433" s="53" t="s">
        <v>74</v>
      </c>
      <c r="AU433" s="52">
        <v>0</v>
      </c>
      <c r="AV433" s="52"/>
      <c r="AW433" s="52">
        <v>0</v>
      </c>
      <c r="AX433" s="52"/>
      <c r="AY433" s="52"/>
      <c r="AZ433" s="52">
        <v>0</v>
      </c>
      <c r="BA433" s="52">
        <v>0</v>
      </c>
      <c r="BB433" s="54" t="s">
        <v>74</v>
      </c>
      <c r="BC433" s="53" t="s">
        <v>74</v>
      </c>
      <c r="BD433" s="55" t="s">
        <v>74</v>
      </c>
      <c r="BE433" s="55" t="s">
        <v>74</v>
      </c>
      <c r="BF433" s="55" t="s">
        <v>74</v>
      </c>
      <c r="BG433" s="55" t="s">
        <v>74</v>
      </c>
      <c r="BH433" s="52">
        <v>0</v>
      </c>
      <c r="BI433" s="52">
        <v>12223010.210000001</v>
      </c>
      <c r="BJ433" s="52">
        <v>12223010.210000001</v>
      </c>
      <c r="BK433" s="56">
        <v>44075</v>
      </c>
      <c r="BL433" s="63">
        <v>12223010.210000001</v>
      </c>
      <c r="BM433" s="47">
        <v>0</v>
      </c>
      <c r="BN433" s="9"/>
      <c r="BO433" s="9"/>
      <c r="BP433" s="9"/>
      <c r="BQ433" s="9"/>
      <c r="BR433" s="9"/>
      <c r="BS433" s="9"/>
      <c r="BT433" s="9"/>
      <c r="BU433" s="9"/>
      <c r="BV433" s="9"/>
      <c r="BW433" s="9"/>
    </row>
    <row r="434" spans="1:75" ht="90" hidden="1" outlineLevel="2" x14ac:dyDescent="0.25">
      <c r="A434" s="43" t="s">
        <v>564</v>
      </c>
      <c r="B434" s="110" t="s">
        <v>565</v>
      </c>
      <c r="C434" s="45">
        <v>2020</v>
      </c>
      <c r="D434" s="110" t="s">
        <v>89</v>
      </c>
      <c r="E434" s="47">
        <v>15036374.800000001</v>
      </c>
      <c r="F434" s="47">
        <v>494041.2</v>
      </c>
      <c r="G434" s="47">
        <v>0</v>
      </c>
      <c r="H434" s="47">
        <v>0</v>
      </c>
      <c r="I434" s="47">
        <v>0</v>
      </c>
      <c r="J434" s="47">
        <v>0</v>
      </c>
      <c r="K434" s="47">
        <v>0</v>
      </c>
      <c r="L434" s="47">
        <v>0</v>
      </c>
      <c r="M434" s="47">
        <v>0</v>
      </c>
      <c r="N434" s="47">
        <v>0</v>
      </c>
      <c r="O434" s="47">
        <v>0</v>
      </c>
      <c r="P434" s="47">
        <v>0</v>
      </c>
      <c r="Q434" s="47">
        <v>0</v>
      </c>
      <c r="R434" s="47">
        <v>0</v>
      </c>
      <c r="S434" s="47">
        <v>0</v>
      </c>
      <c r="T434" s="47">
        <v>0</v>
      </c>
      <c r="U434" s="47">
        <v>0</v>
      </c>
      <c r="V434" s="47">
        <v>0</v>
      </c>
      <c r="W434" s="47">
        <v>0</v>
      </c>
      <c r="X434" s="47">
        <v>0</v>
      </c>
      <c r="Y434" s="48">
        <v>15530416</v>
      </c>
      <c r="Z434" s="66">
        <v>4867184.09</v>
      </c>
      <c r="AA434" s="50">
        <v>4737482.4400000004</v>
      </c>
      <c r="AB434" s="50">
        <v>0</v>
      </c>
      <c r="AC434" s="62">
        <v>50690.18</v>
      </c>
      <c r="AD434" s="62">
        <v>122668.14</v>
      </c>
      <c r="AE434" s="50">
        <v>0</v>
      </c>
      <c r="AF434" s="50">
        <v>0</v>
      </c>
      <c r="AG434" s="49">
        <f t="shared" si="60"/>
        <v>4910840.76</v>
      </c>
      <c r="AH434" s="51" t="s">
        <v>572</v>
      </c>
      <c r="AI434" s="51" t="s">
        <v>74</v>
      </c>
      <c r="AJ434" s="51" t="s">
        <v>171</v>
      </c>
      <c r="AK434" s="51" t="s">
        <v>172</v>
      </c>
      <c r="AL434" s="51" t="s">
        <v>74</v>
      </c>
      <c r="AM434" s="51" t="s">
        <v>74</v>
      </c>
      <c r="AN434" s="52">
        <v>0</v>
      </c>
      <c r="AO434" s="52">
        <v>43783.77</v>
      </c>
      <c r="AP434" s="52">
        <v>0</v>
      </c>
      <c r="AQ434" s="52">
        <v>0</v>
      </c>
      <c r="AR434" s="52">
        <v>0</v>
      </c>
      <c r="AS434" s="52">
        <v>43783.77</v>
      </c>
      <c r="AT434" s="53" t="s">
        <v>573</v>
      </c>
      <c r="AU434" s="52">
        <v>0</v>
      </c>
      <c r="AV434" s="52"/>
      <c r="AW434" s="59">
        <v>436000</v>
      </c>
      <c r="AX434" s="52"/>
      <c r="AY434" s="52"/>
      <c r="AZ434" s="52">
        <v>0</v>
      </c>
      <c r="BA434" s="52">
        <v>436000</v>
      </c>
      <c r="BB434" s="54" t="s">
        <v>74</v>
      </c>
      <c r="BC434" s="53" t="s">
        <v>74</v>
      </c>
      <c r="BD434" s="55" t="s">
        <v>574</v>
      </c>
      <c r="BE434" s="55" t="s">
        <v>74</v>
      </c>
      <c r="BF434" s="55" t="s">
        <v>74</v>
      </c>
      <c r="BG434" s="55" t="s">
        <v>74</v>
      </c>
      <c r="BH434" s="52">
        <v>479783.77</v>
      </c>
      <c r="BI434" s="52">
        <v>11099359.01</v>
      </c>
      <c r="BJ434" s="52">
        <v>10619575.24</v>
      </c>
      <c r="BK434" s="56">
        <v>44105</v>
      </c>
      <c r="BL434" s="63">
        <v>11099359.01</v>
      </c>
      <c r="BM434" s="47">
        <v>0</v>
      </c>
      <c r="BN434" s="9"/>
      <c r="BO434" s="9"/>
      <c r="BP434" s="9"/>
      <c r="BQ434" s="9"/>
      <c r="BR434" s="9"/>
      <c r="BS434" s="9"/>
      <c r="BT434" s="9"/>
      <c r="BU434" s="9"/>
      <c r="BV434" s="9"/>
      <c r="BW434" s="9"/>
    </row>
    <row r="435" spans="1:75" ht="166.5" hidden="1" outlineLevel="2" x14ac:dyDescent="0.25">
      <c r="A435" s="43" t="s">
        <v>564</v>
      </c>
      <c r="B435" s="110" t="s">
        <v>565</v>
      </c>
      <c r="C435" s="45">
        <v>2020</v>
      </c>
      <c r="D435" s="110" t="s">
        <v>90</v>
      </c>
      <c r="E435" s="47">
        <v>15036374.800000001</v>
      </c>
      <c r="F435" s="47">
        <v>494041.2</v>
      </c>
      <c r="G435" s="47">
        <v>0</v>
      </c>
      <c r="H435" s="47">
        <v>0</v>
      </c>
      <c r="I435" s="47">
        <v>0</v>
      </c>
      <c r="J435" s="47">
        <v>0</v>
      </c>
      <c r="K435" s="47">
        <v>0</v>
      </c>
      <c r="L435" s="47">
        <v>0</v>
      </c>
      <c r="M435" s="47">
        <v>0</v>
      </c>
      <c r="N435" s="47">
        <v>0</v>
      </c>
      <c r="O435" s="47">
        <v>0</v>
      </c>
      <c r="P435" s="47">
        <v>0</v>
      </c>
      <c r="Q435" s="47">
        <v>0</v>
      </c>
      <c r="R435" s="47">
        <v>0</v>
      </c>
      <c r="S435" s="47">
        <v>0</v>
      </c>
      <c r="T435" s="47">
        <v>0</v>
      </c>
      <c r="U435" s="47">
        <v>0</v>
      </c>
      <c r="V435" s="47">
        <v>0</v>
      </c>
      <c r="W435" s="47">
        <v>0</v>
      </c>
      <c r="X435" s="47">
        <v>0</v>
      </c>
      <c r="Y435" s="48">
        <v>15530416</v>
      </c>
      <c r="Z435" s="66">
        <v>3235498.96</v>
      </c>
      <c r="AA435" s="62">
        <v>3235498.96</v>
      </c>
      <c r="AB435" s="50">
        <v>129701.65</v>
      </c>
      <c r="AC435" s="62">
        <v>9017.73</v>
      </c>
      <c r="AD435" s="62">
        <v>149063.03</v>
      </c>
      <c r="AE435" s="50">
        <v>0</v>
      </c>
      <c r="AF435" s="50">
        <v>0</v>
      </c>
      <c r="AG435" s="49">
        <f t="shared" si="60"/>
        <v>3523281.3699999996</v>
      </c>
      <c r="AH435" s="51" t="s">
        <v>173</v>
      </c>
      <c r="AI435" s="51" t="s">
        <v>405</v>
      </c>
      <c r="AJ435" s="51" t="s">
        <v>174</v>
      </c>
      <c r="AK435" s="51" t="s">
        <v>175</v>
      </c>
      <c r="AL435" s="51" t="s">
        <v>74</v>
      </c>
      <c r="AM435" s="51" t="s">
        <v>74</v>
      </c>
      <c r="AN435" s="52"/>
      <c r="AO435" s="52"/>
      <c r="AP435" s="52"/>
      <c r="AQ435" s="52"/>
      <c r="AR435" s="52"/>
      <c r="AS435" s="52">
        <v>0</v>
      </c>
      <c r="AT435" s="53" t="s">
        <v>74</v>
      </c>
      <c r="AU435" s="52">
        <v>0</v>
      </c>
      <c r="AV435" s="52"/>
      <c r="AW435" s="59">
        <v>564380</v>
      </c>
      <c r="AX435" s="52"/>
      <c r="AY435" s="52"/>
      <c r="AZ435" s="52">
        <v>0</v>
      </c>
      <c r="BA435" s="52">
        <v>564380</v>
      </c>
      <c r="BB435" s="54" t="s">
        <v>74</v>
      </c>
      <c r="BC435" s="53" t="s">
        <v>74</v>
      </c>
      <c r="BD435" s="55" t="s">
        <v>575</v>
      </c>
      <c r="BE435" s="55" t="s">
        <v>74</v>
      </c>
      <c r="BF435" s="55" t="s">
        <v>74</v>
      </c>
      <c r="BG435" s="55" t="s">
        <v>74</v>
      </c>
      <c r="BH435" s="52">
        <v>564380</v>
      </c>
      <c r="BI435" s="52">
        <v>12571514.630000001</v>
      </c>
      <c r="BJ435" s="52">
        <v>12007134.630000001</v>
      </c>
      <c r="BK435" s="56">
        <v>44136</v>
      </c>
      <c r="BL435" s="63">
        <v>12571514.630000001</v>
      </c>
      <c r="BM435" s="47">
        <v>0</v>
      </c>
      <c r="BN435" s="9"/>
      <c r="BO435" s="9"/>
      <c r="BP435" s="9"/>
      <c r="BQ435" s="9"/>
      <c r="BR435" s="9"/>
      <c r="BS435" s="9"/>
      <c r="BT435" s="9"/>
      <c r="BU435" s="9"/>
      <c r="BV435" s="9"/>
      <c r="BW435" s="9"/>
    </row>
    <row r="436" spans="1:75" ht="179.25" hidden="1" outlineLevel="2" x14ac:dyDescent="0.25">
      <c r="A436" s="43" t="s">
        <v>564</v>
      </c>
      <c r="B436" s="110" t="s">
        <v>565</v>
      </c>
      <c r="C436" s="45">
        <v>2020</v>
      </c>
      <c r="D436" s="110" t="s">
        <v>93</v>
      </c>
      <c r="E436" s="47">
        <v>15036374.800000001</v>
      </c>
      <c r="F436" s="47">
        <v>494041.2</v>
      </c>
      <c r="G436" s="47">
        <v>0</v>
      </c>
      <c r="H436" s="47">
        <v>0</v>
      </c>
      <c r="I436" s="47">
        <v>0</v>
      </c>
      <c r="J436" s="47">
        <v>0</v>
      </c>
      <c r="K436" s="47">
        <v>0</v>
      </c>
      <c r="L436" s="47">
        <v>0</v>
      </c>
      <c r="M436" s="47">
        <v>0</v>
      </c>
      <c r="N436" s="47">
        <v>0</v>
      </c>
      <c r="O436" s="47">
        <v>0</v>
      </c>
      <c r="P436" s="47">
        <v>0</v>
      </c>
      <c r="Q436" s="47">
        <v>0</v>
      </c>
      <c r="R436" s="47">
        <v>0</v>
      </c>
      <c r="S436" s="47">
        <v>0</v>
      </c>
      <c r="T436" s="47">
        <v>0</v>
      </c>
      <c r="U436" s="47">
        <v>0</v>
      </c>
      <c r="V436" s="47">
        <v>0</v>
      </c>
      <c r="W436" s="47">
        <v>0</v>
      </c>
      <c r="X436" s="47">
        <v>0</v>
      </c>
      <c r="Y436" s="48">
        <v>15530416</v>
      </c>
      <c r="Z436" s="67">
        <v>3246646.5</v>
      </c>
      <c r="AA436" s="62">
        <v>3246646.5</v>
      </c>
      <c r="AB436" s="50">
        <v>0</v>
      </c>
      <c r="AC436" s="62">
        <v>8842.9</v>
      </c>
      <c r="AD436" s="62">
        <v>255733.68</v>
      </c>
      <c r="AE436" s="50">
        <v>0</v>
      </c>
      <c r="AF436" s="50">
        <v>0</v>
      </c>
      <c r="AG436" s="49">
        <f t="shared" si="60"/>
        <v>3511223.08</v>
      </c>
      <c r="AH436" s="51" t="s">
        <v>104</v>
      </c>
      <c r="AI436" s="51" t="s">
        <v>74</v>
      </c>
      <c r="AJ436" s="51" t="s">
        <v>176</v>
      </c>
      <c r="AK436" s="51" t="s">
        <v>576</v>
      </c>
      <c r="AL436" s="51" t="s">
        <v>74</v>
      </c>
      <c r="AM436" s="51" t="s">
        <v>74</v>
      </c>
      <c r="AN436" s="52">
        <v>0</v>
      </c>
      <c r="AO436" s="52">
        <v>0</v>
      </c>
      <c r="AP436" s="52">
        <v>0</v>
      </c>
      <c r="AQ436" s="52">
        <v>0</v>
      </c>
      <c r="AR436" s="52">
        <v>0</v>
      </c>
      <c r="AS436" s="52">
        <v>0</v>
      </c>
      <c r="AT436" s="53" t="s">
        <v>74</v>
      </c>
      <c r="AU436" s="52">
        <v>0</v>
      </c>
      <c r="AV436" s="52"/>
      <c r="AW436" s="59">
        <v>3130160</v>
      </c>
      <c r="AX436" s="52"/>
      <c r="AY436" s="52"/>
      <c r="AZ436" s="52">
        <v>0</v>
      </c>
      <c r="BA436" s="52">
        <v>3130160</v>
      </c>
      <c r="BB436" s="54" t="s">
        <v>74</v>
      </c>
      <c r="BC436" s="53" t="s">
        <v>74</v>
      </c>
      <c r="BD436" s="55" t="s">
        <v>577</v>
      </c>
      <c r="BE436" s="55" t="s">
        <v>74</v>
      </c>
      <c r="BF436" s="55" t="s">
        <v>74</v>
      </c>
      <c r="BG436" s="55" t="s">
        <v>74</v>
      </c>
      <c r="BH436" s="52">
        <v>3130160</v>
      </c>
      <c r="BI436" s="52">
        <v>15149352.92</v>
      </c>
      <c r="BJ436" s="52">
        <v>12455192.483999999</v>
      </c>
      <c r="BK436" s="56">
        <v>44166</v>
      </c>
      <c r="BL436" s="63">
        <v>15149352.92</v>
      </c>
      <c r="BM436" s="47">
        <v>0</v>
      </c>
      <c r="BN436" s="9"/>
      <c r="BO436" s="9"/>
      <c r="BP436" s="9"/>
      <c r="BQ436" s="9"/>
      <c r="BR436" s="9"/>
      <c r="BS436" s="9"/>
      <c r="BT436" s="9"/>
      <c r="BU436" s="9"/>
      <c r="BV436" s="9"/>
      <c r="BW436" s="9"/>
    </row>
    <row r="437" spans="1:75" ht="26.25" hidden="1" outlineLevel="2" x14ac:dyDescent="0.25">
      <c r="A437" s="43" t="s">
        <v>564</v>
      </c>
      <c r="B437" s="110" t="s">
        <v>565</v>
      </c>
      <c r="C437" s="45">
        <v>2021</v>
      </c>
      <c r="D437" s="110" t="s">
        <v>73</v>
      </c>
      <c r="E437" s="47">
        <v>15036374.800000001</v>
      </c>
      <c r="F437" s="47">
        <v>494041.2</v>
      </c>
      <c r="G437" s="47">
        <v>0</v>
      </c>
      <c r="H437" s="47">
        <v>0</v>
      </c>
      <c r="I437" s="47">
        <v>0</v>
      </c>
      <c r="J437" s="47">
        <v>0</v>
      </c>
      <c r="K437" s="47">
        <v>0</v>
      </c>
      <c r="L437" s="47">
        <v>0</v>
      </c>
      <c r="M437" s="47">
        <v>0</v>
      </c>
      <c r="N437" s="47">
        <v>0</v>
      </c>
      <c r="O437" s="47">
        <v>0</v>
      </c>
      <c r="P437" s="47">
        <v>0</v>
      </c>
      <c r="Q437" s="47">
        <v>0</v>
      </c>
      <c r="R437" s="47">
        <v>0</v>
      </c>
      <c r="S437" s="47">
        <v>0</v>
      </c>
      <c r="T437" s="47">
        <v>0</v>
      </c>
      <c r="U437" s="47">
        <v>0</v>
      </c>
      <c r="V437" s="47">
        <v>0</v>
      </c>
      <c r="W437" s="47">
        <v>0</v>
      </c>
      <c r="X437" s="47">
        <v>0</v>
      </c>
      <c r="Y437" s="48">
        <f t="shared" ref="Y437:Y446" si="61">SUM(E437:X437)</f>
        <v>15530416</v>
      </c>
      <c r="Z437" s="66">
        <v>3192936.41</v>
      </c>
      <c r="AA437" s="62">
        <v>3192936.41</v>
      </c>
      <c r="AB437" s="50">
        <v>0</v>
      </c>
      <c r="AC437" s="62">
        <v>9214.6</v>
      </c>
      <c r="AD437" s="50">
        <v>0</v>
      </c>
      <c r="AE437" s="50">
        <v>0</v>
      </c>
      <c r="AF437" s="50">
        <v>0</v>
      </c>
      <c r="AG437" s="49">
        <f t="shared" ref="AG437:AG446" si="62">SUM(AA437:AF437)</f>
        <v>3202151.0100000002</v>
      </c>
      <c r="AH437" s="51" t="s">
        <v>104</v>
      </c>
      <c r="AI437" s="51" t="s">
        <v>74</v>
      </c>
      <c r="AJ437" s="51" t="s">
        <v>178</v>
      </c>
      <c r="AK437" s="51" t="s">
        <v>74</v>
      </c>
      <c r="AL437" s="51" t="s">
        <v>74</v>
      </c>
      <c r="AM437" s="51" t="s">
        <v>74</v>
      </c>
      <c r="AN437" s="52">
        <v>0</v>
      </c>
      <c r="AO437" s="52">
        <v>0</v>
      </c>
      <c r="AP437" s="52">
        <v>0</v>
      </c>
      <c r="AQ437" s="52">
        <v>0</v>
      </c>
      <c r="AR437" s="52">
        <v>0</v>
      </c>
      <c r="AS437" s="52">
        <f t="shared" ref="AS437:AS446" si="63">AN437+AO437+AP437+AQ437+AR437</f>
        <v>0</v>
      </c>
      <c r="AT437" s="53" t="s">
        <v>74</v>
      </c>
      <c r="AU437" s="52">
        <v>0</v>
      </c>
      <c r="AV437" s="52"/>
      <c r="AW437" s="52">
        <v>0</v>
      </c>
      <c r="AX437" s="52"/>
      <c r="AY437" s="52"/>
      <c r="AZ437" s="52">
        <v>0</v>
      </c>
      <c r="BA437" s="52">
        <f t="shared" ref="BA437:BA446" si="64">AU437+AW437+AX437+AZ437</f>
        <v>0</v>
      </c>
      <c r="BB437" s="54" t="s">
        <v>74</v>
      </c>
      <c r="BC437" s="53" t="s">
        <v>74</v>
      </c>
      <c r="BD437" s="55" t="s">
        <v>74</v>
      </c>
      <c r="BE437" s="55" t="s">
        <v>74</v>
      </c>
      <c r="BF437" s="55" t="s">
        <v>74</v>
      </c>
      <c r="BG437" s="55" t="s">
        <v>74</v>
      </c>
      <c r="BH437" s="52">
        <f t="shared" ref="BH437:BH446" si="65">AS437+BA437</f>
        <v>0</v>
      </c>
      <c r="BI437" s="52">
        <f t="shared" ref="BI437:BI446" si="66">Y437-AG437+BH437</f>
        <v>12328264.99</v>
      </c>
      <c r="BJ437" s="52">
        <v>12328264.99</v>
      </c>
      <c r="BK437" s="56">
        <v>44197</v>
      </c>
      <c r="BL437" s="63">
        <v>12328264.99</v>
      </c>
      <c r="BM437" s="47">
        <v>0</v>
      </c>
      <c r="BN437" s="9"/>
      <c r="BO437" s="9"/>
      <c r="BP437" s="9"/>
      <c r="BQ437" s="9"/>
      <c r="BR437" s="9"/>
      <c r="BS437" s="9"/>
      <c r="BT437" s="9"/>
      <c r="BU437" s="9"/>
      <c r="BV437" s="9"/>
      <c r="BW437" s="9"/>
    </row>
    <row r="438" spans="1:75" ht="26.25" hidden="1" outlineLevel="2" x14ac:dyDescent="0.25">
      <c r="A438" s="43" t="s">
        <v>564</v>
      </c>
      <c r="B438" s="110" t="s">
        <v>565</v>
      </c>
      <c r="C438" s="45">
        <v>2021</v>
      </c>
      <c r="D438" s="110" t="s">
        <v>75</v>
      </c>
      <c r="E438" s="47">
        <v>15036374.800000001</v>
      </c>
      <c r="F438" s="47">
        <v>494041.2</v>
      </c>
      <c r="G438" s="47">
        <v>0</v>
      </c>
      <c r="H438" s="47">
        <v>0</v>
      </c>
      <c r="I438" s="47">
        <v>0</v>
      </c>
      <c r="J438" s="47">
        <v>0</v>
      </c>
      <c r="K438" s="47">
        <v>0</v>
      </c>
      <c r="L438" s="47">
        <v>0</v>
      </c>
      <c r="M438" s="47">
        <v>0</v>
      </c>
      <c r="N438" s="47">
        <v>0</v>
      </c>
      <c r="O438" s="47">
        <v>0</v>
      </c>
      <c r="P438" s="47">
        <v>0</v>
      </c>
      <c r="Q438" s="47">
        <v>0</v>
      </c>
      <c r="R438" s="47">
        <v>0</v>
      </c>
      <c r="S438" s="47">
        <v>0</v>
      </c>
      <c r="T438" s="47">
        <v>0</v>
      </c>
      <c r="U438" s="47">
        <v>0</v>
      </c>
      <c r="V438" s="47">
        <v>0</v>
      </c>
      <c r="W438" s="47">
        <v>0</v>
      </c>
      <c r="X438" s="47">
        <v>0</v>
      </c>
      <c r="Y438" s="48">
        <f t="shared" si="61"/>
        <v>15530416</v>
      </c>
      <c r="Z438" s="66">
        <v>3200899.52</v>
      </c>
      <c r="AA438" s="62">
        <v>3200899.52</v>
      </c>
      <c r="AB438" s="50">
        <v>0</v>
      </c>
      <c r="AC438" s="62">
        <v>8621.52</v>
      </c>
      <c r="AD438" s="62">
        <v>156914.22</v>
      </c>
      <c r="AE438" s="50">
        <v>0</v>
      </c>
      <c r="AF438" s="50">
        <v>0</v>
      </c>
      <c r="AG438" s="49">
        <f t="shared" si="62"/>
        <v>3366435.2600000002</v>
      </c>
      <c r="AH438" s="51" t="s">
        <v>104</v>
      </c>
      <c r="AI438" s="51" t="s">
        <v>74</v>
      </c>
      <c r="AJ438" s="51" t="s">
        <v>578</v>
      </c>
      <c r="AK438" s="51" t="s">
        <v>180</v>
      </c>
      <c r="AL438" s="51" t="s">
        <v>74</v>
      </c>
      <c r="AM438" s="51" t="s">
        <v>74</v>
      </c>
      <c r="AN438" s="52">
        <v>0</v>
      </c>
      <c r="AO438" s="52">
        <v>0</v>
      </c>
      <c r="AP438" s="52">
        <v>0</v>
      </c>
      <c r="AQ438" s="52">
        <v>0</v>
      </c>
      <c r="AR438" s="52">
        <v>0</v>
      </c>
      <c r="AS438" s="52">
        <f t="shared" si="63"/>
        <v>0</v>
      </c>
      <c r="AT438" s="53" t="s">
        <v>74</v>
      </c>
      <c r="AU438" s="52">
        <v>0</v>
      </c>
      <c r="AV438" s="52"/>
      <c r="AW438" s="52">
        <v>0</v>
      </c>
      <c r="AX438" s="52"/>
      <c r="AY438" s="52"/>
      <c r="AZ438" s="52">
        <v>0</v>
      </c>
      <c r="BA438" s="52">
        <f t="shared" si="64"/>
        <v>0</v>
      </c>
      <c r="BB438" s="54" t="s">
        <v>74</v>
      </c>
      <c r="BC438" s="53" t="s">
        <v>74</v>
      </c>
      <c r="BD438" s="55" t="s">
        <v>74</v>
      </c>
      <c r="BE438" s="55" t="s">
        <v>74</v>
      </c>
      <c r="BF438" s="55" t="s">
        <v>74</v>
      </c>
      <c r="BG438" s="55" t="s">
        <v>74</v>
      </c>
      <c r="BH438" s="52">
        <f t="shared" si="65"/>
        <v>0</v>
      </c>
      <c r="BI438" s="52">
        <f t="shared" si="66"/>
        <v>12163980.74</v>
      </c>
      <c r="BJ438" s="52">
        <v>12163980.74</v>
      </c>
      <c r="BK438" s="56">
        <v>44228</v>
      </c>
      <c r="BL438" s="57">
        <v>12163980.74</v>
      </c>
      <c r="BM438" s="47">
        <v>0</v>
      </c>
      <c r="BN438" s="9"/>
      <c r="BO438" s="9"/>
      <c r="BP438" s="9"/>
      <c r="BQ438" s="9"/>
      <c r="BR438" s="9"/>
      <c r="BS438" s="9"/>
      <c r="BT438" s="9"/>
      <c r="BU438" s="9"/>
      <c r="BV438" s="9"/>
      <c r="BW438" s="9"/>
    </row>
    <row r="439" spans="1:75" ht="409.6" hidden="1" outlineLevel="2" x14ac:dyDescent="0.25">
      <c r="A439" s="43" t="s">
        <v>564</v>
      </c>
      <c r="B439" s="110" t="s">
        <v>565</v>
      </c>
      <c r="C439" s="45">
        <v>2021</v>
      </c>
      <c r="D439" s="110" t="s">
        <v>77</v>
      </c>
      <c r="E439" s="47">
        <v>15036374.800000001</v>
      </c>
      <c r="F439" s="47">
        <v>494041.2</v>
      </c>
      <c r="G439" s="47">
        <v>0</v>
      </c>
      <c r="H439" s="47">
        <v>0</v>
      </c>
      <c r="I439" s="47">
        <v>0</v>
      </c>
      <c r="J439" s="47">
        <v>0</v>
      </c>
      <c r="K439" s="47">
        <v>0</v>
      </c>
      <c r="L439" s="47">
        <v>0</v>
      </c>
      <c r="M439" s="47">
        <v>0</v>
      </c>
      <c r="N439" s="47">
        <v>0</v>
      </c>
      <c r="O439" s="47">
        <v>0</v>
      </c>
      <c r="P439" s="47">
        <v>0</v>
      </c>
      <c r="Q439" s="47">
        <v>0</v>
      </c>
      <c r="R439" s="47">
        <v>0</v>
      </c>
      <c r="S439" s="47">
        <v>0</v>
      </c>
      <c r="T439" s="47">
        <v>0</v>
      </c>
      <c r="U439" s="47">
        <v>0</v>
      </c>
      <c r="V439" s="47">
        <v>0</v>
      </c>
      <c r="W439" s="47">
        <v>0</v>
      </c>
      <c r="X439" s="47">
        <v>0</v>
      </c>
      <c r="Y439" s="48">
        <f t="shared" si="61"/>
        <v>15530416</v>
      </c>
      <c r="Z439" s="66">
        <v>3055117.25</v>
      </c>
      <c r="AA439" s="168">
        <v>3055117.25</v>
      </c>
      <c r="AB439" s="169">
        <v>0</v>
      </c>
      <c r="AC439" s="168">
        <v>9199.2800000000007</v>
      </c>
      <c r="AD439" s="168">
        <v>154217.57</v>
      </c>
      <c r="AE439" s="169">
        <v>0</v>
      </c>
      <c r="AF439" s="169">
        <v>0</v>
      </c>
      <c r="AG439" s="49">
        <f t="shared" si="62"/>
        <v>3218534.0999999996</v>
      </c>
      <c r="AH439" s="51" t="s">
        <v>104</v>
      </c>
      <c r="AI439" s="51" t="s">
        <v>74</v>
      </c>
      <c r="AJ439" s="51" t="s">
        <v>579</v>
      </c>
      <c r="AK439" s="51" t="s">
        <v>182</v>
      </c>
      <c r="AL439" s="51" t="s">
        <v>74</v>
      </c>
      <c r="AM439" s="51" t="s">
        <v>74</v>
      </c>
      <c r="AN439" s="52">
        <v>0</v>
      </c>
      <c r="AO439" s="52">
        <v>0</v>
      </c>
      <c r="AP439" s="52">
        <v>0</v>
      </c>
      <c r="AQ439" s="52">
        <v>0</v>
      </c>
      <c r="AR439" s="52">
        <v>0</v>
      </c>
      <c r="AS439" s="52">
        <f t="shared" si="63"/>
        <v>0</v>
      </c>
      <c r="AT439" s="53" t="s">
        <v>74</v>
      </c>
      <c r="AU439" s="52">
        <v>0</v>
      </c>
      <c r="AV439" s="52"/>
      <c r="AW439" s="170">
        <v>8372868.6799999997</v>
      </c>
      <c r="AX439" s="68">
        <v>580060.37</v>
      </c>
      <c r="AY439" s="52"/>
      <c r="AZ439" s="52">
        <v>0</v>
      </c>
      <c r="BA439" s="52">
        <f t="shared" si="64"/>
        <v>8952929.0499999989</v>
      </c>
      <c r="BB439" s="54" t="s">
        <v>74</v>
      </c>
      <c r="BC439" s="53" t="s">
        <v>74</v>
      </c>
      <c r="BD439" s="55" t="s">
        <v>580</v>
      </c>
      <c r="BE439" s="55" t="s">
        <v>581</v>
      </c>
      <c r="BF439" s="55" t="s">
        <v>74</v>
      </c>
      <c r="BG439" s="55" t="s">
        <v>74</v>
      </c>
      <c r="BH439" s="52">
        <f t="shared" si="65"/>
        <v>8952929.0499999989</v>
      </c>
      <c r="BI439" s="52">
        <f t="shared" si="66"/>
        <v>21264810.949999999</v>
      </c>
      <c r="BJ439" s="52">
        <v>12311881.9</v>
      </c>
      <c r="BK439" s="56">
        <v>44256</v>
      </c>
      <c r="BL439" s="57">
        <f>20684750.58+580060.37</f>
        <v>21264810.949999999</v>
      </c>
      <c r="BM439" s="47">
        <v>0</v>
      </c>
      <c r="BN439" s="9"/>
      <c r="BO439" s="9"/>
      <c r="BP439" s="9"/>
      <c r="BQ439" s="9"/>
      <c r="BR439" s="9"/>
      <c r="BS439" s="9"/>
      <c r="BT439" s="9"/>
      <c r="BU439" s="9"/>
      <c r="BV439" s="9"/>
      <c r="BW439" s="9"/>
    </row>
    <row r="440" spans="1:75" ht="153.75" hidden="1" outlineLevel="2" x14ac:dyDescent="0.25">
      <c r="A440" s="43" t="s">
        <v>564</v>
      </c>
      <c r="B440" s="110" t="s">
        <v>565</v>
      </c>
      <c r="C440" s="45">
        <v>2021</v>
      </c>
      <c r="D440" s="110" t="s">
        <v>79</v>
      </c>
      <c r="E440" s="47">
        <v>15036374.800000001</v>
      </c>
      <c r="F440" s="47">
        <v>494041.2</v>
      </c>
      <c r="G440" s="47">
        <v>0</v>
      </c>
      <c r="H440" s="47">
        <v>0</v>
      </c>
      <c r="I440" s="47">
        <v>0</v>
      </c>
      <c r="J440" s="47">
        <v>0</v>
      </c>
      <c r="K440" s="47">
        <v>0</v>
      </c>
      <c r="L440" s="47">
        <v>0</v>
      </c>
      <c r="M440" s="47">
        <v>0</v>
      </c>
      <c r="N440" s="47">
        <v>0</v>
      </c>
      <c r="O440" s="47">
        <v>0</v>
      </c>
      <c r="P440" s="47">
        <v>0</v>
      </c>
      <c r="Q440" s="47">
        <v>0</v>
      </c>
      <c r="R440" s="47">
        <v>0</v>
      </c>
      <c r="S440" s="47">
        <v>0</v>
      </c>
      <c r="T440" s="47">
        <v>0</v>
      </c>
      <c r="U440" s="47">
        <v>0</v>
      </c>
      <c r="V440" s="47">
        <v>0</v>
      </c>
      <c r="W440" s="47">
        <v>0</v>
      </c>
      <c r="X440" s="47">
        <v>0</v>
      </c>
      <c r="Y440" s="48">
        <f t="shared" si="61"/>
        <v>15530416</v>
      </c>
      <c r="Z440" s="66">
        <v>3047286.79</v>
      </c>
      <c r="AA440" s="62">
        <v>3047286.79</v>
      </c>
      <c r="AB440" s="50">
        <v>0</v>
      </c>
      <c r="AC440" s="62">
        <v>9804.94</v>
      </c>
      <c r="AD440" s="62">
        <v>134012.73000000001</v>
      </c>
      <c r="AE440" s="50">
        <v>0</v>
      </c>
      <c r="AF440" s="50">
        <v>0</v>
      </c>
      <c r="AG440" s="49">
        <f t="shared" si="62"/>
        <v>3191104.46</v>
      </c>
      <c r="AH440" s="51" t="s">
        <v>104</v>
      </c>
      <c r="AI440" s="51" t="s">
        <v>74</v>
      </c>
      <c r="AJ440" s="51" t="s">
        <v>463</v>
      </c>
      <c r="AK440" s="51" t="s">
        <v>409</v>
      </c>
      <c r="AL440" s="51" t="s">
        <v>74</v>
      </c>
      <c r="AM440" s="51" t="s">
        <v>74</v>
      </c>
      <c r="AN440" s="52">
        <v>0</v>
      </c>
      <c r="AO440" s="52">
        <v>0</v>
      </c>
      <c r="AP440" s="52">
        <v>0</v>
      </c>
      <c r="AQ440" s="52">
        <v>0</v>
      </c>
      <c r="AR440" s="52">
        <v>0</v>
      </c>
      <c r="AS440" s="52">
        <f t="shared" si="63"/>
        <v>0</v>
      </c>
      <c r="AT440" s="53" t="s">
        <v>74</v>
      </c>
      <c r="AU440" s="52">
        <v>0</v>
      </c>
      <c r="AV440" s="52"/>
      <c r="AW440" s="59">
        <v>371034</v>
      </c>
      <c r="AX440" s="68">
        <v>1081488.48</v>
      </c>
      <c r="AY440" s="52"/>
      <c r="AZ440" s="52">
        <v>0</v>
      </c>
      <c r="BA440" s="52">
        <f t="shared" si="64"/>
        <v>1452522.48</v>
      </c>
      <c r="BB440" s="54" t="s">
        <v>74</v>
      </c>
      <c r="BC440" s="53" t="s">
        <v>74</v>
      </c>
      <c r="BD440" s="55" t="s">
        <v>582</v>
      </c>
      <c r="BE440" s="55" t="s">
        <v>583</v>
      </c>
      <c r="BF440" s="55" t="s">
        <v>74</v>
      </c>
      <c r="BG440" s="55" t="s">
        <v>74</v>
      </c>
      <c r="BH440" s="52">
        <f t="shared" si="65"/>
        <v>1452522.48</v>
      </c>
      <c r="BI440" s="52">
        <f t="shared" si="66"/>
        <v>13791834.02</v>
      </c>
      <c r="BJ440" s="52">
        <v>12339311.539999999</v>
      </c>
      <c r="BK440" s="56">
        <v>44287</v>
      </c>
      <c r="BL440" s="63">
        <f>12710345.54+1081488.48</f>
        <v>13791834.02</v>
      </c>
      <c r="BM440" s="47">
        <v>0</v>
      </c>
      <c r="BN440" s="9"/>
      <c r="BO440" s="9"/>
      <c r="BP440" s="9"/>
      <c r="BQ440" s="9"/>
      <c r="BR440" s="9"/>
      <c r="BS440" s="9"/>
      <c r="BT440" s="9"/>
      <c r="BU440" s="9"/>
      <c r="BV440" s="9"/>
      <c r="BW440" s="9"/>
    </row>
    <row r="441" spans="1:75" ht="128.25" hidden="1" outlineLevel="2" x14ac:dyDescent="0.25">
      <c r="A441" s="43" t="s">
        <v>564</v>
      </c>
      <c r="B441" s="110" t="s">
        <v>565</v>
      </c>
      <c r="C441" s="45">
        <v>2021</v>
      </c>
      <c r="D441" s="110" t="s">
        <v>81</v>
      </c>
      <c r="E441" s="47">
        <v>15036374.800000001</v>
      </c>
      <c r="F441" s="47">
        <v>494041.2</v>
      </c>
      <c r="G441" s="47">
        <v>0</v>
      </c>
      <c r="H441" s="47">
        <v>0</v>
      </c>
      <c r="I441" s="47">
        <v>0</v>
      </c>
      <c r="J441" s="47">
        <v>0</v>
      </c>
      <c r="K441" s="47">
        <v>0</v>
      </c>
      <c r="L441" s="47">
        <v>0</v>
      </c>
      <c r="M441" s="47">
        <v>0</v>
      </c>
      <c r="N441" s="47">
        <v>0</v>
      </c>
      <c r="O441" s="47">
        <v>0</v>
      </c>
      <c r="P441" s="47">
        <v>0</v>
      </c>
      <c r="Q441" s="47">
        <v>0</v>
      </c>
      <c r="R441" s="47">
        <v>0</v>
      </c>
      <c r="S441" s="47">
        <v>0</v>
      </c>
      <c r="T441" s="47">
        <v>0</v>
      </c>
      <c r="U441" s="47">
        <v>0</v>
      </c>
      <c r="V441" s="47">
        <v>0</v>
      </c>
      <c r="W441" s="47">
        <v>0</v>
      </c>
      <c r="X441" s="47">
        <v>0</v>
      </c>
      <c r="Y441" s="48">
        <f t="shared" si="61"/>
        <v>15530416</v>
      </c>
      <c r="Z441" s="66">
        <v>2939050.79</v>
      </c>
      <c r="AA441" s="62">
        <v>2939050.79</v>
      </c>
      <c r="AB441" s="50">
        <v>0</v>
      </c>
      <c r="AC441" s="62">
        <v>10088.42</v>
      </c>
      <c r="AD441" s="62">
        <v>148178.15</v>
      </c>
      <c r="AE441" s="62"/>
      <c r="AF441" s="50">
        <v>0</v>
      </c>
      <c r="AG441" s="49">
        <f t="shared" si="62"/>
        <v>3097317.36</v>
      </c>
      <c r="AH441" s="51" t="s">
        <v>104</v>
      </c>
      <c r="AI441" s="51" t="s">
        <v>74</v>
      </c>
      <c r="AJ441" s="51" t="s">
        <v>584</v>
      </c>
      <c r="AK441" s="51" t="s">
        <v>411</v>
      </c>
      <c r="AL441" s="51" t="s">
        <v>74</v>
      </c>
      <c r="AM441" s="51" t="s">
        <v>74</v>
      </c>
      <c r="AN441" s="52">
        <v>0</v>
      </c>
      <c r="AO441" s="52">
        <v>0</v>
      </c>
      <c r="AP441" s="52">
        <v>0</v>
      </c>
      <c r="AQ441" s="52">
        <v>0</v>
      </c>
      <c r="AR441" s="52">
        <v>0</v>
      </c>
      <c r="AS441" s="52">
        <f t="shared" si="63"/>
        <v>0</v>
      </c>
      <c r="AT441" s="53" t="s">
        <v>74</v>
      </c>
      <c r="AU441" s="52">
        <v>0</v>
      </c>
      <c r="AV441" s="52"/>
      <c r="AW441" s="59">
        <v>64800</v>
      </c>
      <c r="AX441" s="68">
        <v>1081488.48</v>
      </c>
      <c r="AY441" s="52"/>
      <c r="AZ441" s="52">
        <v>0</v>
      </c>
      <c r="BA441" s="52">
        <f t="shared" si="64"/>
        <v>1146288.48</v>
      </c>
      <c r="BB441" s="54" t="s">
        <v>74</v>
      </c>
      <c r="BC441" s="53" t="s">
        <v>74</v>
      </c>
      <c r="BD441" s="55" t="s">
        <v>585</v>
      </c>
      <c r="BE441" s="55" t="s">
        <v>586</v>
      </c>
      <c r="BF441" s="55" t="s">
        <v>74</v>
      </c>
      <c r="BG441" s="55" t="s">
        <v>74</v>
      </c>
      <c r="BH441" s="52">
        <f t="shared" si="65"/>
        <v>1146288.48</v>
      </c>
      <c r="BI441" s="52">
        <f t="shared" si="66"/>
        <v>13579387.120000001</v>
      </c>
      <c r="BJ441" s="52">
        <v>12433098.640000001</v>
      </c>
      <c r="BK441" s="56">
        <v>44317</v>
      </c>
      <c r="BL441" s="63">
        <f>12497898.64+1081488.48</f>
        <v>13579387.120000001</v>
      </c>
      <c r="BM441" s="47">
        <v>0</v>
      </c>
      <c r="BN441" s="9"/>
      <c r="BO441" s="9"/>
      <c r="BP441" s="9"/>
      <c r="BQ441" s="9"/>
      <c r="BR441" s="9"/>
      <c r="BS441" s="9"/>
      <c r="BT441" s="9"/>
      <c r="BU441" s="9"/>
      <c r="BV441" s="9"/>
      <c r="BW441" s="9"/>
    </row>
    <row r="442" spans="1:75" ht="409.6" hidden="1" outlineLevel="2" x14ac:dyDescent="0.25">
      <c r="A442" s="43" t="s">
        <v>564</v>
      </c>
      <c r="B442" s="110" t="s">
        <v>565</v>
      </c>
      <c r="C442" s="45">
        <v>2021</v>
      </c>
      <c r="D442" s="113" t="s">
        <v>83</v>
      </c>
      <c r="E442" s="47">
        <v>15036374.800000001</v>
      </c>
      <c r="F442" s="47">
        <v>494041.2</v>
      </c>
      <c r="G442" s="47">
        <v>1833599.13</v>
      </c>
      <c r="H442" s="47">
        <v>0</v>
      </c>
      <c r="I442" s="47">
        <v>0</v>
      </c>
      <c r="J442" s="47">
        <v>0</v>
      </c>
      <c r="K442" s="47">
        <v>0</v>
      </c>
      <c r="L442" s="47">
        <v>0</v>
      </c>
      <c r="M442" s="47">
        <v>0</v>
      </c>
      <c r="N442" s="47">
        <v>0</v>
      </c>
      <c r="O442" s="47">
        <v>0</v>
      </c>
      <c r="P442" s="47">
        <v>0</v>
      </c>
      <c r="Q442" s="47">
        <v>0</v>
      </c>
      <c r="R442" s="47">
        <v>0</v>
      </c>
      <c r="S442" s="47">
        <v>0</v>
      </c>
      <c r="T442" s="47">
        <v>0</v>
      </c>
      <c r="U442" s="47">
        <v>0</v>
      </c>
      <c r="V442" s="47">
        <v>0</v>
      </c>
      <c r="W442" s="47">
        <v>0</v>
      </c>
      <c r="X442" s="47">
        <v>0</v>
      </c>
      <c r="Y442" s="48">
        <f t="shared" si="61"/>
        <v>17364015.129999999</v>
      </c>
      <c r="Z442" s="146">
        <v>2919275.27</v>
      </c>
      <c r="AA442" s="147">
        <v>2919275.27</v>
      </c>
      <c r="AB442" s="159">
        <v>0</v>
      </c>
      <c r="AC442" s="159">
        <v>0</v>
      </c>
      <c r="AD442" s="148">
        <v>143053.01</v>
      </c>
      <c r="AE442" s="111">
        <v>2255456.2200000002</v>
      </c>
      <c r="AF442" s="50">
        <v>0</v>
      </c>
      <c r="AG442" s="49">
        <f t="shared" si="62"/>
        <v>5317784.5</v>
      </c>
      <c r="AH442" s="51" t="s">
        <v>104</v>
      </c>
      <c r="AI442" s="51" t="s">
        <v>74</v>
      </c>
      <c r="AJ442" s="51" t="s">
        <v>74</v>
      </c>
      <c r="AK442" s="51" t="s">
        <v>413</v>
      </c>
      <c r="AL442" s="51" t="s">
        <v>587</v>
      </c>
      <c r="AM442" s="51" t="s">
        <v>74</v>
      </c>
      <c r="AN442" s="52">
        <v>0</v>
      </c>
      <c r="AO442" s="52">
        <v>0</v>
      </c>
      <c r="AP442" s="52">
        <v>0</v>
      </c>
      <c r="AQ442" s="52">
        <v>0</v>
      </c>
      <c r="AR442" s="52">
        <v>0</v>
      </c>
      <c r="AS442" s="52">
        <f t="shared" si="63"/>
        <v>0</v>
      </c>
      <c r="AT442" s="53" t="s">
        <v>74</v>
      </c>
      <c r="AU442" s="52">
        <v>0</v>
      </c>
      <c r="AV442" s="52"/>
      <c r="AW442" s="59">
        <f>2813676+171999.3</f>
        <v>2985675.3</v>
      </c>
      <c r="AX442" s="68">
        <v>1081488.48</v>
      </c>
      <c r="AY442" s="52"/>
      <c r="AZ442" s="52">
        <v>0</v>
      </c>
      <c r="BA442" s="52">
        <f t="shared" si="64"/>
        <v>4067163.78</v>
      </c>
      <c r="BB442" s="54" t="s">
        <v>74</v>
      </c>
      <c r="BC442" s="53" t="s">
        <v>74</v>
      </c>
      <c r="BD442" s="55" t="s">
        <v>588</v>
      </c>
      <c r="BE442" s="55" t="s">
        <v>589</v>
      </c>
      <c r="BF442" s="55" t="s">
        <v>74</v>
      </c>
      <c r="BG442" s="55" t="s">
        <v>74</v>
      </c>
      <c r="BH442" s="52">
        <f t="shared" si="65"/>
        <v>4067163.78</v>
      </c>
      <c r="BI442" s="52">
        <f t="shared" si="66"/>
        <v>16113394.409999998</v>
      </c>
      <c r="BJ442" s="52">
        <f>Y442-AG442+AX442</f>
        <v>13127719.109999999</v>
      </c>
      <c r="BK442" s="56">
        <v>44348</v>
      </c>
      <c r="BL442" s="63">
        <f>11818635.78+1207671.72+27616.86+1805982.27+171999.3+1081488.48</f>
        <v>16113394.41</v>
      </c>
      <c r="BM442" s="47">
        <v>0</v>
      </c>
      <c r="BN442" s="9"/>
      <c r="BO442" s="9"/>
      <c r="BP442" s="9"/>
      <c r="BQ442" s="9"/>
      <c r="BR442" s="9"/>
      <c r="BS442" s="9"/>
      <c r="BT442" s="9"/>
      <c r="BU442" s="9"/>
      <c r="BV442" s="9"/>
      <c r="BW442" s="9"/>
    </row>
    <row r="443" spans="1:75" ht="153.75" hidden="1" outlineLevel="2" x14ac:dyDescent="0.25">
      <c r="A443" s="43" t="s">
        <v>564</v>
      </c>
      <c r="B443" s="110" t="s">
        <v>565</v>
      </c>
      <c r="C443" s="45">
        <v>2021</v>
      </c>
      <c r="D443" s="113" t="s">
        <v>84</v>
      </c>
      <c r="E443" s="47">
        <v>15036374.800000001</v>
      </c>
      <c r="F443" s="47">
        <v>494041.2</v>
      </c>
      <c r="G443" s="47">
        <v>2500362.44</v>
      </c>
      <c r="H443" s="47">
        <v>0</v>
      </c>
      <c r="I443" s="47">
        <v>0</v>
      </c>
      <c r="J443" s="47">
        <v>0</v>
      </c>
      <c r="K443" s="47">
        <v>0</v>
      </c>
      <c r="L443" s="47">
        <v>0</v>
      </c>
      <c r="M443" s="47">
        <v>0</v>
      </c>
      <c r="N443" s="47">
        <v>0</v>
      </c>
      <c r="O443" s="47">
        <v>0</v>
      </c>
      <c r="P443" s="47">
        <v>0</v>
      </c>
      <c r="Q443" s="47">
        <v>0</v>
      </c>
      <c r="R443" s="47">
        <v>0</v>
      </c>
      <c r="S443" s="47">
        <v>0</v>
      </c>
      <c r="T443" s="47">
        <v>0</v>
      </c>
      <c r="U443" s="47">
        <v>0</v>
      </c>
      <c r="V443" s="47">
        <v>0</v>
      </c>
      <c r="W443" s="47">
        <v>0</v>
      </c>
      <c r="X443" s="47">
        <v>0</v>
      </c>
      <c r="Y443" s="48">
        <f t="shared" si="61"/>
        <v>18030778.440000001</v>
      </c>
      <c r="Z443" s="146">
        <v>2925165.38</v>
      </c>
      <c r="AA443" s="147">
        <v>2925165.38</v>
      </c>
      <c r="AB443" s="50">
        <v>0</v>
      </c>
      <c r="AC443" s="50">
        <v>0</v>
      </c>
      <c r="AD443" s="148">
        <v>146448.32000000001</v>
      </c>
      <c r="AE443" s="111">
        <v>2255456.2200000002</v>
      </c>
      <c r="AF443" s="50">
        <v>0</v>
      </c>
      <c r="AG443" s="49">
        <f t="shared" si="62"/>
        <v>5327069.92</v>
      </c>
      <c r="AH443" s="51" t="s">
        <v>104</v>
      </c>
      <c r="AI443" s="51" t="s">
        <v>74</v>
      </c>
      <c r="AJ443" s="51"/>
      <c r="AK443" s="51" t="s">
        <v>590</v>
      </c>
      <c r="AL443" s="51" t="s">
        <v>591</v>
      </c>
      <c r="AM443" s="51" t="s">
        <v>74</v>
      </c>
      <c r="AN443" s="52">
        <v>0</v>
      </c>
      <c r="AO443" s="52">
        <v>0</v>
      </c>
      <c r="AP443" s="52">
        <v>0</v>
      </c>
      <c r="AQ443" s="52">
        <v>0</v>
      </c>
      <c r="AR443" s="52">
        <v>0</v>
      </c>
      <c r="AS443" s="52">
        <f t="shared" si="63"/>
        <v>0</v>
      </c>
      <c r="AT443" s="53" t="s">
        <v>74</v>
      </c>
      <c r="AU443" s="52">
        <v>0</v>
      </c>
      <c r="AV443" s="52"/>
      <c r="AW443" s="52">
        <v>0</v>
      </c>
      <c r="AX443" s="68">
        <v>1081488.48</v>
      </c>
      <c r="AY443" s="52"/>
      <c r="AZ443" s="52">
        <v>0</v>
      </c>
      <c r="BA443" s="52">
        <f t="shared" si="64"/>
        <v>1081488.48</v>
      </c>
      <c r="BB443" s="54" t="s">
        <v>74</v>
      </c>
      <c r="BC443" s="53" t="s">
        <v>74</v>
      </c>
      <c r="BD443" s="55" t="s">
        <v>74</v>
      </c>
      <c r="BE443" s="55" t="s">
        <v>592</v>
      </c>
      <c r="BF443" s="55" t="s">
        <v>74</v>
      </c>
      <c r="BG443" s="55" t="s">
        <v>74</v>
      </c>
      <c r="BH443" s="52">
        <f t="shared" si="65"/>
        <v>1081488.48</v>
      </c>
      <c r="BI443" s="52">
        <f t="shared" si="66"/>
        <v>13785197.000000002</v>
      </c>
      <c r="BJ443" s="52">
        <f>Y443-AG443+AX443</f>
        <v>13785197.000000002</v>
      </c>
      <c r="BK443" s="56">
        <v>44378</v>
      </c>
      <c r="BL443" s="63">
        <f>11505322.22+1198386.3+1081488.48</f>
        <v>13785197.000000002</v>
      </c>
      <c r="BM443" s="47">
        <v>0</v>
      </c>
      <c r="BN443" s="9"/>
      <c r="BO443" s="9"/>
      <c r="BP443" s="9"/>
      <c r="BQ443" s="9"/>
      <c r="BR443" s="9"/>
      <c r="BS443" s="9"/>
      <c r="BT443" s="9"/>
      <c r="BU443" s="9"/>
      <c r="BV443" s="9"/>
      <c r="BW443" s="9"/>
    </row>
    <row r="444" spans="1:75" ht="128.25" hidden="1" outlineLevel="2" x14ac:dyDescent="0.25">
      <c r="A444" s="43" t="s">
        <v>564</v>
      </c>
      <c r="B444" s="110" t="s">
        <v>565</v>
      </c>
      <c r="C444" s="45">
        <v>2021</v>
      </c>
      <c r="D444" s="113" t="s">
        <v>86</v>
      </c>
      <c r="E444" s="47">
        <v>15036374.800000001</v>
      </c>
      <c r="F444" s="47">
        <v>494041.2</v>
      </c>
      <c r="G444" s="47">
        <v>2500362.44</v>
      </c>
      <c r="H444" s="47">
        <v>0</v>
      </c>
      <c r="I444" s="47">
        <v>0</v>
      </c>
      <c r="J444" s="47">
        <v>0</v>
      </c>
      <c r="K444" s="47">
        <v>0</v>
      </c>
      <c r="L444" s="47">
        <v>0</v>
      </c>
      <c r="M444" s="47">
        <v>0</v>
      </c>
      <c r="N444" s="47">
        <v>0</v>
      </c>
      <c r="O444" s="47">
        <v>0</v>
      </c>
      <c r="P444" s="47">
        <v>0</v>
      </c>
      <c r="Q444" s="47">
        <v>0</v>
      </c>
      <c r="R444" s="47">
        <v>0</v>
      </c>
      <c r="S444" s="47">
        <v>0</v>
      </c>
      <c r="T444" s="47">
        <v>0</v>
      </c>
      <c r="U444" s="47">
        <v>0</v>
      </c>
      <c r="V444" s="47">
        <v>0</v>
      </c>
      <c r="W444" s="47">
        <v>0</v>
      </c>
      <c r="X444" s="47">
        <v>0</v>
      </c>
      <c r="Y444" s="48">
        <f t="shared" si="61"/>
        <v>18030778.440000001</v>
      </c>
      <c r="Z444" s="146">
        <v>2917981.64</v>
      </c>
      <c r="AA444" s="147">
        <v>2917981.64</v>
      </c>
      <c r="AB444" s="159">
        <v>0</v>
      </c>
      <c r="AC444" s="159">
        <v>0</v>
      </c>
      <c r="AD444" s="148">
        <v>146448.37</v>
      </c>
      <c r="AE444" s="111">
        <v>2255456.2200000002</v>
      </c>
      <c r="AF444" s="50">
        <v>0</v>
      </c>
      <c r="AG444" s="49">
        <f t="shared" si="62"/>
        <v>5319886.2300000004</v>
      </c>
      <c r="AH444" s="51" t="s">
        <v>104</v>
      </c>
      <c r="AI444" s="51" t="s">
        <v>74</v>
      </c>
      <c r="AJ444" s="51" t="s">
        <v>74</v>
      </c>
      <c r="AK444" s="51" t="s">
        <v>593</v>
      </c>
      <c r="AL444" s="51" t="s">
        <v>591</v>
      </c>
      <c r="AM444" s="51" t="s">
        <v>74</v>
      </c>
      <c r="AN444" s="52">
        <v>0</v>
      </c>
      <c r="AO444" s="52">
        <v>0</v>
      </c>
      <c r="AP444" s="52">
        <v>0</v>
      </c>
      <c r="AQ444" s="52">
        <v>0</v>
      </c>
      <c r="AR444" s="52">
        <v>0</v>
      </c>
      <c r="AS444" s="52">
        <f t="shared" si="63"/>
        <v>0</v>
      </c>
      <c r="AT444" s="53" t="s">
        <v>74</v>
      </c>
      <c r="AU444" s="52">
        <v>0</v>
      </c>
      <c r="AV444" s="52"/>
      <c r="AW444" s="52">
        <v>0</v>
      </c>
      <c r="AX444" s="68">
        <v>925171.19</v>
      </c>
      <c r="AY444" s="52"/>
      <c r="AZ444" s="52">
        <v>0</v>
      </c>
      <c r="BA444" s="52">
        <f t="shared" si="64"/>
        <v>925171.19</v>
      </c>
      <c r="BB444" s="54" t="s">
        <v>74</v>
      </c>
      <c r="BC444" s="53" t="s">
        <v>74</v>
      </c>
      <c r="BD444" s="55" t="s">
        <v>74</v>
      </c>
      <c r="BE444" s="55" t="s">
        <v>594</v>
      </c>
      <c r="BF444" s="55" t="s">
        <v>74</v>
      </c>
      <c r="BG444" s="55" t="s">
        <v>74</v>
      </c>
      <c r="BH444" s="52">
        <f t="shared" si="65"/>
        <v>925171.19</v>
      </c>
      <c r="BI444" s="52">
        <f t="shared" si="66"/>
        <v>13636063.4</v>
      </c>
      <c r="BJ444" s="52">
        <f>Y444-AG444+AX444</f>
        <v>13636063.4</v>
      </c>
      <c r="BK444" s="56">
        <v>44409</v>
      </c>
      <c r="BL444" s="57">
        <f>494041.2+2462703.09+37659.35+197730.45+8323188.13+1195569.99+925171.19</f>
        <v>13636063.4</v>
      </c>
      <c r="BM444" s="47">
        <v>0</v>
      </c>
      <c r="BN444" s="9"/>
      <c r="BO444" s="9"/>
      <c r="BP444" s="9"/>
      <c r="BQ444" s="9"/>
      <c r="BR444" s="9"/>
      <c r="BS444" s="9"/>
      <c r="BT444" s="9"/>
      <c r="BU444" s="9"/>
      <c r="BV444" s="9"/>
      <c r="BW444" s="9"/>
    </row>
    <row r="445" spans="1:75" ht="90" hidden="1" outlineLevel="2" x14ac:dyDescent="0.25">
      <c r="A445" s="43" t="s">
        <v>564</v>
      </c>
      <c r="B445" s="110" t="s">
        <v>565</v>
      </c>
      <c r="C445" s="45">
        <v>2021</v>
      </c>
      <c r="D445" s="110" t="s">
        <v>88</v>
      </c>
      <c r="E445" s="47">
        <v>15036374.800000001</v>
      </c>
      <c r="F445" s="47">
        <v>494041.2</v>
      </c>
      <c r="G445" s="47">
        <v>2500362.44</v>
      </c>
      <c r="H445" s="47">
        <v>0</v>
      </c>
      <c r="I445" s="47">
        <v>0</v>
      </c>
      <c r="J445" s="47">
        <v>0</v>
      </c>
      <c r="K445" s="47">
        <v>0</v>
      </c>
      <c r="L445" s="47">
        <v>0</v>
      </c>
      <c r="M445" s="47">
        <v>0</v>
      </c>
      <c r="N445" s="47">
        <v>0</v>
      </c>
      <c r="O445" s="47">
        <v>0</v>
      </c>
      <c r="P445" s="47">
        <v>0</v>
      </c>
      <c r="Q445" s="47">
        <v>0</v>
      </c>
      <c r="R445" s="47">
        <v>0</v>
      </c>
      <c r="S445" s="47">
        <v>0</v>
      </c>
      <c r="T445" s="47">
        <v>0</v>
      </c>
      <c r="U445" s="47">
        <v>0</v>
      </c>
      <c r="V445" s="47">
        <v>0</v>
      </c>
      <c r="W445" s="47">
        <v>0</v>
      </c>
      <c r="X445" s="47">
        <v>0</v>
      </c>
      <c r="Y445" s="48">
        <f t="shared" si="61"/>
        <v>18030778.440000001</v>
      </c>
      <c r="Z445" s="49">
        <v>0</v>
      </c>
      <c r="AA445" s="159">
        <v>4100000</v>
      </c>
      <c r="AB445" s="159">
        <v>0</v>
      </c>
      <c r="AC445" s="159">
        <v>0</v>
      </c>
      <c r="AD445" s="159">
        <v>160000</v>
      </c>
      <c r="AE445" s="111">
        <v>2255456.2200000002</v>
      </c>
      <c r="AF445" s="50">
        <v>0</v>
      </c>
      <c r="AG445" s="49">
        <f t="shared" si="62"/>
        <v>6515456.2200000007</v>
      </c>
      <c r="AH445" s="51" t="s">
        <v>595</v>
      </c>
      <c r="AI445" s="51" t="s">
        <v>74</v>
      </c>
      <c r="AJ445" s="51" t="s">
        <v>74</v>
      </c>
      <c r="AK445" s="51" t="s">
        <v>595</v>
      </c>
      <c r="AL445" s="51" t="s">
        <v>591</v>
      </c>
      <c r="AM445" s="51" t="s">
        <v>74</v>
      </c>
      <c r="AN445" s="52">
        <v>0</v>
      </c>
      <c r="AO445" s="52">
        <v>0</v>
      </c>
      <c r="AP445" s="52">
        <v>0</v>
      </c>
      <c r="AQ445" s="52">
        <v>0</v>
      </c>
      <c r="AR445" s="52">
        <v>0</v>
      </c>
      <c r="AS445" s="52">
        <f t="shared" si="63"/>
        <v>0</v>
      </c>
      <c r="AT445" s="53" t="s">
        <v>74</v>
      </c>
      <c r="AU445" s="52">
        <v>0</v>
      </c>
      <c r="AV445" s="52"/>
      <c r="AW445" s="52">
        <v>0</v>
      </c>
      <c r="AX445" s="52"/>
      <c r="AY445" s="52"/>
      <c r="AZ445" s="52">
        <v>0</v>
      </c>
      <c r="BA445" s="52">
        <f t="shared" si="64"/>
        <v>0</v>
      </c>
      <c r="BB445" s="54" t="s">
        <v>74</v>
      </c>
      <c r="BC445" s="53" t="s">
        <v>74</v>
      </c>
      <c r="BD445" s="55" t="s">
        <v>74</v>
      </c>
      <c r="BE445" s="55" t="s">
        <v>74</v>
      </c>
      <c r="BF445" s="55" t="s">
        <v>74</v>
      </c>
      <c r="BG445" s="55" t="s">
        <v>74</v>
      </c>
      <c r="BH445" s="52">
        <f t="shared" si="65"/>
        <v>0</v>
      </c>
      <c r="BI445" s="52">
        <f t="shared" si="66"/>
        <v>11515322.220000001</v>
      </c>
      <c r="BJ445" s="52">
        <f>BI445-BH445</f>
        <v>11515322.220000001</v>
      </c>
      <c r="BK445" s="56">
        <v>44440</v>
      </c>
      <c r="BL445" s="57">
        <f>197730.45+2462703.09+494041.2+8323188.13+37659.35</f>
        <v>11515322.220000001</v>
      </c>
      <c r="BM445" s="47">
        <v>0</v>
      </c>
      <c r="BN445" s="9"/>
      <c r="BO445" s="9"/>
      <c r="BP445" s="9"/>
      <c r="BQ445" s="9"/>
      <c r="BR445" s="9"/>
      <c r="BS445" s="9"/>
      <c r="BT445" s="9"/>
      <c r="BU445" s="9"/>
      <c r="BV445" s="9"/>
      <c r="BW445" s="9"/>
    </row>
    <row r="446" spans="1:75" ht="90" hidden="1" outlineLevel="2" x14ac:dyDescent="0.25">
      <c r="A446" s="71" t="s">
        <v>564</v>
      </c>
      <c r="B446" s="116" t="s">
        <v>565</v>
      </c>
      <c r="C446" s="73">
        <v>2021</v>
      </c>
      <c r="D446" s="116" t="s">
        <v>89</v>
      </c>
      <c r="E446" s="75">
        <v>15036374.800000001</v>
      </c>
      <c r="F446" s="75">
        <v>494041.2</v>
      </c>
      <c r="G446" s="75">
        <v>2500362.44</v>
      </c>
      <c r="H446" s="75">
        <v>0</v>
      </c>
      <c r="I446" s="75">
        <v>0</v>
      </c>
      <c r="J446" s="75">
        <v>0</v>
      </c>
      <c r="K446" s="75">
        <v>0</v>
      </c>
      <c r="L446" s="75">
        <v>0</v>
      </c>
      <c r="M446" s="75">
        <v>0</v>
      </c>
      <c r="N446" s="75">
        <v>0</v>
      </c>
      <c r="O446" s="75">
        <v>0</v>
      </c>
      <c r="P446" s="75">
        <v>0</v>
      </c>
      <c r="Q446" s="75">
        <v>0</v>
      </c>
      <c r="R446" s="75">
        <v>0</v>
      </c>
      <c r="S446" s="75">
        <v>0</v>
      </c>
      <c r="T446" s="75">
        <v>0</v>
      </c>
      <c r="U446" s="75">
        <v>0</v>
      </c>
      <c r="V446" s="75">
        <v>0</v>
      </c>
      <c r="W446" s="75">
        <v>0</v>
      </c>
      <c r="X446" s="75">
        <v>0</v>
      </c>
      <c r="Y446" s="76">
        <f t="shared" si="61"/>
        <v>18030778.440000001</v>
      </c>
      <c r="Z446" s="80">
        <v>0</v>
      </c>
      <c r="AA446" s="160">
        <v>4100000</v>
      </c>
      <c r="AB446" s="79">
        <v>0</v>
      </c>
      <c r="AC446" s="79">
        <v>0</v>
      </c>
      <c r="AD446" s="79">
        <v>0</v>
      </c>
      <c r="AE446" s="171">
        <v>2255456.2200000002</v>
      </c>
      <c r="AF446" s="79">
        <v>0</v>
      </c>
      <c r="AG446" s="80">
        <f t="shared" si="62"/>
        <v>6355456.2200000007</v>
      </c>
      <c r="AH446" s="123" t="s">
        <v>595</v>
      </c>
      <c r="AI446" s="123" t="s">
        <v>74</v>
      </c>
      <c r="AJ446" s="123" t="s">
        <v>74</v>
      </c>
      <c r="AK446" s="123" t="s">
        <v>74</v>
      </c>
      <c r="AL446" s="123" t="s">
        <v>591</v>
      </c>
      <c r="AM446" s="123" t="s">
        <v>74</v>
      </c>
      <c r="AN446" s="82">
        <v>0</v>
      </c>
      <c r="AO446" s="82">
        <v>0</v>
      </c>
      <c r="AP446" s="82">
        <v>0</v>
      </c>
      <c r="AQ446" s="82">
        <v>0</v>
      </c>
      <c r="AR446" s="82">
        <v>0</v>
      </c>
      <c r="AS446" s="82">
        <f t="shared" si="63"/>
        <v>0</v>
      </c>
      <c r="AT446" s="124" t="s">
        <v>74</v>
      </c>
      <c r="AU446" s="82">
        <v>0</v>
      </c>
      <c r="AV446" s="82"/>
      <c r="AW446" s="82">
        <v>0</v>
      </c>
      <c r="AX446" s="82"/>
      <c r="AY446" s="82"/>
      <c r="AZ446" s="82">
        <v>0</v>
      </c>
      <c r="BA446" s="82">
        <f t="shared" si="64"/>
        <v>0</v>
      </c>
      <c r="BB446" s="125" t="s">
        <v>74</v>
      </c>
      <c r="BC446" s="124" t="s">
        <v>74</v>
      </c>
      <c r="BD446" s="126" t="s">
        <v>74</v>
      </c>
      <c r="BE446" s="126" t="s">
        <v>74</v>
      </c>
      <c r="BF446" s="126" t="s">
        <v>74</v>
      </c>
      <c r="BG446" s="126" t="s">
        <v>74</v>
      </c>
      <c r="BH446" s="82">
        <f t="shared" si="65"/>
        <v>0</v>
      </c>
      <c r="BI446" s="82">
        <f t="shared" si="66"/>
        <v>11675322.220000001</v>
      </c>
      <c r="BJ446" s="52">
        <f>BI446-BH446</f>
        <v>11675322.220000001</v>
      </c>
      <c r="BK446" s="56">
        <v>44470</v>
      </c>
      <c r="BL446" s="127">
        <f>8483188.13+494041.2+2462703.09+197730.45+37659.35</f>
        <v>11675322.219999999</v>
      </c>
      <c r="BM446" s="75">
        <v>0</v>
      </c>
      <c r="BN446" s="9"/>
      <c r="BO446" s="9"/>
      <c r="BP446" s="9"/>
      <c r="BQ446" s="9"/>
      <c r="BR446" s="9"/>
      <c r="BS446" s="9"/>
      <c r="BT446" s="9"/>
      <c r="BU446" s="9"/>
      <c r="BV446" s="9"/>
      <c r="BW446" s="9"/>
    </row>
    <row r="447" spans="1:75" hidden="1" outlineLevel="1" collapsed="1" x14ac:dyDescent="0.25">
      <c r="A447" s="84"/>
      <c r="B447" s="120" t="s">
        <v>596</v>
      </c>
      <c r="C447" s="86"/>
      <c r="D447" s="120"/>
      <c r="E447" s="88"/>
      <c r="F447" s="88"/>
      <c r="G447" s="88"/>
      <c r="H447" s="88"/>
      <c r="I447" s="88"/>
      <c r="J447" s="88"/>
      <c r="K447" s="88"/>
      <c r="L447" s="88"/>
      <c r="M447" s="88"/>
      <c r="N447" s="88"/>
      <c r="O447" s="88"/>
      <c r="P447" s="88"/>
      <c r="Q447" s="88"/>
      <c r="R447" s="88"/>
      <c r="S447" s="88"/>
      <c r="T447" s="88"/>
      <c r="U447" s="88"/>
      <c r="V447" s="88"/>
      <c r="W447" s="88"/>
      <c r="X447" s="88"/>
      <c r="Y447" s="89">
        <f t="shared" ref="Y447:AG447" si="67">SUBTOTAL(9,Y424:Y446)</f>
        <v>0</v>
      </c>
      <c r="Z447" s="89">
        <f t="shared" si="67"/>
        <v>0</v>
      </c>
      <c r="AA447" s="162">
        <f t="shared" si="67"/>
        <v>0</v>
      </c>
      <c r="AB447" s="89">
        <f t="shared" si="67"/>
        <v>0</v>
      </c>
      <c r="AC447" s="89">
        <f t="shared" si="67"/>
        <v>0</v>
      </c>
      <c r="AD447" s="89">
        <f t="shared" si="67"/>
        <v>0</v>
      </c>
      <c r="AE447" s="172">
        <f t="shared" si="67"/>
        <v>0</v>
      </c>
      <c r="AF447" s="89">
        <f t="shared" si="67"/>
        <v>0</v>
      </c>
      <c r="AG447" s="89">
        <f t="shared" si="67"/>
        <v>0</v>
      </c>
      <c r="AH447" s="129"/>
      <c r="AI447" s="129"/>
      <c r="AJ447" s="129"/>
      <c r="AK447" s="129"/>
      <c r="AL447" s="129"/>
      <c r="AM447" s="129"/>
      <c r="AN447" s="92">
        <f t="shared" ref="AN447:AS447" si="68">SUBTOTAL(9,AN424:AN446)</f>
        <v>0</v>
      </c>
      <c r="AO447" s="92">
        <f t="shared" si="68"/>
        <v>0</v>
      </c>
      <c r="AP447" s="92">
        <f t="shared" si="68"/>
        <v>0</v>
      </c>
      <c r="AQ447" s="92">
        <f t="shared" si="68"/>
        <v>0</v>
      </c>
      <c r="AR447" s="92">
        <f t="shared" si="68"/>
        <v>0</v>
      </c>
      <c r="AS447" s="92">
        <f t="shared" si="68"/>
        <v>0</v>
      </c>
      <c r="AT447" s="130"/>
      <c r="AU447" s="92">
        <f t="shared" ref="AU447:BA447" si="69">SUBTOTAL(9,AU424:AU446)</f>
        <v>0</v>
      </c>
      <c r="AV447" s="92">
        <f t="shared" si="69"/>
        <v>0</v>
      </c>
      <c r="AW447" s="92">
        <f t="shared" si="69"/>
        <v>0</v>
      </c>
      <c r="AX447" s="92">
        <f t="shared" si="69"/>
        <v>0</v>
      </c>
      <c r="AY447" s="92">
        <f t="shared" si="69"/>
        <v>0</v>
      </c>
      <c r="AZ447" s="92">
        <f t="shared" si="69"/>
        <v>0</v>
      </c>
      <c r="BA447" s="92">
        <f t="shared" si="69"/>
        <v>0</v>
      </c>
      <c r="BB447" s="131"/>
      <c r="BC447" s="130"/>
      <c r="BD447" s="132"/>
      <c r="BE447" s="132"/>
      <c r="BF447" s="132"/>
      <c r="BG447" s="132"/>
      <c r="BH447" s="92">
        <f>SUBTOTAL(9,BH424:BH446)</f>
        <v>0</v>
      </c>
      <c r="BI447" s="92">
        <f>SUBTOTAL(9,BI424:BI446)</f>
        <v>0</v>
      </c>
      <c r="BJ447" s="93"/>
      <c r="BK447" s="94"/>
      <c r="BL447" s="88">
        <f>SUBTOTAL(9,BL424:BL446)</f>
        <v>0</v>
      </c>
      <c r="BM447" s="88">
        <f>SUBTOTAL(9,BM424:BM446)</f>
        <v>0</v>
      </c>
      <c r="BN447" s="9"/>
      <c r="BO447" s="9"/>
      <c r="BP447" s="9"/>
      <c r="BQ447" s="9"/>
      <c r="BR447" s="9"/>
      <c r="BS447" s="9"/>
      <c r="BT447" s="9"/>
      <c r="BU447" s="9"/>
      <c r="BV447" s="9"/>
      <c r="BW447" s="9"/>
    </row>
    <row r="448" spans="1:75" ht="28.5" hidden="1" customHeight="1" outlineLevel="2" x14ac:dyDescent="0.25">
      <c r="A448" s="96" t="s">
        <v>346</v>
      </c>
      <c r="B448" s="97" t="s">
        <v>597</v>
      </c>
      <c r="C448" s="98">
        <v>2017</v>
      </c>
      <c r="D448" s="173" t="s">
        <v>73</v>
      </c>
      <c r="E448" s="100">
        <v>3108000</v>
      </c>
      <c r="F448" s="100">
        <v>2210384.5299999998</v>
      </c>
      <c r="G448" s="100">
        <v>0</v>
      </c>
      <c r="H448" s="100">
        <v>0</v>
      </c>
      <c r="I448" s="100">
        <v>0</v>
      </c>
      <c r="J448" s="100">
        <v>0</v>
      </c>
      <c r="K448" s="100">
        <v>0</v>
      </c>
      <c r="L448" s="100">
        <v>0</v>
      </c>
      <c r="M448" s="100">
        <v>0</v>
      </c>
      <c r="N448" s="100">
        <v>0</v>
      </c>
      <c r="O448" s="100">
        <v>0</v>
      </c>
      <c r="P448" s="100">
        <v>0</v>
      </c>
      <c r="Q448" s="100">
        <v>0</v>
      </c>
      <c r="R448" s="100">
        <v>0</v>
      </c>
      <c r="S448" s="100">
        <v>0</v>
      </c>
      <c r="T448" s="100">
        <v>0</v>
      </c>
      <c r="U448" s="100">
        <v>0</v>
      </c>
      <c r="V448" s="100">
        <v>0</v>
      </c>
      <c r="W448" s="100">
        <v>0</v>
      </c>
      <c r="X448" s="100">
        <v>0</v>
      </c>
      <c r="Y448" s="101">
        <v>5318384.53</v>
      </c>
      <c r="Z448" s="133">
        <v>1758804.11</v>
      </c>
      <c r="AA448" s="103">
        <v>1758804.11</v>
      </c>
      <c r="AB448" s="103">
        <v>0</v>
      </c>
      <c r="AC448" s="103">
        <v>0</v>
      </c>
      <c r="AD448" s="103">
        <v>0</v>
      </c>
      <c r="AE448" s="103">
        <v>0</v>
      </c>
      <c r="AF448" s="103">
        <v>0</v>
      </c>
      <c r="AG448" s="102">
        <v>1758804.11</v>
      </c>
      <c r="AH448" s="104" t="s">
        <v>104</v>
      </c>
      <c r="AI448" s="104" t="s">
        <v>74</v>
      </c>
      <c r="AJ448" s="104" t="s">
        <v>74</v>
      </c>
      <c r="AK448" s="104" t="s">
        <v>74</v>
      </c>
      <c r="AL448" s="104" t="s">
        <v>74</v>
      </c>
      <c r="AM448" s="104" t="s">
        <v>74</v>
      </c>
      <c r="AN448" s="105">
        <v>0</v>
      </c>
      <c r="AO448" s="105">
        <v>0</v>
      </c>
      <c r="AP448" s="105">
        <v>0</v>
      </c>
      <c r="AQ448" s="105">
        <v>0</v>
      </c>
      <c r="AR448" s="105">
        <v>0</v>
      </c>
      <c r="AS448" s="105">
        <v>0</v>
      </c>
      <c r="AT448" s="106" t="s">
        <v>74</v>
      </c>
      <c r="AU448" s="105">
        <v>0</v>
      </c>
      <c r="AV448" s="105"/>
      <c r="AW448" s="105">
        <v>0</v>
      </c>
      <c r="AX448" s="105"/>
      <c r="AY448" s="105"/>
      <c r="AZ448" s="105">
        <v>0</v>
      </c>
      <c r="BA448" s="105">
        <v>0</v>
      </c>
      <c r="BB448" s="107" t="s">
        <v>74</v>
      </c>
      <c r="BC448" s="106" t="s">
        <v>74</v>
      </c>
      <c r="BD448" s="108" t="s">
        <v>74</v>
      </c>
      <c r="BE448" s="108" t="s">
        <v>74</v>
      </c>
      <c r="BF448" s="108" t="s">
        <v>74</v>
      </c>
      <c r="BG448" s="108" t="s">
        <v>74</v>
      </c>
      <c r="BH448" s="105">
        <v>0</v>
      </c>
      <c r="BI448" s="105">
        <v>3559580.42</v>
      </c>
      <c r="BJ448" s="52">
        <v>3559580.42</v>
      </c>
      <c r="BK448" s="56">
        <v>42736</v>
      </c>
      <c r="BL448" s="109">
        <f>2782311.6+350398.98+426869.84</f>
        <v>3559580.42</v>
      </c>
      <c r="BM448" s="100">
        <v>0</v>
      </c>
      <c r="BN448" s="9"/>
      <c r="BO448" s="9"/>
      <c r="BP448" s="9"/>
      <c r="BQ448" s="9"/>
      <c r="BR448" s="9"/>
      <c r="BS448" s="9"/>
      <c r="BT448" s="9"/>
      <c r="BU448" s="9"/>
      <c r="BV448" s="9"/>
      <c r="BW448" s="9"/>
    </row>
    <row r="449" spans="1:75" ht="51.75" hidden="1" customHeight="1" outlineLevel="2" x14ac:dyDescent="0.25">
      <c r="A449" s="43" t="s">
        <v>346</v>
      </c>
      <c r="B449" s="110" t="s">
        <v>597</v>
      </c>
      <c r="C449" s="45">
        <v>2017</v>
      </c>
      <c r="D449" s="113" t="s">
        <v>75</v>
      </c>
      <c r="E449" s="47">
        <v>3108000</v>
      </c>
      <c r="F449" s="47">
        <v>2210384.5299999998</v>
      </c>
      <c r="G449" s="47">
        <v>0</v>
      </c>
      <c r="H449" s="47">
        <v>0</v>
      </c>
      <c r="I449" s="47">
        <v>0</v>
      </c>
      <c r="J449" s="47">
        <v>0</v>
      </c>
      <c r="K449" s="47">
        <v>0</v>
      </c>
      <c r="L449" s="47">
        <v>0</v>
      </c>
      <c r="M449" s="47">
        <v>0</v>
      </c>
      <c r="N449" s="47">
        <v>0</v>
      </c>
      <c r="O449" s="47">
        <v>0</v>
      </c>
      <c r="P449" s="47">
        <v>0</v>
      </c>
      <c r="Q449" s="47">
        <v>0</v>
      </c>
      <c r="R449" s="47">
        <v>0</v>
      </c>
      <c r="S449" s="47">
        <v>0</v>
      </c>
      <c r="T449" s="47">
        <v>0</v>
      </c>
      <c r="U449" s="47">
        <v>0</v>
      </c>
      <c r="V449" s="47">
        <v>0</v>
      </c>
      <c r="W449" s="47">
        <v>0</v>
      </c>
      <c r="X449" s="47">
        <v>0</v>
      </c>
      <c r="Y449" s="48">
        <v>5318384.53</v>
      </c>
      <c r="Z449" s="58">
        <v>1392317.68</v>
      </c>
      <c r="AA449" s="50">
        <v>1392317.68</v>
      </c>
      <c r="AB449" s="50">
        <v>0</v>
      </c>
      <c r="AC449" s="50">
        <v>9380.89</v>
      </c>
      <c r="AD449" s="50">
        <v>0</v>
      </c>
      <c r="AE449" s="50">
        <v>0</v>
      </c>
      <c r="AF449" s="50">
        <v>0</v>
      </c>
      <c r="AG449" s="49">
        <v>1401698.57</v>
      </c>
      <c r="AH449" s="51" t="s">
        <v>598</v>
      </c>
      <c r="AI449" s="51" t="s">
        <v>74</v>
      </c>
      <c r="AJ449" s="51" t="s">
        <v>599</v>
      </c>
      <c r="AK449" s="51" t="s">
        <v>74</v>
      </c>
      <c r="AL449" s="51" t="s">
        <v>74</v>
      </c>
      <c r="AM449" s="51" t="s">
        <v>74</v>
      </c>
      <c r="AN449" s="52">
        <v>0</v>
      </c>
      <c r="AO449" s="52">
        <v>0</v>
      </c>
      <c r="AP449" s="52">
        <v>0</v>
      </c>
      <c r="AQ449" s="52">
        <v>0</v>
      </c>
      <c r="AR449" s="52">
        <v>0</v>
      </c>
      <c r="AS449" s="52">
        <v>0</v>
      </c>
      <c r="AT449" s="53" t="s">
        <v>74</v>
      </c>
      <c r="AU449" s="52">
        <v>0</v>
      </c>
      <c r="AV449" s="52"/>
      <c r="AW449" s="52">
        <v>0</v>
      </c>
      <c r="AX449" s="52"/>
      <c r="AY449" s="52"/>
      <c r="AZ449" s="52">
        <v>0</v>
      </c>
      <c r="BA449" s="52">
        <v>0</v>
      </c>
      <c r="BB449" s="54" t="s">
        <v>74</v>
      </c>
      <c r="BC449" s="53" t="s">
        <v>74</v>
      </c>
      <c r="BD449" s="55" t="s">
        <v>74</v>
      </c>
      <c r="BE449" s="55" t="s">
        <v>74</v>
      </c>
      <c r="BF449" s="55" t="s">
        <v>74</v>
      </c>
      <c r="BG449" s="55" t="s">
        <v>74</v>
      </c>
      <c r="BH449" s="52">
        <v>0</v>
      </c>
      <c r="BI449" s="52">
        <v>3916685.96</v>
      </c>
      <c r="BJ449" s="52">
        <v>3916685.96</v>
      </c>
      <c r="BK449" s="56">
        <v>42767</v>
      </c>
      <c r="BL449" s="57">
        <f>2863340.79+702946.19+350398.98</f>
        <v>3916685.96</v>
      </c>
      <c r="BM449" s="47">
        <v>0</v>
      </c>
      <c r="BN449" s="9"/>
      <c r="BO449" s="9"/>
      <c r="BP449" s="9"/>
      <c r="BQ449" s="9"/>
      <c r="BR449" s="9"/>
      <c r="BS449" s="9"/>
      <c r="BT449" s="9"/>
      <c r="BU449" s="9"/>
      <c r="BV449" s="9"/>
      <c r="BW449" s="9"/>
    </row>
    <row r="450" spans="1:75" ht="51.75" hidden="1" customHeight="1" outlineLevel="2" x14ac:dyDescent="0.25">
      <c r="A450" s="43" t="s">
        <v>346</v>
      </c>
      <c r="B450" s="110" t="s">
        <v>597</v>
      </c>
      <c r="C450" s="45">
        <v>2017</v>
      </c>
      <c r="D450" s="113" t="s">
        <v>77</v>
      </c>
      <c r="E450" s="47">
        <v>3108000</v>
      </c>
      <c r="F450" s="47">
        <v>2210384.5299999998</v>
      </c>
      <c r="G450" s="47">
        <v>0</v>
      </c>
      <c r="H450" s="47">
        <v>0</v>
      </c>
      <c r="I450" s="47">
        <v>0</v>
      </c>
      <c r="J450" s="47">
        <v>0</v>
      </c>
      <c r="K450" s="47">
        <v>0</v>
      </c>
      <c r="L450" s="47">
        <v>0</v>
      </c>
      <c r="M450" s="47">
        <v>0</v>
      </c>
      <c r="N450" s="47">
        <v>0</v>
      </c>
      <c r="O450" s="47">
        <v>0</v>
      </c>
      <c r="P450" s="47">
        <v>0</v>
      </c>
      <c r="Q450" s="47">
        <v>0</v>
      </c>
      <c r="R450" s="47">
        <v>0</v>
      </c>
      <c r="S450" s="47">
        <v>0</v>
      </c>
      <c r="T450" s="47">
        <v>0</v>
      </c>
      <c r="U450" s="47">
        <v>0</v>
      </c>
      <c r="V450" s="47">
        <v>0</v>
      </c>
      <c r="W450" s="47">
        <v>0</v>
      </c>
      <c r="X450" s="47">
        <v>0</v>
      </c>
      <c r="Y450" s="48">
        <v>5318384.53</v>
      </c>
      <c r="Z450" s="58">
        <v>1534708.81</v>
      </c>
      <c r="AA450" s="50">
        <v>1534708.81</v>
      </c>
      <c r="AB450" s="50">
        <v>0</v>
      </c>
      <c r="AC450" s="50">
        <v>5249.59</v>
      </c>
      <c r="AD450" s="50">
        <v>0</v>
      </c>
      <c r="AE450" s="50">
        <v>0</v>
      </c>
      <c r="AF450" s="50">
        <v>0</v>
      </c>
      <c r="AG450" s="49">
        <v>1539958.4</v>
      </c>
      <c r="AH450" s="51" t="s">
        <v>600</v>
      </c>
      <c r="AI450" s="51" t="s">
        <v>74</v>
      </c>
      <c r="AJ450" s="51" t="s">
        <v>601</v>
      </c>
      <c r="AK450" s="51" t="s">
        <v>74</v>
      </c>
      <c r="AL450" s="51" t="s">
        <v>74</v>
      </c>
      <c r="AM450" s="51" t="s">
        <v>74</v>
      </c>
      <c r="AN450" s="52">
        <v>0</v>
      </c>
      <c r="AO450" s="52">
        <v>0</v>
      </c>
      <c r="AP450" s="52">
        <v>0</v>
      </c>
      <c r="AQ450" s="52">
        <v>0</v>
      </c>
      <c r="AR450" s="52">
        <v>0</v>
      </c>
      <c r="AS450" s="52">
        <v>0</v>
      </c>
      <c r="AT450" s="53" t="s">
        <v>74</v>
      </c>
      <c r="AU450" s="52">
        <v>0</v>
      </c>
      <c r="AV450" s="52"/>
      <c r="AW450" s="52">
        <v>0</v>
      </c>
      <c r="AX450" s="52"/>
      <c r="AY450" s="52"/>
      <c r="AZ450" s="52">
        <v>0</v>
      </c>
      <c r="BA450" s="52">
        <v>0</v>
      </c>
      <c r="BB450" s="54" t="s">
        <v>74</v>
      </c>
      <c r="BC450" s="53" t="s">
        <v>74</v>
      </c>
      <c r="BD450" s="55" t="s">
        <v>74</v>
      </c>
      <c r="BE450" s="55" t="s">
        <v>74</v>
      </c>
      <c r="BF450" s="55" t="s">
        <v>74</v>
      </c>
      <c r="BG450" s="55" t="s">
        <v>74</v>
      </c>
      <c r="BH450" s="52">
        <v>0</v>
      </c>
      <c r="BI450" s="52">
        <v>3778426.13</v>
      </c>
      <c r="BJ450" s="52">
        <v>3778426.13</v>
      </c>
      <c r="BK450" s="56">
        <v>42795</v>
      </c>
      <c r="BL450" s="57">
        <f>2844746.05+583281.1+350398.98</f>
        <v>3778426.13</v>
      </c>
      <c r="BM450" s="47">
        <v>0</v>
      </c>
      <c r="BN450" s="9"/>
      <c r="BO450" s="9"/>
      <c r="BP450" s="9"/>
      <c r="BQ450" s="9"/>
      <c r="BR450" s="9"/>
      <c r="BS450" s="9"/>
      <c r="BT450" s="9"/>
      <c r="BU450" s="9"/>
      <c r="BV450" s="9"/>
      <c r="BW450" s="9"/>
    </row>
    <row r="451" spans="1:75" ht="93.75" hidden="1" customHeight="1" outlineLevel="2" x14ac:dyDescent="0.25">
      <c r="A451" s="43" t="s">
        <v>346</v>
      </c>
      <c r="B451" s="110" t="s">
        <v>597</v>
      </c>
      <c r="C451" s="45">
        <v>2017</v>
      </c>
      <c r="D451" s="113" t="s">
        <v>79</v>
      </c>
      <c r="E451" s="47">
        <v>3108000</v>
      </c>
      <c r="F451" s="47">
        <v>2210384.5299999998</v>
      </c>
      <c r="G451" s="47">
        <v>0</v>
      </c>
      <c r="H451" s="47">
        <v>0</v>
      </c>
      <c r="I451" s="47">
        <v>0</v>
      </c>
      <c r="J451" s="47">
        <v>0</v>
      </c>
      <c r="K451" s="47">
        <v>0</v>
      </c>
      <c r="L451" s="47">
        <v>0</v>
      </c>
      <c r="M451" s="47">
        <v>0</v>
      </c>
      <c r="N451" s="47">
        <v>0</v>
      </c>
      <c r="O451" s="47">
        <v>0</v>
      </c>
      <c r="P451" s="47">
        <v>0</v>
      </c>
      <c r="Q451" s="47">
        <v>0</v>
      </c>
      <c r="R451" s="47">
        <v>0</v>
      </c>
      <c r="S451" s="47">
        <v>0</v>
      </c>
      <c r="T451" s="47">
        <v>0</v>
      </c>
      <c r="U451" s="47">
        <v>0</v>
      </c>
      <c r="V451" s="47">
        <v>0</v>
      </c>
      <c r="W451" s="47">
        <v>0</v>
      </c>
      <c r="X451" s="47">
        <v>0</v>
      </c>
      <c r="Y451" s="48">
        <v>5318384.53</v>
      </c>
      <c r="Z451" s="58">
        <v>1826180.08</v>
      </c>
      <c r="AA451" s="50">
        <v>1826180.08</v>
      </c>
      <c r="AB451" s="50">
        <v>0</v>
      </c>
      <c r="AC451" s="50">
        <v>4192.28</v>
      </c>
      <c r="AD451" s="50">
        <v>0</v>
      </c>
      <c r="AE451" s="50">
        <v>0</v>
      </c>
      <c r="AF451" s="50">
        <v>0</v>
      </c>
      <c r="AG451" s="49">
        <v>1830372.36</v>
      </c>
      <c r="AH451" s="51" t="s">
        <v>602</v>
      </c>
      <c r="AI451" s="51" t="s">
        <v>74</v>
      </c>
      <c r="AJ451" s="51" t="s">
        <v>85</v>
      </c>
      <c r="AK451" s="51" t="s">
        <v>74</v>
      </c>
      <c r="AL451" s="51" t="s">
        <v>74</v>
      </c>
      <c r="AM451" s="51" t="s">
        <v>74</v>
      </c>
      <c r="AN451" s="52">
        <v>0</v>
      </c>
      <c r="AO451" s="52">
        <v>0</v>
      </c>
      <c r="AP451" s="52">
        <v>0</v>
      </c>
      <c r="AQ451" s="52">
        <v>0</v>
      </c>
      <c r="AR451" s="52">
        <v>0</v>
      </c>
      <c r="AS451" s="52">
        <v>0</v>
      </c>
      <c r="AT451" s="53" t="s">
        <v>74</v>
      </c>
      <c r="AU451" s="52">
        <v>0</v>
      </c>
      <c r="AV451" s="52"/>
      <c r="AW451" s="52">
        <v>0</v>
      </c>
      <c r="AX451" s="52"/>
      <c r="AY451" s="52"/>
      <c r="AZ451" s="52">
        <v>0</v>
      </c>
      <c r="BA451" s="52">
        <v>0</v>
      </c>
      <c r="BB451" s="54" t="s">
        <v>74</v>
      </c>
      <c r="BC451" s="53" t="s">
        <v>74</v>
      </c>
      <c r="BD451" s="55" t="s">
        <v>74</v>
      </c>
      <c r="BE451" s="55" t="s">
        <v>74</v>
      </c>
      <c r="BF451" s="55" t="s">
        <v>74</v>
      </c>
      <c r="BG451" s="55" t="s">
        <v>74</v>
      </c>
      <c r="BH451" s="52">
        <v>0</v>
      </c>
      <c r="BI451" s="52">
        <v>3488012.17</v>
      </c>
      <c r="BJ451" s="52">
        <v>3488012.17</v>
      </c>
      <c r="BK451" s="56">
        <v>42826</v>
      </c>
      <c r="BL451" s="57">
        <v>3488012.17</v>
      </c>
      <c r="BM451" s="47">
        <v>0</v>
      </c>
      <c r="BN451" s="9"/>
      <c r="BO451" s="9"/>
      <c r="BP451" s="9"/>
      <c r="BQ451" s="9"/>
      <c r="BR451" s="9"/>
      <c r="BS451" s="9"/>
      <c r="BT451" s="9"/>
      <c r="BU451" s="9"/>
      <c r="BV451" s="9"/>
      <c r="BW451" s="9"/>
    </row>
    <row r="452" spans="1:75" ht="93.75" hidden="1" customHeight="1" outlineLevel="2" x14ac:dyDescent="0.25">
      <c r="A452" s="43" t="s">
        <v>346</v>
      </c>
      <c r="B452" s="110" t="s">
        <v>597</v>
      </c>
      <c r="C452" s="45">
        <v>2017</v>
      </c>
      <c r="D452" s="113" t="s">
        <v>81</v>
      </c>
      <c r="E452" s="47">
        <v>3108000</v>
      </c>
      <c r="F452" s="47">
        <v>2210384.5299999998</v>
      </c>
      <c r="G452" s="47">
        <v>0</v>
      </c>
      <c r="H452" s="47">
        <v>0</v>
      </c>
      <c r="I452" s="47">
        <v>0</v>
      </c>
      <c r="J452" s="47">
        <v>0</v>
      </c>
      <c r="K452" s="47">
        <v>0</v>
      </c>
      <c r="L452" s="47">
        <v>0</v>
      </c>
      <c r="M452" s="47">
        <v>0</v>
      </c>
      <c r="N452" s="47">
        <v>0</v>
      </c>
      <c r="O452" s="47">
        <v>0</v>
      </c>
      <c r="P452" s="47">
        <v>0</v>
      </c>
      <c r="Q452" s="47">
        <v>0</v>
      </c>
      <c r="R452" s="47">
        <v>0</v>
      </c>
      <c r="S452" s="47">
        <v>0</v>
      </c>
      <c r="T452" s="47">
        <v>0</v>
      </c>
      <c r="U452" s="47">
        <v>0</v>
      </c>
      <c r="V452" s="47">
        <v>0</v>
      </c>
      <c r="W452" s="47">
        <v>0</v>
      </c>
      <c r="X452" s="47">
        <v>0</v>
      </c>
      <c r="Y452" s="48">
        <v>5318384.53</v>
      </c>
      <c r="Z452" s="58">
        <v>1826180.08</v>
      </c>
      <c r="AA452" s="50">
        <v>1826180.08</v>
      </c>
      <c r="AB452" s="50">
        <v>0</v>
      </c>
      <c r="AC452" s="50">
        <v>4192.28</v>
      </c>
      <c r="AD452" s="50">
        <v>0</v>
      </c>
      <c r="AE452" s="50">
        <v>0</v>
      </c>
      <c r="AF452" s="50">
        <v>0</v>
      </c>
      <c r="AG452" s="49">
        <v>1830372.36</v>
      </c>
      <c r="AH452" s="51" t="s">
        <v>602</v>
      </c>
      <c r="AI452" s="51" t="s">
        <v>74</v>
      </c>
      <c r="AJ452" s="51" t="s">
        <v>85</v>
      </c>
      <c r="AK452" s="51" t="s">
        <v>74</v>
      </c>
      <c r="AL452" s="51" t="s">
        <v>74</v>
      </c>
      <c r="AM452" s="51" t="s">
        <v>74</v>
      </c>
      <c r="AN452" s="52">
        <v>0</v>
      </c>
      <c r="AO452" s="52">
        <v>0</v>
      </c>
      <c r="AP452" s="52">
        <v>0</v>
      </c>
      <c r="AQ452" s="52">
        <v>0</v>
      </c>
      <c r="AR452" s="52">
        <v>0</v>
      </c>
      <c r="AS452" s="52">
        <v>0</v>
      </c>
      <c r="AT452" s="53" t="s">
        <v>74</v>
      </c>
      <c r="AU452" s="52">
        <v>0</v>
      </c>
      <c r="AV452" s="52"/>
      <c r="AW452" s="52">
        <v>0</v>
      </c>
      <c r="AX452" s="52"/>
      <c r="AY452" s="52"/>
      <c r="AZ452" s="52">
        <v>0</v>
      </c>
      <c r="BA452" s="52">
        <v>0</v>
      </c>
      <c r="BB452" s="54" t="s">
        <v>74</v>
      </c>
      <c r="BC452" s="53" t="s">
        <v>74</v>
      </c>
      <c r="BD452" s="55" t="s">
        <v>74</v>
      </c>
      <c r="BE452" s="55" t="s">
        <v>74</v>
      </c>
      <c r="BF452" s="55" t="s">
        <v>74</v>
      </c>
      <c r="BG452" s="55" t="s">
        <v>74</v>
      </c>
      <c r="BH452" s="52">
        <v>0</v>
      </c>
      <c r="BI452" s="52">
        <v>3488012.17</v>
      </c>
      <c r="BJ452" s="52">
        <v>3488012.17</v>
      </c>
      <c r="BK452" s="56">
        <v>42856</v>
      </c>
      <c r="BL452" s="57">
        <v>3488012.17</v>
      </c>
      <c r="BM452" s="47">
        <v>0</v>
      </c>
      <c r="BN452" s="9"/>
      <c r="BO452" s="9"/>
      <c r="BP452" s="9"/>
      <c r="BQ452" s="9"/>
      <c r="BR452" s="9"/>
      <c r="BS452" s="9"/>
      <c r="BT452" s="9"/>
      <c r="BU452" s="9"/>
      <c r="BV452" s="9"/>
      <c r="BW452" s="9"/>
    </row>
    <row r="453" spans="1:75" ht="93.75" hidden="1" customHeight="1" outlineLevel="2" x14ac:dyDescent="0.25">
      <c r="A453" s="43" t="s">
        <v>346</v>
      </c>
      <c r="B453" s="110" t="s">
        <v>597</v>
      </c>
      <c r="C453" s="45">
        <v>2017</v>
      </c>
      <c r="D453" s="174" t="s">
        <v>83</v>
      </c>
      <c r="E453" s="47">
        <v>3108000</v>
      </c>
      <c r="F453" s="47">
        <v>2210384.5299999998</v>
      </c>
      <c r="G453" s="47">
        <v>0</v>
      </c>
      <c r="H453" s="47">
        <v>0</v>
      </c>
      <c r="I453" s="47">
        <v>0</v>
      </c>
      <c r="J453" s="47">
        <v>0</v>
      </c>
      <c r="K453" s="47">
        <v>0</v>
      </c>
      <c r="L453" s="47">
        <v>0</v>
      </c>
      <c r="M453" s="47">
        <v>0</v>
      </c>
      <c r="N453" s="47">
        <v>0</v>
      </c>
      <c r="O453" s="47">
        <v>0</v>
      </c>
      <c r="P453" s="47">
        <v>0</v>
      </c>
      <c r="Q453" s="47">
        <v>0</v>
      </c>
      <c r="R453" s="47">
        <v>0</v>
      </c>
      <c r="S453" s="47">
        <v>0</v>
      </c>
      <c r="T453" s="47">
        <v>0</v>
      </c>
      <c r="U453" s="47">
        <v>0</v>
      </c>
      <c r="V453" s="47">
        <v>0</v>
      </c>
      <c r="W453" s="47">
        <v>0</v>
      </c>
      <c r="X453" s="47">
        <v>0</v>
      </c>
      <c r="Y453" s="48">
        <v>5318384.53</v>
      </c>
      <c r="Z453" s="58">
        <v>1826180.08</v>
      </c>
      <c r="AA453" s="50">
        <v>1826180.08</v>
      </c>
      <c r="AB453" s="50">
        <v>0</v>
      </c>
      <c r="AC453" s="50">
        <v>4192.28</v>
      </c>
      <c r="AD453" s="50">
        <v>0</v>
      </c>
      <c r="AE453" s="50">
        <v>0</v>
      </c>
      <c r="AF453" s="50">
        <v>0</v>
      </c>
      <c r="AG453" s="49">
        <v>1830372.36</v>
      </c>
      <c r="AH453" s="51" t="s">
        <v>602</v>
      </c>
      <c r="AI453" s="51" t="s">
        <v>74</v>
      </c>
      <c r="AJ453" s="51" t="s">
        <v>85</v>
      </c>
      <c r="AK453" s="51" t="s">
        <v>74</v>
      </c>
      <c r="AL453" s="51" t="s">
        <v>74</v>
      </c>
      <c r="AM453" s="51" t="s">
        <v>74</v>
      </c>
      <c r="AN453" s="52">
        <v>0</v>
      </c>
      <c r="AO453" s="52">
        <v>0</v>
      </c>
      <c r="AP453" s="52">
        <v>0</v>
      </c>
      <c r="AQ453" s="52">
        <v>0</v>
      </c>
      <c r="AR453" s="52">
        <v>0</v>
      </c>
      <c r="AS453" s="52">
        <v>0</v>
      </c>
      <c r="AT453" s="53" t="s">
        <v>74</v>
      </c>
      <c r="AU453" s="52">
        <v>0</v>
      </c>
      <c r="AV453" s="52"/>
      <c r="AW453" s="52">
        <v>0</v>
      </c>
      <c r="AX453" s="52"/>
      <c r="AY453" s="52"/>
      <c r="AZ453" s="52">
        <v>0</v>
      </c>
      <c r="BA453" s="52">
        <v>0</v>
      </c>
      <c r="BB453" s="54" t="s">
        <v>74</v>
      </c>
      <c r="BC453" s="53" t="s">
        <v>74</v>
      </c>
      <c r="BD453" s="55" t="s">
        <v>74</v>
      </c>
      <c r="BE453" s="55" t="s">
        <v>74</v>
      </c>
      <c r="BF453" s="55" t="s">
        <v>74</v>
      </c>
      <c r="BG453" s="55" t="s">
        <v>74</v>
      </c>
      <c r="BH453" s="52">
        <v>0</v>
      </c>
      <c r="BI453" s="52">
        <v>3488012.17</v>
      </c>
      <c r="BJ453" s="52">
        <v>3488012.17</v>
      </c>
      <c r="BK453" s="56">
        <v>42887</v>
      </c>
      <c r="BL453" s="57">
        <v>3488012.17</v>
      </c>
      <c r="BM453" s="47">
        <v>0</v>
      </c>
      <c r="BN453" s="9"/>
      <c r="BO453" s="9"/>
      <c r="BP453" s="9"/>
      <c r="BQ453" s="9"/>
      <c r="BR453" s="9"/>
      <c r="BS453" s="9"/>
      <c r="BT453" s="9"/>
      <c r="BU453" s="9"/>
      <c r="BV453" s="9"/>
      <c r="BW453" s="9"/>
    </row>
    <row r="454" spans="1:75" ht="84.75" hidden="1" customHeight="1" outlineLevel="2" x14ac:dyDescent="0.25">
      <c r="A454" s="43" t="s">
        <v>346</v>
      </c>
      <c r="B454" s="110" t="s">
        <v>597</v>
      </c>
      <c r="C454" s="45">
        <v>2017</v>
      </c>
      <c r="D454" s="113" t="s">
        <v>84</v>
      </c>
      <c r="E454" s="47">
        <v>3108000</v>
      </c>
      <c r="F454" s="47">
        <v>2210384.5299999998</v>
      </c>
      <c r="G454" s="47">
        <v>0</v>
      </c>
      <c r="H454" s="47">
        <v>0</v>
      </c>
      <c r="I454" s="47">
        <v>0</v>
      </c>
      <c r="J454" s="47">
        <v>0</v>
      </c>
      <c r="K454" s="47">
        <v>0</v>
      </c>
      <c r="L454" s="47">
        <v>0</v>
      </c>
      <c r="M454" s="47">
        <v>0</v>
      </c>
      <c r="N454" s="47">
        <v>0</v>
      </c>
      <c r="O454" s="47">
        <v>0</v>
      </c>
      <c r="P454" s="47">
        <v>0</v>
      </c>
      <c r="Q454" s="47">
        <v>0</v>
      </c>
      <c r="R454" s="47">
        <v>0</v>
      </c>
      <c r="S454" s="47">
        <v>0</v>
      </c>
      <c r="T454" s="47">
        <v>0</v>
      </c>
      <c r="U454" s="47">
        <v>0</v>
      </c>
      <c r="V454" s="47">
        <v>0</v>
      </c>
      <c r="W454" s="47">
        <v>0</v>
      </c>
      <c r="X454" s="47">
        <v>0</v>
      </c>
      <c r="Y454" s="48">
        <v>5318384.53</v>
      </c>
      <c r="Z454" s="58">
        <v>1440947.12</v>
      </c>
      <c r="AA454" s="50">
        <v>1440947.12</v>
      </c>
      <c r="AB454" s="50">
        <v>0</v>
      </c>
      <c r="AC454" s="50">
        <v>4611.84</v>
      </c>
      <c r="AD454" s="50">
        <v>0</v>
      </c>
      <c r="AE454" s="50">
        <v>0</v>
      </c>
      <c r="AF454" s="50">
        <v>0</v>
      </c>
      <c r="AG454" s="49">
        <v>1445558.96</v>
      </c>
      <c r="AH454" s="51" t="s">
        <v>602</v>
      </c>
      <c r="AI454" s="51" t="s">
        <v>74</v>
      </c>
      <c r="AJ454" s="51" t="s">
        <v>85</v>
      </c>
      <c r="AK454" s="51" t="s">
        <v>74</v>
      </c>
      <c r="AL454" s="51" t="s">
        <v>74</v>
      </c>
      <c r="AM454" s="51" t="s">
        <v>74</v>
      </c>
      <c r="AN454" s="52">
        <v>0</v>
      </c>
      <c r="AO454" s="52">
        <v>0</v>
      </c>
      <c r="AP454" s="52">
        <v>0</v>
      </c>
      <c r="AQ454" s="52">
        <v>0</v>
      </c>
      <c r="AR454" s="52">
        <v>0</v>
      </c>
      <c r="AS454" s="52">
        <v>0</v>
      </c>
      <c r="AT454" s="53" t="s">
        <v>74</v>
      </c>
      <c r="AU454" s="52">
        <v>0</v>
      </c>
      <c r="AV454" s="52"/>
      <c r="AW454" s="52">
        <v>0</v>
      </c>
      <c r="AX454" s="52"/>
      <c r="AY454" s="52"/>
      <c r="AZ454" s="52">
        <v>0</v>
      </c>
      <c r="BA454" s="52">
        <v>0</v>
      </c>
      <c r="BB454" s="54" t="s">
        <v>74</v>
      </c>
      <c r="BC454" s="53" t="s">
        <v>74</v>
      </c>
      <c r="BD454" s="55" t="s">
        <v>74</v>
      </c>
      <c r="BE454" s="55" t="s">
        <v>74</v>
      </c>
      <c r="BF454" s="55" t="s">
        <v>74</v>
      </c>
      <c r="BG454" s="55" t="s">
        <v>74</v>
      </c>
      <c r="BH454" s="52">
        <v>0</v>
      </c>
      <c r="BI454" s="52">
        <v>3872825.57</v>
      </c>
      <c r="BJ454" s="52">
        <v>3872825.57</v>
      </c>
      <c r="BK454" s="56">
        <v>42917</v>
      </c>
      <c r="BL454" s="57">
        <v>3872825.57</v>
      </c>
      <c r="BM454" s="47">
        <v>0</v>
      </c>
      <c r="BN454" s="9"/>
      <c r="BO454" s="9"/>
      <c r="BP454" s="9"/>
      <c r="BQ454" s="9"/>
      <c r="BR454" s="9"/>
      <c r="BS454" s="9"/>
      <c r="BT454" s="9"/>
      <c r="BU454" s="9"/>
      <c r="BV454" s="9"/>
      <c r="BW454" s="9"/>
    </row>
    <row r="455" spans="1:75" ht="29.25" hidden="1" customHeight="1" outlineLevel="2" x14ac:dyDescent="0.25">
      <c r="A455" s="43" t="s">
        <v>346</v>
      </c>
      <c r="B455" s="110" t="s">
        <v>597</v>
      </c>
      <c r="C455" s="45">
        <v>2017</v>
      </c>
      <c r="D455" s="113" t="s">
        <v>86</v>
      </c>
      <c r="E455" s="47">
        <v>3108000</v>
      </c>
      <c r="F455" s="47">
        <v>2210384.5299999998</v>
      </c>
      <c r="G455" s="47">
        <v>0</v>
      </c>
      <c r="H455" s="47">
        <v>0</v>
      </c>
      <c r="I455" s="47">
        <v>0</v>
      </c>
      <c r="J455" s="47">
        <v>0</v>
      </c>
      <c r="K455" s="47">
        <v>0</v>
      </c>
      <c r="L455" s="47">
        <v>0</v>
      </c>
      <c r="M455" s="47">
        <v>0</v>
      </c>
      <c r="N455" s="47">
        <v>0</v>
      </c>
      <c r="O455" s="47">
        <v>0</v>
      </c>
      <c r="P455" s="47">
        <v>0</v>
      </c>
      <c r="Q455" s="47">
        <v>0</v>
      </c>
      <c r="R455" s="47">
        <v>0</v>
      </c>
      <c r="S455" s="47">
        <v>0</v>
      </c>
      <c r="T455" s="47">
        <v>0</v>
      </c>
      <c r="U455" s="47">
        <v>0</v>
      </c>
      <c r="V455" s="47">
        <v>0</v>
      </c>
      <c r="W455" s="47">
        <v>0</v>
      </c>
      <c r="X455" s="47">
        <v>0</v>
      </c>
      <c r="Y455" s="48">
        <v>5318384.53</v>
      </c>
      <c r="Z455" s="58">
        <v>1503684.82</v>
      </c>
      <c r="AA455" s="50">
        <v>1503684.82</v>
      </c>
      <c r="AB455" s="50">
        <v>0</v>
      </c>
      <c r="AC455" s="50">
        <v>4611.84</v>
      </c>
      <c r="AD455" s="50">
        <v>0</v>
      </c>
      <c r="AE455" s="50">
        <v>0</v>
      </c>
      <c r="AF455" s="50">
        <v>0</v>
      </c>
      <c r="AG455" s="49">
        <v>1508296.66</v>
      </c>
      <c r="AH455" s="51" t="s">
        <v>104</v>
      </c>
      <c r="AI455" s="51" t="s">
        <v>74</v>
      </c>
      <c r="AJ455" s="51" t="s">
        <v>87</v>
      </c>
      <c r="AK455" s="51" t="s">
        <v>74</v>
      </c>
      <c r="AL455" s="51" t="s">
        <v>74</v>
      </c>
      <c r="AM455" s="51" t="s">
        <v>74</v>
      </c>
      <c r="AN455" s="52">
        <v>0</v>
      </c>
      <c r="AO455" s="52">
        <v>0</v>
      </c>
      <c r="AP455" s="52"/>
      <c r="AQ455" s="52">
        <v>0</v>
      </c>
      <c r="AR455" s="52">
        <v>0</v>
      </c>
      <c r="AS455" s="52">
        <v>0</v>
      </c>
      <c r="AT455" s="53" t="s">
        <v>74</v>
      </c>
      <c r="AU455" s="52">
        <v>6944.19</v>
      </c>
      <c r="AV455" s="52"/>
      <c r="AW455" s="52">
        <v>0</v>
      </c>
      <c r="AX455" s="52"/>
      <c r="AY455" s="52"/>
      <c r="AZ455" s="52">
        <v>0</v>
      </c>
      <c r="BA455" s="52">
        <v>6944.19</v>
      </c>
      <c r="BB455" s="55" t="s">
        <v>603</v>
      </c>
      <c r="BC455" s="51" t="s">
        <v>74</v>
      </c>
      <c r="BD455" s="54" t="s">
        <v>74</v>
      </c>
      <c r="BE455" s="54" t="s">
        <v>74</v>
      </c>
      <c r="BF455" s="54" t="s">
        <v>74</v>
      </c>
      <c r="BG455" s="54" t="s">
        <v>74</v>
      </c>
      <c r="BH455" s="52">
        <v>6944.19</v>
      </c>
      <c r="BI455" s="52">
        <v>3817032.06</v>
      </c>
      <c r="BJ455" s="52">
        <v>3810087.87</v>
      </c>
      <c r="BK455" s="56">
        <v>42948</v>
      </c>
      <c r="BL455" s="57">
        <v>3817032.06</v>
      </c>
      <c r="BM455" s="47">
        <v>0</v>
      </c>
      <c r="BN455" s="9"/>
      <c r="BO455" s="9"/>
      <c r="BP455" s="9"/>
      <c r="BQ455" s="9"/>
      <c r="BR455" s="9"/>
      <c r="BS455" s="9"/>
      <c r="BT455" s="9"/>
      <c r="BU455" s="9"/>
      <c r="BV455" s="9"/>
      <c r="BW455" s="9"/>
    </row>
    <row r="456" spans="1:75" ht="86.25" hidden="1" customHeight="1" outlineLevel="2" x14ac:dyDescent="0.25">
      <c r="A456" s="43" t="s">
        <v>346</v>
      </c>
      <c r="B456" s="110" t="s">
        <v>597</v>
      </c>
      <c r="C456" s="45">
        <v>2017</v>
      </c>
      <c r="D456" s="113" t="s">
        <v>88</v>
      </c>
      <c r="E456" s="47">
        <v>3108000</v>
      </c>
      <c r="F456" s="47">
        <v>2210384.5299999998</v>
      </c>
      <c r="G456" s="47">
        <v>0</v>
      </c>
      <c r="H456" s="47">
        <v>0</v>
      </c>
      <c r="I456" s="47">
        <v>0</v>
      </c>
      <c r="J456" s="47">
        <v>0</v>
      </c>
      <c r="K456" s="47">
        <v>0</v>
      </c>
      <c r="L456" s="47">
        <v>0</v>
      </c>
      <c r="M456" s="47">
        <v>0</v>
      </c>
      <c r="N456" s="47">
        <v>0</v>
      </c>
      <c r="O456" s="47">
        <v>0</v>
      </c>
      <c r="P456" s="47">
        <v>0</v>
      </c>
      <c r="Q456" s="47">
        <v>0</v>
      </c>
      <c r="R456" s="47">
        <v>0</v>
      </c>
      <c r="S456" s="47">
        <v>0</v>
      </c>
      <c r="T456" s="47">
        <v>0</v>
      </c>
      <c r="U456" s="47">
        <v>0</v>
      </c>
      <c r="V456" s="47">
        <v>0</v>
      </c>
      <c r="W456" s="47">
        <v>0</v>
      </c>
      <c r="X456" s="47">
        <v>0</v>
      </c>
      <c r="Y456" s="48">
        <v>5318384.53</v>
      </c>
      <c r="Z456" s="58">
        <v>1503684.82</v>
      </c>
      <c r="AA456" s="50">
        <v>1503684.82</v>
      </c>
      <c r="AB456" s="50">
        <v>0</v>
      </c>
      <c r="AC456" s="50">
        <v>4611.84</v>
      </c>
      <c r="AD456" s="50">
        <v>0</v>
      </c>
      <c r="AE456" s="50">
        <v>0</v>
      </c>
      <c r="AF456" s="50">
        <v>0</v>
      </c>
      <c r="AG456" s="49">
        <v>1508296.66</v>
      </c>
      <c r="AH456" s="51" t="s">
        <v>602</v>
      </c>
      <c r="AI456" s="51" t="s">
        <v>74</v>
      </c>
      <c r="AJ456" s="51" t="s">
        <v>85</v>
      </c>
      <c r="AK456" s="51" t="s">
        <v>74</v>
      </c>
      <c r="AL456" s="51" t="s">
        <v>74</v>
      </c>
      <c r="AM456" s="51" t="s">
        <v>74</v>
      </c>
      <c r="AN456" s="52">
        <v>0</v>
      </c>
      <c r="AO456" s="52">
        <v>0</v>
      </c>
      <c r="AP456" s="52">
        <v>0</v>
      </c>
      <c r="AQ456" s="52">
        <v>0</v>
      </c>
      <c r="AR456" s="52">
        <v>0</v>
      </c>
      <c r="AS456" s="52">
        <v>0</v>
      </c>
      <c r="AT456" s="53" t="s">
        <v>74</v>
      </c>
      <c r="AU456" s="52">
        <v>0</v>
      </c>
      <c r="AV456" s="52"/>
      <c r="AW456" s="52">
        <v>0</v>
      </c>
      <c r="AX456" s="52"/>
      <c r="AY456" s="52"/>
      <c r="AZ456" s="52">
        <v>0</v>
      </c>
      <c r="BA456" s="52">
        <v>0</v>
      </c>
      <c r="BB456" s="54" t="s">
        <v>74</v>
      </c>
      <c r="BC456" s="53" t="s">
        <v>74</v>
      </c>
      <c r="BD456" s="55" t="s">
        <v>74</v>
      </c>
      <c r="BE456" s="55" t="s">
        <v>74</v>
      </c>
      <c r="BF456" s="55" t="s">
        <v>74</v>
      </c>
      <c r="BG456" s="55" t="s">
        <v>74</v>
      </c>
      <c r="BH456" s="52">
        <v>0</v>
      </c>
      <c r="BI456" s="52">
        <v>3810087.87</v>
      </c>
      <c r="BJ456" s="52">
        <v>3810087.87</v>
      </c>
      <c r="BK456" s="56">
        <v>42979</v>
      </c>
      <c r="BL456" s="57">
        <v>3810087.87</v>
      </c>
      <c r="BM456" s="47">
        <v>0</v>
      </c>
      <c r="BN456" s="9"/>
      <c r="BO456" s="9"/>
      <c r="BP456" s="9"/>
      <c r="BQ456" s="9"/>
      <c r="BR456" s="9"/>
      <c r="BS456" s="9"/>
      <c r="BT456" s="9"/>
      <c r="BU456" s="9"/>
      <c r="BV456" s="9"/>
      <c r="BW456" s="9"/>
    </row>
    <row r="457" spans="1:75" ht="86.25" hidden="1" customHeight="1" outlineLevel="2" x14ac:dyDescent="0.25">
      <c r="A457" s="43" t="s">
        <v>346</v>
      </c>
      <c r="B457" s="110" t="s">
        <v>597</v>
      </c>
      <c r="C457" s="45">
        <v>2017</v>
      </c>
      <c r="D457" s="113" t="s">
        <v>89</v>
      </c>
      <c r="E457" s="47">
        <v>3108000</v>
      </c>
      <c r="F457" s="47">
        <v>2210384.5299999998</v>
      </c>
      <c r="G457" s="47">
        <v>0</v>
      </c>
      <c r="H457" s="47">
        <v>0</v>
      </c>
      <c r="I457" s="47">
        <v>0</v>
      </c>
      <c r="J457" s="47">
        <v>0</v>
      </c>
      <c r="K457" s="47">
        <v>0</v>
      </c>
      <c r="L457" s="47">
        <v>0</v>
      </c>
      <c r="M457" s="47">
        <v>0</v>
      </c>
      <c r="N457" s="47">
        <v>0</v>
      </c>
      <c r="O457" s="47">
        <v>0</v>
      </c>
      <c r="P457" s="47">
        <v>0</v>
      </c>
      <c r="Q457" s="47">
        <v>0</v>
      </c>
      <c r="R457" s="47">
        <v>0</v>
      </c>
      <c r="S457" s="47">
        <v>0</v>
      </c>
      <c r="T457" s="47">
        <v>0</v>
      </c>
      <c r="U457" s="47">
        <v>0</v>
      </c>
      <c r="V457" s="47">
        <v>0</v>
      </c>
      <c r="W457" s="47">
        <v>0</v>
      </c>
      <c r="X457" s="47">
        <v>0</v>
      </c>
      <c r="Y457" s="48">
        <v>5318384.53</v>
      </c>
      <c r="Z457" s="58">
        <v>1481739.42</v>
      </c>
      <c r="AA457" s="50">
        <v>1481739.42</v>
      </c>
      <c r="AB457" s="50">
        <v>0</v>
      </c>
      <c r="AC457" s="50">
        <v>4603.96</v>
      </c>
      <c r="AD457" s="50">
        <v>0</v>
      </c>
      <c r="AE457" s="50">
        <v>0</v>
      </c>
      <c r="AF457" s="50">
        <v>0</v>
      </c>
      <c r="AG457" s="49">
        <v>1486343.38</v>
      </c>
      <c r="AH457" s="51" t="s">
        <v>602</v>
      </c>
      <c r="AI457" s="51" t="s">
        <v>74</v>
      </c>
      <c r="AJ457" s="51" t="s">
        <v>85</v>
      </c>
      <c r="AK457" s="51" t="s">
        <v>74</v>
      </c>
      <c r="AL457" s="51" t="s">
        <v>74</v>
      </c>
      <c r="AM457" s="51" t="s">
        <v>74</v>
      </c>
      <c r="AN457" s="52">
        <v>0</v>
      </c>
      <c r="AO457" s="52">
        <v>0</v>
      </c>
      <c r="AP457" s="52"/>
      <c r="AQ457" s="52">
        <v>0</v>
      </c>
      <c r="AR457" s="52">
        <v>0</v>
      </c>
      <c r="AS457" s="52">
        <v>0</v>
      </c>
      <c r="AT457" s="53" t="s">
        <v>74</v>
      </c>
      <c r="AU457" s="52">
        <v>3500</v>
      </c>
      <c r="AV457" s="52"/>
      <c r="AW457" s="52">
        <v>0</v>
      </c>
      <c r="AX457" s="52"/>
      <c r="AY457" s="52"/>
      <c r="AZ457" s="52">
        <v>0</v>
      </c>
      <c r="BA457" s="52">
        <v>3500</v>
      </c>
      <c r="BB457" s="55" t="s">
        <v>604</v>
      </c>
      <c r="BC457" s="51" t="s">
        <v>74</v>
      </c>
      <c r="BD457" s="54" t="s">
        <v>74</v>
      </c>
      <c r="BE457" s="54" t="s">
        <v>74</v>
      </c>
      <c r="BF457" s="54" t="s">
        <v>74</v>
      </c>
      <c r="BG457" s="54" t="s">
        <v>74</v>
      </c>
      <c r="BH457" s="52">
        <v>3500</v>
      </c>
      <c r="BI457" s="52">
        <v>3835541.15</v>
      </c>
      <c r="BJ457" s="52">
        <v>3832041.15</v>
      </c>
      <c r="BK457" s="56">
        <v>43009</v>
      </c>
      <c r="BL457" s="57">
        <v>3835541.15</v>
      </c>
      <c r="BM457" s="47">
        <v>0</v>
      </c>
      <c r="BN457" s="9"/>
      <c r="BO457" s="9"/>
      <c r="BP457" s="9"/>
      <c r="BQ457" s="9"/>
      <c r="BR457" s="9"/>
      <c r="BS457" s="9"/>
      <c r="BT457" s="9"/>
      <c r="BU457" s="9"/>
      <c r="BV457" s="9"/>
      <c r="BW457" s="9"/>
    </row>
    <row r="458" spans="1:75" ht="86.25" hidden="1" customHeight="1" outlineLevel="2" x14ac:dyDescent="0.25">
      <c r="A458" s="43" t="s">
        <v>346</v>
      </c>
      <c r="B458" s="110" t="s">
        <v>597</v>
      </c>
      <c r="C458" s="45">
        <v>2017</v>
      </c>
      <c r="D458" s="113" t="s">
        <v>90</v>
      </c>
      <c r="E458" s="47">
        <v>2486400</v>
      </c>
      <c r="F458" s="47">
        <v>1768307.63</v>
      </c>
      <c r="G458" s="47">
        <v>1043185.58</v>
      </c>
      <c r="H458" s="47">
        <v>0</v>
      </c>
      <c r="I458" s="47">
        <v>0</v>
      </c>
      <c r="J458" s="47">
        <v>0</v>
      </c>
      <c r="K458" s="47">
        <v>0</v>
      </c>
      <c r="L458" s="47">
        <v>0</v>
      </c>
      <c r="M458" s="47">
        <v>0</v>
      </c>
      <c r="N458" s="47">
        <v>0</v>
      </c>
      <c r="O458" s="47">
        <v>0</v>
      </c>
      <c r="P458" s="47">
        <v>0</v>
      </c>
      <c r="Q458" s="47">
        <v>0</v>
      </c>
      <c r="R458" s="47">
        <v>0</v>
      </c>
      <c r="S458" s="47">
        <v>0</v>
      </c>
      <c r="T458" s="47">
        <v>0</v>
      </c>
      <c r="U458" s="47">
        <v>0</v>
      </c>
      <c r="V458" s="47">
        <v>0</v>
      </c>
      <c r="W458" s="47">
        <v>0</v>
      </c>
      <c r="X458" s="47">
        <v>0</v>
      </c>
      <c r="Y458" s="48">
        <v>5297893.21</v>
      </c>
      <c r="Z458" s="58">
        <v>1826180.08</v>
      </c>
      <c r="AA458" s="50">
        <v>1826180.08</v>
      </c>
      <c r="AB458" s="50">
        <v>0</v>
      </c>
      <c r="AC458" s="50">
        <v>4202.18</v>
      </c>
      <c r="AD458" s="50">
        <v>36918.67</v>
      </c>
      <c r="AE458" s="50">
        <v>0</v>
      </c>
      <c r="AF458" s="50">
        <v>0</v>
      </c>
      <c r="AG458" s="49">
        <v>1867300.93</v>
      </c>
      <c r="AH458" s="51" t="s">
        <v>602</v>
      </c>
      <c r="AI458" s="51" t="s">
        <v>74</v>
      </c>
      <c r="AJ458" s="51" t="s">
        <v>85</v>
      </c>
      <c r="AK458" s="51" t="s">
        <v>605</v>
      </c>
      <c r="AL458" s="51" t="s">
        <v>74</v>
      </c>
      <c r="AM458" s="51" t="s">
        <v>74</v>
      </c>
      <c r="AN458" s="52">
        <v>0</v>
      </c>
      <c r="AO458" s="52">
        <v>0</v>
      </c>
      <c r="AP458" s="52">
        <v>0</v>
      </c>
      <c r="AQ458" s="52">
        <v>0</v>
      </c>
      <c r="AR458" s="52">
        <v>0</v>
      </c>
      <c r="AS458" s="52">
        <v>0</v>
      </c>
      <c r="AT458" s="53" t="s">
        <v>74</v>
      </c>
      <c r="AU458" s="52">
        <v>0</v>
      </c>
      <c r="AV458" s="52"/>
      <c r="AW458" s="52">
        <v>0</v>
      </c>
      <c r="AX458" s="52"/>
      <c r="AY458" s="52"/>
      <c r="AZ458" s="52">
        <v>0</v>
      </c>
      <c r="BA458" s="52">
        <v>0</v>
      </c>
      <c r="BB458" s="54" t="s">
        <v>74</v>
      </c>
      <c r="BC458" s="53" t="s">
        <v>74</v>
      </c>
      <c r="BD458" s="55" t="s">
        <v>74</v>
      </c>
      <c r="BE458" s="55" t="s">
        <v>74</v>
      </c>
      <c r="BF458" s="55" t="s">
        <v>74</v>
      </c>
      <c r="BG458" s="55" t="s">
        <v>74</v>
      </c>
      <c r="BH458" s="52">
        <v>0</v>
      </c>
      <c r="BI458" s="52">
        <v>3430592.28</v>
      </c>
      <c r="BJ458" s="52">
        <v>3430592.28</v>
      </c>
      <c r="BK458" s="56">
        <v>43040</v>
      </c>
      <c r="BL458" s="57">
        <v>3430592.28</v>
      </c>
      <c r="BM458" s="47">
        <v>0</v>
      </c>
      <c r="BN458" s="9"/>
      <c r="BO458" s="9"/>
      <c r="BP458" s="9"/>
      <c r="BQ458" s="9"/>
      <c r="BR458" s="9"/>
      <c r="BS458" s="9"/>
      <c r="BT458" s="9"/>
      <c r="BU458" s="9"/>
      <c r="BV458" s="9"/>
      <c r="BW458" s="9"/>
    </row>
    <row r="459" spans="1:75" ht="22.5" hidden="1" customHeight="1" outlineLevel="2" x14ac:dyDescent="0.25">
      <c r="A459" s="43" t="s">
        <v>346</v>
      </c>
      <c r="B459" s="110" t="s">
        <v>597</v>
      </c>
      <c r="C459" s="45">
        <v>2017</v>
      </c>
      <c r="D459" s="113" t="s">
        <v>93</v>
      </c>
      <c r="E459" s="47">
        <v>0</v>
      </c>
      <c r="F459" s="47">
        <v>0</v>
      </c>
      <c r="G459" s="47">
        <v>5215927.91</v>
      </c>
      <c r="H459" s="47">
        <v>0</v>
      </c>
      <c r="I459" s="47">
        <v>0</v>
      </c>
      <c r="J459" s="47">
        <v>0</v>
      </c>
      <c r="K459" s="47">
        <v>0</v>
      </c>
      <c r="L459" s="47">
        <v>0</v>
      </c>
      <c r="M459" s="47">
        <v>0</v>
      </c>
      <c r="N459" s="47">
        <v>0</v>
      </c>
      <c r="O459" s="47">
        <v>0</v>
      </c>
      <c r="P459" s="47">
        <v>0</v>
      </c>
      <c r="Q459" s="47">
        <v>0</v>
      </c>
      <c r="R459" s="47">
        <v>0</v>
      </c>
      <c r="S459" s="47">
        <v>0</v>
      </c>
      <c r="T459" s="47">
        <v>0</v>
      </c>
      <c r="U459" s="47">
        <v>0</v>
      </c>
      <c r="V459" s="47">
        <v>0</v>
      </c>
      <c r="W459" s="47">
        <v>0</v>
      </c>
      <c r="X459" s="47">
        <v>0</v>
      </c>
      <c r="Y459" s="48">
        <v>5215927.91</v>
      </c>
      <c r="Z459" s="58">
        <v>1381108.69</v>
      </c>
      <c r="AA459" s="50">
        <v>1381108.69</v>
      </c>
      <c r="AB459" s="50">
        <v>0</v>
      </c>
      <c r="AC459" s="50">
        <v>4231.53</v>
      </c>
      <c r="AD459" s="50">
        <v>67051.929999999993</v>
      </c>
      <c r="AE459" s="50">
        <v>0</v>
      </c>
      <c r="AF459" s="50">
        <v>0</v>
      </c>
      <c r="AG459" s="49">
        <v>1452392.15</v>
      </c>
      <c r="AH459" s="51" t="s">
        <v>104</v>
      </c>
      <c r="AI459" s="51" t="s">
        <v>74</v>
      </c>
      <c r="AJ459" s="51" t="s">
        <v>94</v>
      </c>
      <c r="AK459" s="51" t="s">
        <v>606</v>
      </c>
      <c r="AL459" s="51" t="s">
        <v>74</v>
      </c>
      <c r="AM459" s="51" t="s">
        <v>74</v>
      </c>
      <c r="AN459" s="52">
        <v>0</v>
      </c>
      <c r="AO459" s="52">
        <v>0</v>
      </c>
      <c r="AP459" s="52">
        <v>0</v>
      </c>
      <c r="AQ459" s="52">
        <v>0</v>
      </c>
      <c r="AR459" s="52">
        <v>0</v>
      </c>
      <c r="AS459" s="52">
        <v>0</v>
      </c>
      <c r="AT459" s="53" t="s">
        <v>74</v>
      </c>
      <c r="AU459" s="52">
        <v>0</v>
      </c>
      <c r="AV459" s="52"/>
      <c r="AW459" s="52">
        <v>0</v>
      </c>
      <c r="AX459" s="52"/>
      <c r="AY459" s="52"/>
      <c r="AZ459" s="52">
        <v>0</v>
      </c>
      <c r="BA459" s="52">
        <v>0</v>
      </c>
      <c r="BB459" s="54" t="s">
        <v>74</v>
      </c>
      <c r="BC459" s="53" t="s">
        <v>74</v>
      </c>
      <c r="BD459" s="55" t="s">
        <v>74</v>
      </c>
      <c r="BE459" s="55" t="s">
        <v>74</v>
      </c>
      <c r="BF459" s="55" t="s">
        <v>74</v>
      </c>
      <c r="BG459" s="55" t="s">
        <v>74</v>
      </c>
      <c r="BH459" s="52">
        <v>0</v>
      </c>
      <c r="BI459" s="52">
        <v>3763535.76</v>
      </c>
      <c r="BJ459" s="52">
        <v>3763535.76</v>
      </c>
      <c r="BK459" s="56">
        <v>43070</v>
      </c>
      <c r="BL459" s="57">
        <v>3763535.76</v>
      </c>
      <c r="BM459" s="47">
        <v>0</v>
      </c>
      <c r="BN459" s="9"/>
      <c r="BO459" s="9"/>
      <c r="BP459" s="9"/>
      <c r="BQ459" s="9"/>
      <c r="BR459" s="9"/>
      <c r="BS459" s="9"/>
      <c r="BT459" s="9"/>
      <c r="BU459" s="9"/>
      <c r="BV459" s="9"/>
      <c r="BW459" s="9"/>
    </row>
    <row r="460" spans="1:75" ht="22.5" hidden="1" customHeight="1" outlineLevel="2" x14ac:dyDescent="0.25">
      <c r="A460" s="43" t="s">
        <v>346</v>
      </c>
      <c r="B460" s="110" t="s">
        <v>597</v>
      </c>
      <c r="C460" s="45">
        <v>2018</v>
      </c>
      <c r="D460" s="110" t="s">
        <v>73</v>
      </c>
      <c r="E460" s="47">
        <v>0</v>
      </c>
      <c r="F460" s="47">
        <v>0</v>
      </c>
      <c r="G460" s="47">
        <v>5215927.91</v>
      </c>
      <c r="H460" s="47">
        <v>0</v>
      </c>
      <c r="I460" s="47">
        <v>0</v>
      </c>
      <c r="J460" s="47">
        <v>0</v>
      </c>
      <c r="K460" s="47">
        <v>0</v>
      </c>
      <c r="L460" s="47">
        <v>0</v>
      </c>
      <c r="M460" s="47">
        <v>0</v>
      </c>
      <c r="N460" s="47">
        <v>0</v>
      </c>
      <c r="O460" s="47">
        <v>0</v>
      </c>
      <c r="P460" s="47">
        <v>0</v>
      </c>
      <c r="Q460" s="47">
        <v>0</v>
      </c>
      <c r="R460" s="47">
        <v>0</v>
      </c>
      <c r="S460" s="47">
        <v>0</v>
      </c>
      <c r="T460" s="47">
        <v>0</v>
      </c>
      <c r="U460" s="47">
        <v>0</v>
      </c>
      <c r="V460" s="47">
        <v>0</v>
      </c>
      <c r="W460" s="47">
        <v>0</v>
      </c>
      <c r="X460" s="47">
        <v>0</v>
      </c>
      <c r="Y460" s="48">
        <v>5215927.91</v>
      </c>
      <c r="Z460" s="58">
        <v>1466355.87</v>
      </c>
      <c r="AA460" s="50">
        <v>1466355.87</v>
      </c>
      <c r="AB460" s="50">
        <v>0</v>
      </c>
      <c r="AC460" s="50">
        <v>4338.43</v>
      </c>
      <c r="AD460" s="50">
        <v>47430.09</v>
      </c>
      <c r="AE460" s="50">
        <v>0</v>
      </c>
      <c r="AF460" s="50">
        <v>0</v>
      </c>
      <c r="AG460" s="49">
        <v>1518124.39</v>
      </c>
      <c r="AH460" s="51" t="s">
        <v>104</v>
      </c>
      <c r="AI460" s="51" t="s">
        <v>74</v>
      </c>
      <c r="AJ460" s="51" t="s">
        <v>96</v>
      </c>
      <c r="AK460" s="51" t="s">
        <v>97</v>
      </c>
      <c r="AL460" s="51" t="s">
        <v>74</v>
      </c>
      <c r="AM460" s="51" t="s">
        <v>74</v>
      </c>
      <c r="AN460" s="52">
        <v>0</v>
      </c>
      <c r="AO460" s="52">
        <v>0</v>
      </c>
      <c r="AP460" s="52">
        <v>0</v>
      </c>
      <c r="AQ460" s="52">
        <v>0</v>
      </c>
      <c r="AR460" s="52">
        <v>0</v>
      </c>
      <c r="AS460" s="52">
        <v>0</v>
      </c>
      <c r="AT460" s="53" t="s">
        <v>74</v>
      </c>
      <c r="AU460" s="52">
        <v>0</v>
      </c>
      <c r="AV460" s="52"/>
      <c r="AW460" s="52">
        <v>0</v>
      </c>
      <c r="AX460" s="52"/>
      <c r="AY460" s="52"/>
      <c r="AZ460" s="52">
        <v>0</v>
      </c>
      <c r="BA460" s="52">
        <v>0</v>
      </c>
      <c r="BB460" s="54" t="s">
        <v>74</v>
      </c>
      <c r="BC460" s="53" t="s">
        <v>74</v>
      </c>
      <c r="BD460" s="55" t="s">
        <v>74</v>
      </c>
      <c r="BE460" s="55" t="s">
        <v>74</v>
      </c>
      <c r="BF460" s="55" t="s">
        <v>74</v>
      </c>
      <c r="BG460" s="55" t="s">
        <v>74</v>
      </c>
      <c r="BH460" s="52">
        <v>0</v>
      </c>
      <c r="BI460" s="52">
        <v>3697803.52</v>
      </c>
      <c r="BJ460" s="52">
        <v>3697803.52</v>
      </c>
      <c r="BK460" s="56">
        <v>43101</v>
      </c>
      <c r="BL460" s="57">
        <v>3697803.52</v>
      </c>
      <c r="BM460" s="47">
        <v>0</v>
      </c>
      <c r="BN460" s="9"/>
      <c r="BO460" s="9"/>
      <c r="BP460" s="9"/>
      <c r="BQ460" s="9"/>
      <c r="BR460" s="9"/>
      <c r="BS460" s="9"/>
      <c r="BT460" s="9"/>
      <c r="BU460" s="9"/>
      <c r="BV460" s="9"/>
      <c r="BW460" s="9"/>
    </row>
    <row r="461" spans="1:75" ht="22.5" hidden="1" customHeight="1" outlineLevel="2" x14ac:dyDescent="0.25">
      <c r="A461" s="43" t="s">
        <v>346</v>
      </c>
      <c r="B461" s="110" t="s">
        <v>597</v>
      </c>
      <c r="C461" s="45">
        <v>2018</v>
      </c>
      <c r="D461" s="110" t="s">
        <v>75</v>
      </c>
      <c r="E461" s="47">
        <v>0</v>
      </c>
      <c r="F461" s="47">
        <v>0</v>
      </c>
      <c r="G461" s="47">
        <v>5215927.91</v>
      </c>
      <c r="H461" s="47">
        <v>0</v>
      </c>
      <c r="I461" s="47">
        <v>0</v>
      </c>
      <c r="J461" s="47">
        <v>0</v>
      </c>
      <c r="K461" s="47">
        <v>0</v>
      </c>
      <c r="L461" s="47">
        <v>0</v>
      </c>
      <c r="M461" s="47">
        <v>0</v>
      </c>
      <c r="N461" s="47">
        <v>0</v>
      </c>
      <c r="O461" s="47">
        <v>0</v>
      </c>
      <c r="P461" s="47">
        <v>0</v>
      </c>
      <c r="Q461" s="47">
        <v>0</v>
      </c>
      <c r="R461" s="47">
        <v>0</v>
      </c>
      <c r="S461" s="47">
        <v>0</v>
      </c>
      <c r="T461" s="47">
        <v>0</v>
      </c>
      <c r="U461" s="47">
        <v>0</v>
      </c>
      <c r="V461" s="47">
        <v>0</v>
      </c>
      <c r="W461" s="47">
        <v>0</v>
      </c>
      <c r="X461" s="47">
        <v>0</v>
      </c>
      <c r="Y461" s="48">
        <v>5215927.91</v>
      </c>
      <c r="Z461" s="58">
        <v>1480776.49</v>
      </c>
      <c r="AA461" s="50">
        <v>1480776.49</v>
      </c>
      <c r="AB461" s="50">
        <v>0</v>
      </c>
      <c r="AC461" s="50">
        <v>4528.63</v>
      </c>
      <c r="AD461" s="50">
        <v>47683.6</v>
      </c>
      <c r="AE461" s="50">
        <v>0</v>
      </c>
      <c r="AF461" s="50">
        <v>0</v>
      </c>
      <c r="AG461" s="49">
        <v>1532988.72</v>
      </c>
      <c r="AH461" s="51" t="s">
        <v>104</v>
      </c>
      <c r="AI461" s="51" t="s">
        <v>74</v>
      </c>
      <c r="AJ461" s="51" t="s">
        <v>98</v>
      </c>
      <c r="AK461" s="51" t="s">
        <v>99</v>
      </c>
      <c r="AL461" s="51" t="s">
        <v>74</v>
      </c>
      <c r="AM461" s="51" t="s">
        <v>74</v>
      </c>
      <c r="AN461" s="52">
        <v>0</v>
      </c>
      <c r="AO461" s="52">
        <v>0</v>
      </c>
      <c r="AP461" s="52">
        <v>0</v>
      </c>
      <c r="AQ461" s="52">
        <v>0</v>
      </c>
      <c r="AR461" s="52">
        <v>0</v>
      </c>
      <c r="AS461" s="52">
        <v>0</v>
      </c>
      <c r="AT461" s="53" t="s">
        <v>74</v>
      </c>
      <c r="AU461" s="52">
        <v>0</v>
      </c>
      <c r="AV461" s="52"/>
      <c r="AW461" s="52">
        <v>0</v>
      </c>
      <c r="AX461" s="52"/>
      <c r="AY461" s="52"/>
      <c r="AZ461" s="52">
        <v>0</v>
      </c>
      <c r="BA461" s="52">
        <v>0</v>
      </c>
      <c r="BB461" s="54" t="s">
        <v>74</v>
      </c>
      <c r="BC461" s="53" t="s">
        <v>74</v>
      </c>
      <c r="BD461" s="55" t="s">
        <v>74</v>
      </c>
      <c r="BE461" s="55" t="s">
        <v>74</v>
      </c>
      <c r="BF461" s="55" t="s">
        <v>74</v>
      </c>
      <c r="BG461" s="55" t="s">
        <v>74</v>
      </c>
      <c r="BH461" s="52">
        <v>0</v>
      </c>
      <c r="BI461" s="52">
        <v>3682939.19</v>
      </c>
      <c r="BJ461" s="52">
        <v>3682939.19</v>
      </c>
      <c r="BK461" s="56">
        <v>43132</v>
      </c>
      <c r="BL461" s="57">
        <v>3682939.19</v>
      </c>
      <c r="BM461" s="47">
        <v>0</v>
      </c>
      <c r="BN461" s="9"/>
      <c r="BO461" s="9"/>
      <c r="BP461" s="9"/>
      <c r="BQ461" s="9"/>
      <c r="BR461" s="9"/>
      <c r="BS461" s="9"/>
      <c r="BT461" s="9"/>
      <c r="BU461" s="9"/>
      <c r="BV461" s="9"/>
      <c r="BW461" s="9"/>
    </row>
    <row r="462" spans="1:75" ht="27.75" hidden="1" customHeight="1" outlineLevel="2" x14ac:dyDescent="0.25">
      <c r="A462" s="43" t="s">
        <v>346</v>
      </c>
      <c r="B462" s="110" t="s">
        <v>597</v>
      </c>
      <c r="C462" s="45">
        <v>2018</v>
      </c>
      <c r="D462" s="110" t="s">
        <v>77</v>
      </c>
      <c r="E462" s="47">
        <v>0</v>
      </c>
      <c r="F462" s="47">
        <v>0</v>
      </c>
      <c r="G462" s="47">
        <v>5215927.91</v>
      </c>
      <c r="H462" s="47">
        <v>0</v>
      </c>
      <c r="I462" s="47">
        <v>0</v>
      </c>
      <c r="J462" s="47">
        <v>0</v>
      </c>
      <c r="K462" s="47">
        <v>0</v>
      </c>
      <c r="L462" s="47">
        <v>0</v>
      </c>
      <c r="M462" s="47">
        <v>0</v>
      </c>
      <c r="N462" s="47">
        <v>0</v>
      </c>
      <c r="O462" s="47">
        <v>0</v>
      </c>
      <c r="P462" s="47">
        <v>0</v>
      </c>
      <c r="Q462" s="47">
        <v>0</v>
      </c>
      <c r="R462" s="47">
        <v>0</v>
      </c>
      <c r="S462" s="47">
        <v>0</v>
      </c>
      <c r="T462" s="47">
        <v>0</v>
      </c>
      <c r="U462" s="47">
        <v>0</v>
      </c>
      <c r="V462" s="47">
        <v>0</v>
      </c>
      <c r="W462" s="47">
        <v>0</v>
      </c>
      <c r="X462" s="47">
        <v>0</v>
      </c>
      <c r="Y462" s="48">
        <v>5215927.91</v>
      </c>
      <c r="Z462" s="58">
        <v>1489256.25</v>
      </c>
      <c r="AA462" s="50">
        <v>1489256.25</v>
      </c>
      <c r="AB462" s="50">
        <v>0</v>
      </c>
      <c r="AC462" s="50">
        <v>3903.54</v>
      </c>
      <c r="AD462" s="50">
        <v>79894.240000000005</v>
      </c>
      <c r="AE462" s="50">
        <v>0</v>
      </c>
      <c r="AF462" s="50">
        <v>0</v>
      </c>
      <c r="AG462" s="49">
        <v>1573054.03</v>
      </c>
      <c r="AH462" s="51" t="s">
        <v>104</v>
      </c>
      <c r="AI462" s="51" t="s">
        <v>74</v>
      </c>
      <c r="AJ462" s="51" t="s">
        <v>101</v>
      </c>
      <c r="AK462" s="51" t="s">
        <v>102</v>
      </c>
      <c r="AL462" s="51" t="s">
        <v>74</v>
      </c>
      <c r="AM462" s="51" t="s">
        <v>74</v>
      </c>
      <c r="AN462" s="52">
        <v>0</v>
      </c>
      <c r="AO462" s="52">
        <v>0</v>
      </c>
      <c r="AP462" s="52"/>
      <c r="AQ462" s="52"/>
      <c r="AR462" s="52"/>
      <c r="AS462" s="52">
        <v>0</v>
      </c>
      <c r="AT462" s="53" t="s">
        <v>74</v>
      </c>
      <c r="AU462" s="52">
        <v>9350.19</v>
      </c>
      <c r="AV462" s="52"/>
      <c r="AW462" s="52">
        <v>0</v>
      </c>
      <c r="AX462" s="52"/>
      <c r="AY462" s="52"/>
      <c r="AZ462" s="52">
        <v>0</v>
      </c>
      <c r="BA462" s="52">
        <v>9350.19</v>
      </c>
      <c r="BB462" s="55" t="s">
        <v>607</v>
      </c>
      <c r="BC462" s="51" t="s">
        <v>74</v>
      </c>
      <c r="BD462" s="54" t="s">
        <v>74</v>
      </c>
      <c r="BE462" s="54" t="s">
        <v>74</v>
      </c>
      <c r="BF462" s="54" t="s">
        <v>74</v>
      </c>
      <c r="BG462" s="54" t="s">
        <v>74</v>
      </c>
      <c r="BH462" s="52">
        <v>9350.19</v>
      </c>
      <c r="BI462" s="52">
        <v>3652224.07</v>
      </c>
      <c r="BJ462" s="52">
        <v>3642873.88</v>
      </c>
      <c r="BK462" s="56">
        <v>43160</v>
      </c>
      <c r="BL462" s="57">
        <f>3642873.88+2406+6944.19</f>
        <v>3652224.07</v>
      </c>
      <c r="BM462" s="47">
        <v>0</v>
      </c>
      <c r="BN462" s="9"/>
      <c r="BO462" s="9"/>
      <c r="BP462" s="9"/>
      <c r="BQ462" s="9"/>
      <c r="BR462" s="9"/>
      <c r="BS462" s="9"/>
      <c r="BT462" s="9"/>
      <c r="BU462" s="9"/>
      <c r="BV462" s="9"/>
      <c r="BW462" s="9"/>
    </row>
    <row r="463" spans="1:75" ht="27.75" hidden="1" customHeight="1" outlineLevel="2" x14ac:dyDescent="0.25">
      <c r="A463" s="43" t="s">
        <v>346</v>
      </c>
      <c r="B463" s="110" t="s">
        <v>597</v>
      </c>
      <c r="C463" s="45">
        <v>2018</v>
      </c>
      <c r="D463" s="110" t="s">
        <v>79</v>
      </c>
      <c r="E463" s="47">
        <v>0</v>
      </c>
      <c r="F463" s="47">
        <v>0</v>
      </c>
      <c r="G463" s="47">
        <v>5215927.91</v>
      </c>
      <c r="H463" s="47">
        <v>0</v>
      </c>
      <c r="I463" s="47">
        <v>0</v>
      </c>
      <c r="J463" s="47">
        <v>0</v>
      </c>
      <c r="K463" s="47">
        <v>0</v>
      </c>
      <c r="L463" s="47">
        <v>0</v>
      </c>
      <c r="M463" s="47">
        <v>0</v>
      </c>
      <c r="N463" s="47">
        <v>0</v>
      </c>
      <c r="O463" s="47">
        <v>0</v>
      </c>
      <c r="P463" s="47">
        <v>0</v>
      </c>
      <c r="Q463" s="47">
        <v>0</v>
      </c>
      <c r="R463" s="47">
        <v>0</v>
      </c>
      <c r="S463" s="47">
        <v>0</v>
      </c>
      <c r="T463" s="47">
        <v>0</v>
      </c>
      <c r="U463" s="47">
        <v>0</v>
      </c>
      <c r="V463" s="47">
        <v>0</v>
      </c>
      <c r="W463" s="47">
        <v>0</v>
      </c>
      <c r="X463" s="47">
        <v>0</v>
      </c>
      <c r="Y463" s="48">
        <v>5215927.91</v>
      </c>
      <c r="Z463" s="58">
        <v>1582358.55</v>
      </c>
      <c r="AA463" s="50">
        <v>1582358.55</v>
      </c>
      <c r="AB463" s="50">
        <v>0</v>
      </c>
      <c r="AC463" s="50">
        <v>3481.41</v>
      </c>
      <c r="AD463" s="50">
        <v>49425.4</v>
      </c>
      <c r="AE463" s="50">
        <v>0</v>
      </c>
      <c r="AF463" s="50">
        <v>0</v>
      </c>
      <c r="AG463" s="49">
        <v>1635265.36</v>
      </c>
      <c r="AH463" s="51" t="s">
        <v>104</v>
      </c>
      <c r="AI463" s="51" t="s">
        <v>74</v>
      </c>
      <c r="AJ463" s="51" t="s">
        <v>105</v>
      </c>
      <c r="AK463" s="51" t="s">
        <v>106</v>
      </c>
      <c r="AL463" s="51" t="s">
        <v>74</v>
      </c>
      <c r="AM463" s="51" t="s">
        <v>74</v>
      </c>
      <c r="AN463" s="52">
        <v>0</v>
      </c>
      <c r="AO463" s="52">
        <v>0</v>
      </c>
      <c r="AP463" s="52">
        <v>0</v>
      </c>
      <c r="AQ463" s="52">
        <v>0</v>
      </c>
      <c r="AR463" s="52">
        <v>0</v>
      </c>
      <c r="AS463" s="52">
        <v>0</v>
      </c>
      <c r="AT463" s="53" t="s">
        <v>74</v>
      </c>
      <c r="AU463" s="52">
        <v>0</v>
      </c>
      <c r="AV463" s="52"/>
      <c r="AW463" s="52">
        <v>0</v>
      </c>
      <c r="AX463" s="52"/>
      <c r="AY463" s="52"/>
      <c r="AZ463" s="52">
        <v>0</v>
      </c>
      <c r="BA463" s="52">
        <v>0</v>
      </c>
      <c r="BB463" s="54" t="s">
        <v>74</v>
      </c>
      <c r="BC463" s="53" t="s">
        <v>74</v>
      </c>
      <c r="BD463" s="55" t="s">
        <v>74</v>
      </c>
      <c r="BE463" s="55" t="s">
        <v>74</v>
      </c>
      <c r="BF463" s="55" t="s">
        <v>74</v>
      </c>
      <c r="BG463" s="55" t="s">
        <v>74</v>
      </c>
      <c r="BH463" s="52">
        <v>0</v>
      </c>
      <c r="BI463" s="52">
        <v>3580662.55</v>
      </c>
      <c r="BJ463" s="52">
        <v>3580662.55</v>
      </c>
      <c r="BK463" s="56">
        <v>43191</v>
      </c>
      <c r="BL463" s="57">
        <v>3580662.55</v>
      </c>
      <c r="BM463" s="47">
        <v>0</v>
      </c>
      <c r="BN463" s="9"/>
      <c r="BO463" s="9"/>
      <c r="BP463" s="9"/>
      <c r="BQ463" s="9"/>
      <c r="BR463" s="9"/>
      <c r="BS463" s="9"/>
      <c r="BT463" s="9"/>
      <c r="BU463" s="9"/>
      <c r="BV463" s="9"/>
      <c r="BW463" s="9"/>
    </row>
    <row r="464" spans="1:75" ht="27.75" hidden="1" customHeight="1" outlineLevel="2" x14ac:dyDescent="0.25">
      <c r="A464" s="43" t="s">
        <v>346</v>
      </c>
      <c r="B464" s="110" t="s">
        <v>597</v>
      </c>
      <c r="C464" s="45">
        <v>2018</v>
      </c>
      <c r="D464" s="110" t="s">
        <v>81</v>
      </c>
      <c r="E464" s="47">
        <v>0</v>
      </c>
      <c r="F464" s="47">
        <v>0</v>
      </c>
      <c r="G464" s="47">
        <v>5215927.91</v>
      </c>
      <c r="H464" s="47">
        <v>0</v>
      </c>
      <c r="I464" s="47">
        <v>0</v>
      </c>
      <c r="J464" s="47">
        <v>0</v>
      </c>
      <c r="K464" s="47">
        <v>0</v>
      </c>
      <c r="L464" s="47">
        <v>0</v>
      </c>
      <c r="M464" s="47">
        <v>0</v>
      </c>
      <c r="N464" s="47">
        <v>0</v>
      </c>
      <c r="O464" s="47">
        <v>0</v>
      </c>
      <c r="P464" s="47">
        <v>0</v>
      </c>
      <c r="Q464" s="47">
        <v>0</v>
      </c>
      <c r="R464" s="47">
        <v>0</v>
      </c>
      <c r="S464" s="47">
        <v>0</v>
      </c>
      <c r="T464" s="47">
        <v>0</v>
      </c>
      <c r="U464" s="47">
        <v>0</v>
      </c>
      <c r="V464" s="47">
        <v>0</v>
      </c>
      <c r="W464" s="47">
        <v>0</v>
      </c>
      <c r="X464" s="47">
        <v>0</v>
      </c>
      <c r="Y464" s="48">
        <v>5215927.91</v>
      </c>
      <c r="Z464" s="58">
        <v>1489286.64</v>
      </c>
      <c r="AA464" s="50">
        <v>1489286.64</v>
      </c>
      <c r="AB464" s="50">
        <v>0</v>
      </c>
      <c r="AC464" s="50">
        <v>4031.8</v>
      </c>
      <c r="AD464" s="50">
        <v>47286.03</v>
      </c>
      <c r="AE464" s="50">
        <v>0</v>
      </c>
      <c r="AF464" s="50">
        <v>0</v>
      </c>
      <c r="AG464" s="49">
        <v>1540604.47</v>
      </c>
      <c r="AH464" s="51" t="s">
        <v>104</v>
      </c>
      <c r="AI464" s="51" t="s">
        <v>74</v>
      </c>
      <c r="AJ464" s="51" t="s">
        <v>429</v>
      </c>
      <c r="AK464" s="51" t="s">
        <v>197</v>
      </c>
      <c r="AL464" s="51" t="s">
        <v>74</v>
      </c>
      <c r="AM464" s="51" t="s">
        <v>74</v>
      </c>
      <c r="AN464" s="52">
        <v>0</v>
      </c>
      <c r="AO464" s="52">
        <v>0</v>
      </c>
      <c r="AP464" s="52"/>
      <c r="AQ464" s="52"/>
      <c r="AR464" s="52"/>
      <c r="AS464" s="52">
        <v>0</v>
      </c>
      <c r="AT464" s="53" t="s">
        <v>74</v>
      </c>
      <c r="AU464" s="52">
        <v>2421.34</v>
      </c>
      <c r="AV464" s="52"/>
      <c r="AW464" s="52">
        <v>0</v>
      </c>
      <c r="AX464" s="52"/>
      <c r="AY464" s="52"/>
      <c r="AZ464" s="52">
        <v>0</v>
      </c>
      <c r="BA464" s="52">
        <v>2421.34</v>
      </c>
      <c r="BB464" s="55" t="s">
        <v>608</v>
      </c>
      <c r="BC464" s="51" t="s">
        <v>74</v>
      </c>
      <c r="BD464" s="54" t="s">
        <v>74</v>
      </c>
      <c r="BE464" s="54" t="s">
        <v>74</v>
      </c>
      <c r="BF464" s="54" t="s">
        <v>74</v>
      </c>
      <c r="BG464" s="54" t="s">
        <v>74</v>
      </c>
      <c r="BH464" s="52">
        <v>2421.34</v>
      </c>
      <c r="BI464" s="52">
        <v>3677744.78</v>
      </c>
      <c r="BJ464" s="52">
        <v>3675323.44</v>
      </c>
      <c r="BK464" s="56">
        <v>43221</v>
      </c>
      <c r="BL464" s="57">
        <f>3675323.44+2421.34</f>
        <v>3677744.78</v>
      </c>
      <c r="BM464" s="47">
        <v>0</v>
      </c>
      <c r="BN464" s="9"/>
      <c r="BO464" s="9"/>
      <c r="BP464" s="9"/>
      <c r="BQ464" s="9"/>
      <c r="BR464" s="9"/>
      <c r="BS464" s="9"/>
      <c r="BT464" s="9"/>
      <c r="BU464" s="9"/>
      <c r="BV464" s="9"/>
      <c r="BW464" s="9"/>
    </row>
    <row r="465" spans="1:75" ht="27.75" hidden="1" customHeight="1" outlineLevel="2" x14ac:dyDescent="0.25">
      <c r="A465" s="43" t="s">
        <v>346</v>
      </c>
      <c r="B465" s="110" t="s">
        <v>597</v>
      </c>
      <c r="C465" s="45">
        <v>2018</v>
      </c>
      <c r="D465" s="46" t="s">
        <v>83</v>
      </c>
      <c r="E465" s="47">
        <v>0</v>
      </c>
      <c r="F465" s="47">
        <v>0</v>
      </c>
      <c r="G465" s="47">
        <v>5215927.91</v>
      </c>
      <c r="H465" s="47">
        <v>0</v>
      </c>
      <c r="I465" s="47">
        <v>0</v>
      </c>
      <c r="J465" s="47">
        <v>0</v>
      </c>
      <c r="K465" s="47">
        <v>0</v>
      </c>
      <c r="L465" s="47">
        <v>0</v>
      </c>
      <c r="M465" s="47">
        <v>0</v>
      </c>
      <c r="N465" s="47">
        <v>0</v>
      </c>
      <c r="O465" s="47">
        <v>0</v>
      </c>
      <c r="P465" s="47">
        <v>0</v>
      </c>
      <c r="Q465" s="47">
        <v>0</v>
      </c>
      <c r="R465" s="47">
        <v>0</v>
      </c>
      <c r="S465" s="47">
        <v>0</v>
      </c>
      <c r="T465" s="47">
        <v>0</v>
      </c>
      <c r="U465" s="47">
        <v>0</v>
      </c>
      <c r="V465" s="47">
        <v>0</v>
      </c>
      <c r="W465" s="47">
        <v>0</v>
      </c>
      <c r="X465" s="47">
        <v>0</v>
      </c>
      <c r="Y465" s="48">
        <v>5215927.91</v>
      </c>
      <c r="Z465" s="58">
        <v>1541498.12</v>
      </c>
      <c r="AA465" s="50">
        <v>1541498.12</v>
      </c>
      <c r="AB465" s="50">
        <v>0</v>
      </c>
      <c r="AC465" s="50">
        <v>4241.8999999999996</v>
      </c>
      <c r="AD465" s="50">
        <v>41822.300000000003</v>
      </c>
      <c r="AE465" s="50">
        <v>0</v>
      </c>
      <c r="AF465" s="50">
        <v>0</v>
      </c>
      <c r="AG465" s="49">
        <v>1587562.32</v>
      </c>
      <c r="AH465" s="51" t="s">
        <v>104</v>
      </c>
      <c r="AI465" s="51" t="s">
        <v>74</v>
      </c>
      <c r="AJ465" s="51" t="s">
        <v>111</v>
      </c>
      <c r="AK465" s="51" t="s">
        <v>112</v>
      </c>
      <c r="AL465" s="51" t="s">
        <v>74</v>
      </c>
      <c r="AM465" s="51" t="s">
        <v>74</v>
      </c>
      <c r="AN465" s="52">
        <v>0</v>
      </c>
      <c r="AO465" s="52">
        <v>0</v>
      </c>
      <c r="AP465" s="52">
        <v>0</v>
      </c>
      <c r="AQ465" s="52">
        <v>0</v>
      </c>
      <c r="AR465" s="52">
        <v>0</v>
      </c>
      <c r="AS465" s="52">
        <v>0</v>
      </c>
      <c r="AT465" s="53" t="s">
        <v>74</v>
      </c>
      <c r="AU465" s="52">
        <v>0</v>
      </c>
      <c r="AV465" s="52"/>
      <c r="AW465" s="52">
        <v>0</v>
      </c>
      <c r="AX465" s="52"/>
      <c r="AY465" s="52"/>
      <c r="AZ465" s="52">
        <v>0</v>
      </c>
      <c r="BA465" s="52">
        <v>0</v>
      </c>
      <c r="BB465" s="54" t="s">
        <v>74</v>
      </c>
      <c r="BC465" s="53" t="s">
        <v>74</v>
      </c>
      <c r="BD465" s="55" t="s">
        <v>74</v>
      </c>
      <c r="BE465" s="55" t="s">
        <v>74</v>
      </c>
      <c r="BF465" s="55" t="s">
        <v>74</v>
      </c>
      <c r="BG465" s="55" t="s">
        <v>74</v>
      </c>
      <c r="BH465" s="52">
        <v>0</v>
      </c>
      <c r="BI465" s="52">
        <v>3628365.59</v>
      </c>
      <c r="BJ465" s="52">
        <v>3628365.59</v>
      </c>
      <c r="BK465" s="56">
        <v>43252</v>
      </c>
      <c r="BL465" s="57">
        <v>3628365.59</v>
      </c>
      <c r="BM465" s="47">
        <v>0</v>
      </c>
      <c r="BN465" s="9"/>
      <c r="BO465" s="9"/>
      <c r="BP465" s="9"/>
      <c r="BQ465" s="9"/>
      <c r="BR465" s="9"/>
      <c r="BS465" s="9"/>
      <c r="BT465" s="9"/>
      <c r="BU465" s="9"/>
      <c r="BV465" s="9"/>
      <c r="BW465" s="9"/>
    </row>
    <row r="466" spans="1:75" ht="104.25" hidden="1" customHeight="1" outlineLevel="2" x14ac:dyDescent="0.25">
      <c r="A466" s="43" t="s">
        <v>346</v>
      </c>
      <c r="B466" s="110" t="s">
        <v>597</v>
      </c>
      <c r="C466" s="45">
        <v>2018</v>
      </c>
      <c r="D466" s="46" t="s">
        <v>84</v>
      </c>
      <c r="E466" s="47">
        <v>0</v>
      </c>
      <c r="F466" s="47">
        <v>0</v>
      </c>
      <c r="G466" s="47">
        <v>5215927.91</v>
      </c>
      <c r="H466" s="47">
        <v>0</v>
      </c>
      <c r="I466" s="47">
        <v>0</v>
      </c>
      <c r="J466" s="47">
        <v>0</v>
      </c>
      <c r="K466" s="47">
        <v>0</v>
      </c>
      <c r="L466" s="47">
        <v>0</v>
      </c>
      <c r="M466" s="47">
        <v>0</v>
      </c>
      <c r="N466" s="47">
        <v>0</v>
      </c>
      <c r="O466" s="47">
        <v>0</v>
      </c>
      <c r="P466" s="47">
        <v>0</v>
      </c>
      <c r="Q466" s="47">
        <v>0</v>
      </c>
      <c r="R466" s="47">
        <v>0</v>
      </c>
      <c r="S466" s="47">
        <v>0</v>
      </c>
      <c r="T466" s="47">
        <v>0</v>
      </c>
      <c r="U466" s="47">
        <v>0</v>
      </c>
      <c r="V466" s="47">
        <v>0</v>
      </c>
      <c r="W466" s="47">
        <v>0</v>
      </c>
      <c r="X466" s="47">
        <v>0</v>
      </c>
      <c r="Y466" s="48">
        <v>5215927.91</v>
      </c>
      <c r="Z466" s="58">
        <v>1483891.88</v>
      </c>
      <c r="AA466" s="50">
        <v>1483891.88</v>
      </c>
      <c r="AB466" s="50">
        <v>0</v>
      </c>
      <c r="AC466" s="50">
        <v>3934.7</v>
      </c>
      <c r="AD466" s="50">
        <v>38771.96</v>
      </c>
      <c r="AE466" s="50">
        <v>478487.53</v>
      </c>
      <c r="AF466" s="50">
        <v>0</v>
      </c>
      <c r="AG466" s="49">
        <v>2005086.07</v>
      </c>
      <c r="AH466" s="51" t="s">
        <v>104</v>
      </c>
      <c r="AI466" s="51" t="s">
        <v>74</v>
      </c>
      <c r="AJ466" s="51" t="s">
        <v>114</v>
      </c>
      <c r="AK466" s="51" t="s">
        <v>115</v>
      </c>
      <c r="AL466" s="51" t="s">
        <v>609</v>
      </c>
      <c r="AM466" s="51" t="s">
        <v>74</v>
      </c>
      <c r="AN466" s="52">
        <v>0</v>
      </c>
      <c r="AO466" s="52">
        <v>0</v>
      </c>
      <c r="AP466" s="52">
        <v>0</v>
      </c>
      <c r="AQ466" s="52">
        <v>0</v>
      </c>
      <c r="AR466" s="52">
        <v>0</v>
      </c>
      <c r="AS466" s="52">
        <v>0</v>
      </c>
      <c r="AT466" s="53" t="s">
        <v>74</v>
      </c>
      <c r="AU466" s="52">
        <v>0</v>
      </c>
      <c r="AV466" s="52"/>
      <c r="AW466" s="52">
        <v>0</v>
      </c>
      <c r="AX466" s="52"/>
      <c r="AY466" s="52"/>
      <c r="AZ466" s="52">
        <v>0</v>
      </c>
      <c r="BA466" s="52">
        <v>0</v>
      </c>
      <c r="BB466" s="54" t="s">
        <v>74</v>
      </c>
      <c r="BC466" s="53" t="s">
        <v>74</v>
      </c>
      <c r="BD466" s="55" t="s">
        <v>74</v>
      </c>
      <c r="BE466" s="55" t="s">
        <v>74</v>
      </c>
      <c r="BF466" s="55" t="s">
        <v>74</v>
      </c>
      <c r="BG466" s="55" t="s">
        <v>74</v>
      </c>
      <c r="BH466" s="52">
        <v>0</v>
      </c>
      <c r="BI466" s="52">
        <v>3210841.84</v>
      </c>
      <c r="BJ466" s="52">
        <v>3210841.84</v>
      </c>
      <c r="BK466" s="56">
        <v>43282</v>
      </c>
      <c r="BL466" s="57">
        <v>3210841.84</v>
      </c>
      <c r="BM466" s="47">
        <v>0</v>
      </c>
      <c r="BN466" s="9"/>
      <c r="BO466" s="9"/>
      <c r="BP466" s="9"/>
      <c r="BQ466" s="9"/>
      <c r="BR466" s="9"/>
      <c r="BS466" s="9"/>
      <c r="BT466" s="9"/>
      <c r="BU466" s="9"/>
      <c r="BV466" s="9"/>
      <c r="BW466" s="9"/>
    </row>
    <row r="467" spans="1:75" ht="104.25" hidden="1" customHeight="1" outlineLevel="2" x14ac:dyDescent="0.25">
      <c r="A467" s="43" t="s">
        <v>346</v>
      </c>
      <c r="B467" s="110" t="s">
        <v>597</v>
      </c>
      <c r="C467" s="45">
        <v>2018</v>
      </c>
      <c r="D467" s="46" t="s">
        <v>86</v>
      </c>
      <c r="E467" s="47">
        <v>0</v>
      </c>
      <c r="F467" s="47">
        <v>0</v>
      </c>
      <c r="G467" s="47">
        <v>5215927.91</v>
      </c>
      <c r="H467" s="47">
        <v>0</v>
      </c>
      <c r="I467" s="47">
        <v>0</v>
      </c>
      <c r="J467" s="47">
        <v>0</v>
      </c>
      <c r="K467" s="47">
        <v>0</v>
      </c>
      <c r="L467" s="47">
        <v>0</v>
      </c>
      <c r="M467" s="47">
        <v>0</v>
      </c>
      <c r="N467" s="47">
        <v>0</v>
      </c>
      <c r="O467" s="47">
        <v>0</v>
      </c>
      <c r="P467" s="47">
        <v>0</v>
      </c>
      <c r="Q467" s="47">
        <v>0</v>
      </c>
      <c r="R467" s="47">
        <v>0</v>
      </c>
      <c r="S467" s="47">
        <v>0</v>
      </c>
      <c r="T467" s="47">
        <v>0</v>
      </c>
      <c r="U467" s="47">
        <v>0</v>
      </c>
      <c r="V467" s="47">
        <v>0</v>
      </c>
      <c r="W467" s="47">
        <v>0</v>
      </c>
      <c r="X467" s="47">
        <v>0</v>
      </c>
      <c r="Y467" s="48">
        <v>5215927.91</v>
      </c>
      <c r="Z467" s="58">
        <v>1513557.43</v>
      </c>
      <c r="AA467" s="50">
        <v>1513557.43</v>
      </c>
      <c r="AB467" s="50">
        <v>0</v>
      </c>
      <c r="AC467" s="50">
        <v>4782.97</v>
      </c>
      <c r="AD467" s="50">
        <v>40426.65</v>
      </c>
      <c r="AE467" s="50">
        <v>478487.53</v>
      </c>
      <c r="AF467" s="50">
        <v>0</v>
      </c>
      <c r="AG467" s="49">
        <v>2037254.58</v>
      </c>
      <c r="AH467" s="51" t="s">
        <v>104</v>
      </c>
      <c r="AI467" s="51" t="s">
        <v>74</v>
      </c>
      <c r="AJ467" s="51" t="s">
        <v>117</v>
      </c>
      <c r="AK467" s="51" t="s">
        <v>118</v>
      </c>
      <c r="AL467" s="51" t="s">
        <v>609</v>
      </c>
      <c r="AM467" s="51" t="s">
        <v>74</v>
      </c>
      <c r="AN467" s="52">
        <v>0</v>
      </c>
      <c r="AO467" s="52">
        <v>0</v>
      </c>
      <c r="AP467" s="52">
        <v>0</v>
      </c>
      <c r="AQ467" s="52">
        <v>0</v>
      </c>
      <c r="AR467" s="52">
        <v>0</v>
      </c>
      <c r="AS467" s="52">
        <v>0</v>
      </c>
      <c r="AT467" s="53" t="s">
        <v>74</v>
      </c>
      <c r="AU467" s="52">
        <v>0</v>
      </c>
      <c r="AV467" s="52"/>
      <c r="AW467" s="52">
        <v>0</v>
      </c>
      <c r="AX467" s="52"/>
      <c r="AY467" s="52"/>
      <c r="AZ467" s="52">
        <v>0</v>
      </c>
      <c r="BA467" s="52">
        <v>0</v>
      </c>
      <c r="BB467" s="54" t="s">
        <v>74</v>
      </c>
      <c r="BC467" s="53" t="s">
        <v>74</v>
      </c>
      <c r="BD467" s="55" t="s">
        <v>74</v>
      </c>
      <c r="BE467" s="55" t="s">
        <v>74</v>
      </c>
      <c r="BF467" s="55" t="s">
        <v>74</v>
      </c>
      <c r="BG467" s="55" t="s">
        <v>74</v>
      </c>
      <c r="BH467" s="52">
        <v>0</v>
      </c>
      <c r="BI467" s="52">
        <v>3178673.33</v>
      </c>
      <c r="BJ467" s="52">
        <v>3178673.33</v>
      </c>
      <c r="BK467" s="56">
        <v>43313</v>
      </c>
      <c r="BL467" s="57">
        <v>3178673.33</v>
      </c>
      <c r="BM467" s="47">
        <v>0</v>
      </c>
      <c r="BN467" s="9"/>
      <c r="BO467" s="9"/>
      <c r="BP467" s="9"/>
      <c r="BQ467" s="9"/>
      <c r="BR467" s="9"/>
      <c r="BS467" s="9"/>
      <c r="BT467" s="9"/>
      <c r="BU467" s="9"/>
      <c r="BV467" s="9"/>
      <c r="BW467" s="9"/>
    </row>
    <row r="468" spans="1:75" ht="104.25" hidden="1" customHeight="1" outlineLevel="2" x14ac:dyDescent="0.25">
      <c r="A468" s="43" t="s">
        <v>346</v>
      </c>
      <c r="B468" s="110" t="s">
        <v>597</v>
      </c>
      <c r="C468" s="45">
        <v>2018</v>
      </c>
      <c r="D468" s="46" t="s">
        <v>88</v>
      </c>
      <c r="E468" s="47">
        <v>0</v>
      </c>
      <c r="F468" s="47">
        <v>0</v>
      </c>
      <c r="G468" s="47">
        <v>5215927.91</v>
      </c>
      <c r="H468" s="47">
        <v>0</v>
      </c>
      <c r="I468" s="47">
        <v>0</v>
      </c>
      <c r="J468" s="47">
        <v>0</v>
      </c>
      <c r="K468" s="47">
        <v>0</v>
      </c>
      <c r="L468" s="47">
        <v>0</v>
      </c>
      <c r="M468" s="47">
        <v>0</v>
      </c>
      <c r="N468" s="47">
        <v>0</v>
      </c>
      <c r="O468" s="47">
        <v>0</v>
      </c>
      <c r="P468" s="47">
        <v>0</v>
      </c>
      <c r="Q468" s="47">
        <v>0</v>
      </c>
      <c r="R468" s="47">
        <v>0</v>
      </c>
      <c r="S468" s="47">
        <v>0</v>
      </c>
      <c r="T468" s="47">
        <v>0</v>
      </c>
      <c r="U468" s="47">
        <v>0</v>
      </c>
      <c r="V468" s="47">
        <v>0</v>
      </c>
      <c r="W468" s="47">
        <v>0</v>
      </c>
      <c r="X468" s="47">
        <v>0</v>
      </c>
      <c r="Y468" s="48">
        <v>5215927.91</v>
      </c>
      <c r="Z468" s="58">
        <v>1431989.03</v>
      </c>
      <c r="AA468" s="50">
        <v>1431989.03</v>
      </c>
      <c r="AB468" s="50">
        <v>0</v>
      </c>
      <c r="AC468" s="50">
        <v>4768.58</v>
      </c>
      <c r="AD468" s="50">
        <v>42518.080000000002</v>
      </c>
      <c r="AE468" s="50">
        <v>478487.53</v>
      </c>
      <c r="AF468" s="50">
        <v>0</v>
      </c>
      <c r="AG468" s="49">
        <v>1957763.22</v>
      </c>
      <c r="AH468" s="51" t="s">
        <v>104</v>
      </c>
      <c r="AI468" s="51" t="s">
        <v>74</v>
      </c>
      <c r="AJ468" s="51" t="s">
        <v>120</v>
      </c>
      <c r="AK468" s="51" t="s">
        <v>121</v>
      </c>
      <c r="AL468" s="51" t="s">
        <v>609</v>
      </c>
      <c r="AM468" s="51" t="s">
        <v>74</v>
      </c>
      <c r="AN468" s="52">
        <v>0</v>
      </c>
      <c r="AO468" s="52">
        <v>0</v>
      </c>
      <c r="AP468" s="52">
        <v>0</v>
      </c>
      <c r="AQ468" s="52">
        <v>0</v>
      </c>
      <c r="AR468" s="52">
        <v>0</v>
      </c>
      <c r="AS468" s="52">
        <v>0</v>
      </c>
      <c r="AT468" s="53" t="s">
        <v>74</v>
      </c>
      <c r="AU468" s="52">
        <v>0</v>
      </c>
      <c r="AV468" s="52"/>
      <c r="AW468" s="52">
        <v>0</v>
      </c>
      <c r="AX468" s="52"/>
      <c r="AY468" s="52"/>
      <c r="AZ468" s="52">
        <v>0</v>
      </c>
      <c r="BA468" s="52">
        <v>0</v>
      </c>
      <c r="BB468" s="54" t="s">
        <v>74</v>
      </c>
      <c r="BC468" s="53" t="s">
        <v>74</v>
      </c>
      <c r="BD468" s="55" t="s">
        <v>74</v>
      </c>
      <c r="BE468" s="55" t="s">
        <v>74</v>
      </c>
      <c r="BF468" s="55" t="s">
        <v>74</v>
      </c>
      <c r="BG468" s="55" t="s">
        <v>74</v>
      </c>
      <c r="BH468" s="52">
        <v>0</v>
      </c>
      <c r="BI468" s="52">
        <v>3258164.69</v>
      </c>
      <c r="BJ468" s="52">
        <v>3258164.69</v>
      </c>
      <c r="BK468" s="56">
        <v>43344</v>
      </c>
      <c r="BL468" s="57">
        <v>3258164.69</v>
      </c>
      <c r="BM468" s="47">
        <v>0</v>
      </c>
      <c r="BN468" s="9"/>
      <c r="BO468" s="9"/>
      <c r="BP468" s="9"/>
      <c r="BQ468" s="9"/>
      <c r="BR468" s="9"/>
      <c r="BS468" s="9"/>
      <c r="BT468" s="9"/>
      <c r="BU468" s="9"/>
      <c r="BV468" s="9"/>
      <c r="BW468" s="9"/>
    </row>
    <row r="469" spans="1:75" ht="102.75" hidden="1" customHeight="1" outlineLevel="2" x14ac:dyDescent="0.25">
      <c r="A469" s="43" t="s">
        <v>346</v>
      </c>
      <c r="B469" s="110" t="s">
        <v>597</v>
      </c>
      <c r="C469" s="45">
        <v>2018</v>
      </c>
      <c r="D469" s="46" t="s">
        <v>89</v>
      </c>
      <c r="E469" s="47">
        <v>0</v>
      </c>
      <c r="F469" s="47">
        <v>0</v>
      </c>
      <c r="G469" s="47">
        <v>5215927.91</v>
      </c>
      <c r="H469" s="47">
        <v>0</v>
      </c>
      <c r="I469" s="47">
        <v>0</v>
      </c>
      <c r="J469" s="47">
        <v>0</v>
      </c>
      <c r="K469" s="47">
        <v>0</v>
      </c>
      <c r="L469" s="47">
        <v>0</v>
      </c>
      <c r="M469" s="47">
        <v>0</v>
      </c>
      <c r="N469" s="47">
        <v>0</v>
      </c>
      <c r="O469" s="47">
        <v>0</v>
      </c>
      <c r="P469" s="47">
        <v>0</v>
      </c>
      <c r="Q469" s="47">
        <v>0</v>
      </c>
      <c r="R469" s="47">
        <v>0</v>
      </c>
      <c r="S469" s="47">
        <v>0</v>
      </c>
      <c r="T469" s="47">
        <v>0</v>
      </c>
      <c r="U469" s="47">
        <v>0</v>
      </c>
      <c r="V469" s="47">
        <v>0</v>
      </c>
      <c r="W469" s="47">
        <v>0</v>
      </c>
      <c r="X469" s="47">
        <v>0</v>
      </c>
      <c r="Y469" s="48">
        <v>5215927.91</v>
      </c>
      <c r="Z469" s="58">
        <v>1508365.5</v>
      </c>
      <c r="AA469" s="50">
        <v>1508365.5</v>
      </c>
      <c r="AB469" s="50">
        <v>0</v>
      </c>
      <c r="AC469" s="50">
        <v>4722.67</v>
      </c>
      <c r="AD469" s="50">
        <v>47819.38</v>
      </c>
      <c r="AE469" s="50">
        <v>478487.53</v>
      </c>
      <c r="AF469" s="50">
        <v>0</v>
      </c>
      <c r="AG469" s="49">
        <v>2039395.08</v>
      </c>
      <c r="AH469" s="51" t="s">
        <v>104</v>
      </c>
      <c r="AI469" s="51" t="s">
        <v>74</v>
      </c>
      <c r="AJ469" s="51" t="s">
        <v>123</v>
      </c>
      <c r="AK469" s="51" t="s">
        <v>124</v>
      </c>
      <c r="AL469" s="51" t="s">
        <v>609</v>
      </c>
      <c r="AM469" s="51" t="s">
        <v>74</v>
      </c>
      <c r="AN469" s="52">
        <v>0</v>
      </c>
      <c r="AO469" s="52">
        <v>0</v>
      </c>
      <c r="AP469" s="52">
        <v>0</v>
      </c>
      <c r="AQ469" s="52">
        <v>0</v>
      </c>
      <c r="AR469" s="52">
        <v>0</v>
      </c>
      <c r="AS469" s="52">
        <v>0</v>
      </c>
      <c r="AT469" s="53" t="s">
        <v>74</v>
      </c>
      <c r="AU469" s="52">
        <v>0</v>
      </c>
      <c r="AV469" s="52"/>
      <c r="AW469" s="52">
        <v>0</v>
      </c>
      <c r="AX469" s="52"/>
      <c r="AY469" s="52"/>
      <c r="AZ469" s="52">
        <v>0</v>
      </c>
      <c r="BA469" s="52">
        <v>0</v>
      </c>
      <c r="BB469" s="54" t="s">
        <v>74</v>
      </c>
      <c r="BC469" s="53" t="s">
        <v>74</v>
      </c>
      <c r="BD469" s="55" t="s">
        <v>74</v>
      </c>
      <c r="BE469" s="55" t="s">
        <v>74</v>
      </c>
      <c r="BF469" s="55" t="s">
        <v>74</v>
      </c>
      <c r="BG469" s="55" t="s">
        <v>74</v>
      </c>
      <c r="BH469" s="52">
        <v>0</v>
      </c>
      <c r="BI469" s="52">
        <v>3176532.83</v>
      </c>
      <c r="BJ469" s="52">
        <v>3176532.83</v>
      </c>
      <c r="BK469" s="56">
        <v>43374</v>
      </c>
      <c r="BL469" s="57">
        <v>3176532.83</v>
      </c>
      <c r="BM469" s="47">
        <v>0</v>
      </c>
      <c r="BN469" s="9"/>
      <c r="BO469" s="9"/>
      <c r="BP469" s="9"/>
      <c r="BQ469" s="9"/>
      <c r="BR469" s="9"/>
      <c r="BS469" s="9"/>
      <c r="BT469" s="9"/>
      <c r="BU469" s="9"/>
      <c r="BV469" s="9"/>
      <c r="BW469" s="9"/>
    </row>
    <row r="470" spans="1:75" ht="116.25" hidden="1" customHeight="1" outlineLevel="2" x14ac:dyDescent="0.25">
      <c r="A470" s="43" t="s">
        <v>346</v>
      </c>
      <c r="B470" s="110" t="s">
        <v>597</v>
      </c>
      <c r="C470" s="45">
        <v>2018</v>
      </c>
      <c r="D470" s="46" t="s">
        <v>90</v>
      </c>
      <c r="E470" s="47">
        <v>0</v>
      </c>
      <c r="F470" s="47">
        <v>0</v>
      </c>
      <c r="G470" s="47">
        <v>4172742.33</v>
      </c>
      <c r="H470" s="47">
        <v>1043185.58</v>
      </c>
      <c r="I470" s="47">
        <v>0</v>
      </c>
      <c r="J470" s="47">
        <v>0</v>
      </c>
      <c r="K470" s="47">
        <v>0</v>
      </c>
      <c r="L470" s="47">
        <v>0</v>
      </c>
      <c r="M470" s="47">
        <v>0</v>
      </c>
      <c r="N470" s="47">
        <v>0</v>
      </c>
      <c r="O470" s="47">
        <v>0</v>
      </c>
      <c r="P470" s="47">
        <v>0</v>
      </c>
      <c r="Q470" s="47">
        <v>0</v>
      </c>
      <c r="R470" s="47">
        <v>0</v>
      </c>
      <c r="S470" s="47">
        <v>0</v>
      </c>
      <c r="T470" s="47">
        <v>0</v>
      </c>
      <c r="U470" s="47">
        <v>0</v>
      </c>
      <c r="V470" s="47">
        <v>0</v>
      </c>
      <c r="W470" s="47">
        <v>0</v>
      </c>
      <c r="X470" s="47">
        <v>0</v>
      </c>
      <c r="Y470" s="48">
        <v>5215927.91</v>
      </c>
      <c r="Z470" s="58">
        <v>1417814.65</v>
      </c>
      <c r="AA470" s="50">
        <v>1417814.65</v>
      </c>
      <c r="AB470" s="50">
        <v>0</v>
      </c>
      <c r="AC470" s="50">
        <v>4547.4799999999996</v>
      </c>
      <c r="AD470" s="50">
        <v>54838.58</v>
      </c>
      <c r="AE470" s="50">
        <v>478487.51</v>
      </c>
      <c r="AF470" s="50">
        <v>0</v>
      </c>
      <c r="AG470" s="49">
        <v>1955688.22</v>
      </c>
      <c r="AH470" s="51" t="s">
        <v>104</v>
      </c>
      <c r="AI470" s="51" t="s">
        <v>74</v>
      </c>
      <c r="AJ470" s="51" t="s">
        <v>125</v>
      </c>
      <c r="AK470" s="51" t="s">
        <v>126</v>
      </c>
      <c r="AL470" s="51" t="s">
        <v>609</v>
      </c>
      <c r="AM470" s="51" t="s">
        <v>74</v>
      </c>
      <c r="AN470" s="52">
        <v>0</v>
      </c>
      <c r="AO470" s="52">
        <v>1488634.56</v>
      </c>
      <c r="AP470" s="52">
        <v>0</v>
      </c>
      <c r="AQ470" s="52">
        <v>0</v>
      </c>
      <c r="AR470" s="52">
        <v>0</v>
      </c>
      <c r="AS470" s="52">
        <v>1488634.56</v>
      </c>
      <c r="AT470" s="51" t="s">
        <v>610</v>
      </c>
      <c r="AU470" s="52">
        <v>0</v>
      </c>
      <c r="AV470" s="52"/>
      <c r="AW470" s="52">
        <v>0</v>
      </c>
      <c r="AX470" s="52"/>
      <c r="AY470" s="52"/>
      <c r="AZ470" s="52">
        <v>0</v>
      </c>
      <c r="BA470" s="52">
        <v>0</v>
      </c>
      <c r="BB470" s="54" t="s">
        <v>74</v>
      </c>
      <c r="BC470" s="53" t="s">
        <v>74</v>
      </c>
      <c r="BD470" s="55" t="s">
        <v>74</v>
      </c>
      <c r="BE470" s="55" t="s">
        <v>74</v>
      </c>
      <c r="BF470" s="55" t="s">
        <v>74</v>
      </c>
      <c r="BG470" s="55" t="s">
        <v>74</v>
      </c>
      <c r="BH470" s="52">
        <v>1488634.56</v>
      </c>
      <c r="BI470" s="52">
        <v>4748874.25</v>
      </c>
      <c r="BJ470" s="52">
        <v>4178537.07</v>
      </c>
      <c r="BK470" s="56">
        <v>43405</v>
      </c>
      <c r="BL470" s="57">
        <v>4748874.25</v>
      </c>
      <c r="BM470" s="47">
        <v>0</v>
      </c>
      <c r="BN470" s="9"/>
      <c r="BO470" s="9"/>
      <c r="BP470" s="9"/>
      <c r="BQ470" s="9"/>
      <c r="BR470" s="9"/>
      <c r="BS470" s="9"/>
      <c r="BT470" s="9"/>
      <c r="BU470" s="9"/>
      <c r="BV470" s="9"/>
      <c r="BW470" s="9"/>
    </row>
    <row r="471" spans="1:75" ht="164.25" hidden="1" customHeight="1" outlineLevel="2" x14ac:dyDescent="0.25">
      <c r="A471" s="43" t="s">
        <v>346</v>
      </c>
      <c r="B471" s="110" t="s">
        <v>597</v>
      </c>
      <c r="C471" s="45">
        <v>2018</v>
      </c>
      <c r="D471" s="113" t="s">
        <v>93</v>
      </c>
      <c r="E471" s="47">
        <v>0</v>
      </c>
      <c r="F471" s="47">
        <v>0</v>
      </c>
      <c r="G471" s="47">
        <v>0</v>
      </c>
      <c r="H471" s="47">
        <v>5215927.91</v>
      </c>
      <c r="I471" s="47">
        <v>0</v>
      </c>
      <c r="J471" s="47">
        <v>0</v>
      </c>
      <c r="K471" s="47">
        <v>0</v>
      </c>
      <c r="L471" s="47">
        <v>0</v>
      </c>
      <c r="M471" s="47">
        <v>0</v>
      </c>
      <c r="N471" s="47">
        <v>0</v>
      </c>
      <c r="O471" s="47">
        <v>0</v>
      </c>
      <c r="P471" s="47">
        <v>0</v>
      </c>
      <c r="Q471" s="47">
        <v>0</v>
      </c>
      <c r="R471" s="47">
        <v>0</v>
      </c>
      <c r="S471" s="47">
        <v>0</v>
      </c>
      <c r="T471" s="47">
        <v>0</v>
      </c>
      <c r="U471" s="47">
        <v>0</v>
      </c>
      <c r="V471" s="47">
        <v>0</v>
      </c>
      <c r="W471" s="47">
        <v>0</v>
      </c>
      <c r="X471" s="47">
        <v>0</v>
      </c>
      <c r="Y471" s="48">
        <v>5215927.91</v>
      </c>
      <c r="Z471" s="58">
        <v>1486729.93</v>
      </c>
      <c r="AA471" s="50">
        <v>1486729.93</v>
      </c>
      <c r="AB471" s="50">
        <v>0</v>
      </c>
      <c r="AC471" s="50">
        <v>4431.1099999999997</v>
      </c>
      <c r="AD471" s="50">
        <v>62669.94</v>
      </c>
      <c r="AE471" s="50">
        <v>774550.54</v>
      </c>
      <c r="AF471" s="112">
        <v>750000</v>
      </c>
      <c r="AG471" s="49">
        <v>3078381.52</v>
      </c>
      <c r="AH471" s="51" t="s">
        <v>104</v>
      </c>
      <c r="AI471" s="51" t="s">
        <v>74</v>
      </c>
      <c r="AJ471" s="51" t="s">
        <v>127</v>
      </c>
      <c r="AK471" s="51" t="s">
        <v>128</v>
      </c>
      <c r="AL471" s="51" t="s">
        <v>611</v>
      </c>
      <c r="AM471" s="51" t="s">
        <v>612</v>
      </c>
      <c r="AN471" s="52">
        <v>0</v>
      </c>
      <c r="AO471" s="52">
        <v>0</v>
      </c>
      <c r="AP471" s="52">
        <v>0</v>
      </c>
      <c r="AQ471" s="52">
        <v>0</v>
      </c>
      <c r="AR471" s="52">
        <v>0</v>
      </c>
      <c r="AS471" s="52">
        <v>0</v>
      </c>
      <c r="AT471" s="53" t="s">
        <v>74</v>
      </c>
      <c r="AU471" s="52">
        <v>0</v>
      </c>
      <c r="AV471" s="52"/>
      <c r="AW471" s="52">
        <v>0</v>
      </c>
      <c r="AX471" s="52"/>
      <c r="AY471" s="52"/>
      <c r="AZ471" s="52">
        <v>0</v>
      </c>
      <c r="BA471" s="52">
        <v>0</v>
      </c>
      <c r="BB471" s="54" t="s">
        <v>74</v>
      </c>
      <c r="BC471" s="53" t="s">
        <v>74</v>
      </c>
      <c r="BD471" s="55" t="s">
        <v>74</v>
      </c>
      <c r="BE471" s="55" t="s">
        <v>74</v>
      </c>
      <c r="BF471" s="55" t="s">
        <v>74</v>
      </c>
      <c r="BG471" s="55" t="s">
        <v>74</v>
      </c>
      <c r="BH471" s="52">
        <v>0</v>
      </c>
      <c r="BI471" s="52">
        <v>2137546.39</v>
      </c>
      <c r="BJ471" s="52">
        <v>2137546.39</v>
      </c>
      <c r="BK471" s="56">
        <v>43435</v>
      </c>
      <c r="BL471" s="57">
        <v>2137546.39</v>
      </c>
      <c r="BM471" s="47">
        <v>0</v>
      </c>
      <c r="BN471" s="9"/>
      <c r="BO471" s="9"/>
      <c r="BP471" s="9"/>
      <c r="BQ471" s="9"/>
      <c r="BR471" s="9"/>
      <c r="BS471" s="9"/>
      <c r="BT471" s="9"/>
      <c r="BU471" s="9"/>
      <c r="BV471" s="9"/>
      <c r="BW471" s="9"/>
    </row>
    <row r="472" spans="1:75" ht="22.5" hidden="1" customHeight="1" outlineLevel="2" x14ac:dyDescent="0.25">
      <c r="A472" s="43" t="s">
        <v>346</v>
      </c>
      <c r="B472" s="110" t="s">
        <v>597</v>
      </c>
      <c r="C472" s="45">
        <v>2019</v>
      </c>
      <c r="D472" s="110" t="s">
        <v>73</v>
      </c>
      <c r="E472" s="47">
        <v>0</v>
      </c>
      <c r="F472" s="47">
        <v>0</v>
      </c>
      <c r="G472" s="47">
        <v>0</v>
      </c>
      <c r="H472" s="47">
        <v>5215927.91</v>
      </c>
      <c r="I472" s="47">
        <v>0</v>
      </c>
      <c r="J472" s="47">
        <v>0</v>
      </c>
      <c r="K472" s="47">
        <v>0</v>
      </c>
      <c r="L472" s="47">
        <v>0</v>
      </c>
      <c r="M472" s="47">
        <v>0</v>
      </c>
      <c r="N472" s="47">
        <v>0</v>
      </c>
      <c r="O472" s="47">
        <v>0</v>
      </c>
      <c r="P472" s="47">
        <v>0</v>
      </c>
      <c r="Q472" s="47">
        <v>0</v>
      </c>
      <c r="R472" s="47">
        <v>0</v>
      </c>
      <c r="S472" s="47">
        <v>0</v>
      </c>
      <c r="T472" s="47">
        <v>0</v>
      </c>
      <c r="U472" s="47">
        <v>0</v>
      </c>
      <c r="V472" s="47">
        <v>0</v>
      </c>
      <c r="W472" s="47">
        <v>0</v>
      </c>
      <c r="X472" s="47">
        <v>0</v>
      </c>
      <c r="Y472" s="48">
        <v>5215927.91</v>
      </c>
      <c r="Z472" s="58">
        <v>1381148.99</v>
      </c>
      <c r="AA472" s="50">
        <v>1381148.99</v>
      </c>
      <c r="AB472" s="50">
        <v>0</v>
      </c>
      <c r="AC472" s="50">
        <v>3769.71</v>
      </c>
      <c r="AD472" s="50">
        <v>58470.98</v>
      </c>
      <c r="AE472" s="50">
        <v>0</v>
      </c>
      <c r="AF472" s="50">
        <v>0</v>
      </c>
      <c r="AG472" s="49">
        <v>1443389.68</v>
      </c>
      <c r="AH472" s="51" t="s">
        <v>104</v>
      </c>
      <c r="AI472" s="51" t="s">
        <v>74</v>
      </c>
      <c r="AJ472" s="51" t="s">
        <v>96</v>
      </c>
      <c r="AK472" s="51" t="s">
        <v>613</v>
      </c>
      <c r="AL472" s="51" t="s">
        <v>74</v>
      </c>
      <c r="AM472" s="51" t="s">
        <v>74</v>
      </c>
      <c r="AN472" s="52">
        <v>0</v>
      </c>
      <c r="AO472" s="52">
        <v>0</v>
      </c>
      <c r="AP472" s="52">
        <v>0</v>
      </c>
      <c r="AQ472" s="52">
        <v>0</v>
      </c>
      <c r="AR472" s="52">
        <v>0</v>
      </c>
      <c r="AS472" s="52">
        <v>0</v>
      </c>
      <c r="AT472" s="53" t="s">
        <v>74</v>
      </c>
      <c r="AU472" s="52">
        <v>0</v>
      </c>
      <c r="AV472" s="52"/>
      <c r="AW472" s="52">
        <v>0</v>
      </c>
      <c r="AX472" s="52"/>
      <c r="AY472" s="52"/>
      <c r="AZ472" s="52">
        <v>0</v>
      </c>
      <c r="BA472" s="52">
        <v>0</v>
      </c>
      <c r="BB472" s="54" t="s">
        <v>74</v>
      </c>
      <c r="BC472" s="53" t="s">
        <v>74</v>
      </c>
      <c r="BD472" s="55" t="s">
        <v>74</v>
      </c>
      <c r="BE472" s="55" t="s">
        <v>74</v>
      </c>
      <c r="BF472" s="55" t="s">
        <v>74</v>
      </c>
      <c r="BG472" s="55" t="s">
        <v>74</v>
      </c>
      <c r="BH472" s="52">
        <v>0</v>
      </c>
      <c r="BI472" s="52">
        <v>3772538.23</v>
      </c>
      <c r="BJ472" s="52">
        <v>3772538.23</v>
      </c>
      <c r="BK472" s="56">
        <v>43466</v>
      </c>
      <c r="BL472" s="57">
        <v>3772538.23</v>
      </c>
      <c r="BM472" s="47">
        <v>0</v>
      </c>
      <c r="BN472" s="9"/>
      <c r="BO472" s="9"/>
      <c r="BP472" s="9"/>
      <c r="BQ472" s="9"/>
      <c r="BR472" s="9"/>
      <c r="BS472" s="9"/>
      <c r="BT472" s="9"/>
      <c r="BU472" s="9"/>
      <c r="BV472" s="9"/>
      <c r="BW472" s="9"/>
    </row>
    <row r="473" spans="1:75" ht="22.5" hidden="1" customHeight="1" outlineLevel="2" x14ac:dyDescent="0.25">
      <c r="A473" s="43" t="s">
        <v>346</v>
      </c>
      <c r="B473" s="110" t="s">
        <v>597</v>
      </c>
      <c r="C473" s="45">
        <v>2019</v>
      </c>
      <c r="D473" s="110" t="s">
        <v>75</v>
      </c>
      <c r="E473" s="47">
        <v>0</v>
      </c>
      <c r="F473" s="47">
        <v>0</v>
      </c>
      <c r="G473" s="47">
        <v>0</v>
      </c>
      <c r="H473" s="47">
        <v>5215927.91</v>
      </c>
      <c r="I473" s="47">
        <v>0</v>
      </c>
      <c r="J473" s="47">
        <v>0</v>
      </c>
      <c r="K473" s="47">
        <v>0</v>
      </c>
      <c r="L473" s="47">
        <v>0</v>
      </c>
      <c r="M473" s="47">
        <v>0</v>
      </c>
      <c r="N473" s="47">
        <v>0</v>
      </c>
      <c r="O473" s="47">
        <v>0</v>
      </c>
      <c r="P473" s="47">
        <v>0</v>
      </c>
      <c r="Q473" s="47">
        <v>0</v>
      </c>
      <c r="R473" s="47">
        <v>0</v>
      </c>
      <c r="S473" s="47">
        <v>0</v>
      </c>
      <c r="T473" s="47">
        <v>0</v>
      </c>
      <c r="U473" s="47">
        <v>0</v>
      </c>
      <c r="V473" s="47">
        <v>0</v>
      </c>
      <c r="W473" s="47">
        <v>0</v>
      </c>
      <c r="X473" s="47">
        <v>0</v>
      </c>
      <c r="Y473" s="48">
        <v>5215927.91</v>
      </c>
      <c r="Z473" s="58">
        <v>1403680.8</v>
      </c>
      <c r="AA473" s="50">
        <v>1403680.8</v>
      </c>
      <c r="AB473" s="50">
        <v>0</v>
      </c>
      <c r="AC473" s="50">
        <v>0</v>
      </c>
      <c r="AD473" s="50">
        <v>0</v>
      </c>
      <c r="AE473" s="50">
        <v>0</v>
      </c>
      <c r="AF473" s="50">
        <v>0</v>
      </c>
      <c r="AG473" s="49">
        <v>1403680.8</v>
      </c>
      <c r="AH473" s="51" t="s">
        <v>104</v>
      </c>
      <c r="AI473" s="51" t="s">
        <v>74</v>
      </c>
      <c r="AJ473" s="51" t="s">
        <v>74</v>
      </c>
      <c r="AK473" s="51" t="s">
        <v>74</v>
      </c>
      <c r="AL473" s="51" t="s">
        <v>74</v>
      </c>
      <c r="AM473" s="51" t="s">
        <v>74</v>
      </c>
      <c r="AN473" s="52">
        <v>0</v>
      </c>
      <c r="AO473" s="52">
        <v>0</v>
      </c>
      <c r="AP473" s="52">
        <v>0</v>
      </c>
      <c r="AQ473" s="52">
        <v>0</v>
      </c>
      <c r="AR473" s="52">
        <v>0</v>
      </c>
      <c r="AS473" s="52">
        <v>0</v>
      </c>
      <c r="AT473" s="53" t="s">
        <v>74</v>
      </c>
      <c r="AU473" s="52">
        <v>0</v>
      </c>
      <c r="AV473" s="52"/>
      <c r="AW473" s="52">
        <v>0</v>
      </c>
      <c r="AX473" s="52"/>
      <c r="AY473" s="52"/>
      <c r="AZ473" s="52">
        <v>0</v>
      </c>
      <c r="BA473" s="52">
        <v>0</v>
      </c>
      <c r="BB473" s="54" t="s">
        <v>74</v>
      </c>
      <c r="BC473" s="53" t="s">
        <v>74</v>
      </c>
      <c r="BD473" s="55" t="s">
        <v>74</v>
      </c>
      <c r="BE473" s="55" t="s">
        <v>74</v>
      </c>
      <c r="BF473" s="55" t="s">
        <v>74</v>
      </c>
      <c r="BG473" s="55" t="s">
        <v>74</v>
      </c>
      <c r="BH473" s="52">
        <v>0</v>
      </c>
      <c r="BI473" s="52">
        <v>3812247.11</v>
      </c>
      <c r="BJ473" s="52">
        <v>3812247.11</v>
      </c>
      <c r="BK473" s="56">
        <v>43497</v>
      </c>
      <c r="BL473" s="57">
        <v>3812247.11</v>
      </c>
      <c r="BM473" s="47">
        <v>0</v>
      </c>
      <c r="BN473" s="9"/>
      <c r="BO473" s="9"/>
      <c r="BP473" s="9"/>
      <c r="BQ473" s="9"/>
      <c r="BR473" s="9"/>
      <c r="BS473" s="9"/>
      <c r="BT473" s="9"/>
      <c r="BU473" s="9"/>
      <c r="BV473" s="9"/>
      <c r="BW473" s="9"/>
    </row>
    <row r="474" spans="1:75" ht="22.5" hidden="1" customHeight="1" outlineLevel="2" x14ac:dyDescent="0.25">
      <c r="A474" s="43" t="s">
        <v>346</v>
      </c>
      <c r="B474" s="110" t="s">
        <v>597</v>
      </c>
      <c r="C474" s="45">
        <v>2019</v>
      </c>
      <c r="D474" s="110" t="s">
        <v>77</v>
      </c>
      <c r="E474" s="47">
        <v>0</v>
      </c>
      <c r="F474" s="47">
        <v>0</v>
      </c>
      <c r="G474" s="47">
        <v>0</v>
      </c>
      <c r="H474" s="47">
        <v>5215927.91</v>
      </c>
      <c r="I474" s="47">
        <v>0</v>
      </c>
      <c r="J474" s="47">
        <v>0</v>
      </c>
      <c r="K474" s="47">
        <v>0</v>
      </c>
      <c r="L474" s="47">
        <v>0</v>
      </c>
      <c r="M474" s="47">
        <v>0</v>
      </c>
      <c r="N474" s="47">
        <v>0</v>
      </c>
      <c r="O474" s="47">
        <v>0</v>
      </c>
      <c r="P474" s="47">
        <v>0</v>
      </c>
      <c r="Q474" s="47">
        <v>0</v>
      </c>
      <c r="R474" s="47">
        <v>0</v>
      </c>
      <c r="S474" s="47">
        <v>0</v>
      </c>
      <c r="T474" s="47">
        <v>0</v>
      </c>
      <c r="U474" s="47">
        <v>0</v>
      </c>
      <c r="V474" s="47">
        <v>0</v>
      </c>
      <c r="W474" s="47">
        <v>0</v>
      </c>
      <c r="X474" s="47">
        <v>0</v>
      </c>
      <c r="Y474" s="48">
        <v>5215927.91</v>
      </c>
      <c r="Z474" s="58">
        <v>1467265.77</v>
      </c>
      <c r="AA474" s="50">
        <v>1467265.77</v>
      </c>
      <c r="AB474" s="50">
        <v>0</v>
      </c>
      <c r="AC474" s="50">
        <v>4170.97</v>
      </c>
      <c r="AD474" s="50">
        <v>61097.4</v>
      </c>
      <c r="AE474" s="50">
        <v>0</v>
      </c>
      <c r="AF474" s="50">
        <v>0</v>
      </c>
      <c r="AG474" s="49">
        <v>1532534.14</v>
      </c>
      <c r="AH474" s="51" t="s">
        <v>104</v>
      </c>
      <c r="AI474" s="51" t="s">
        <v>74</v>
      </c>
      <c r="AJ474" s="51" t="s">
        <v>133</v>
      </c>
      <c r="AK474" s="51" t="s">
        <v>134</v>
      </c>
      <c r="AL474" s="51" t="s">
        <v>74</v>
      </c>
      <c r="AM474" s="51" t="s">
        <v>74</v>
      </c>
      <c r="AN474" s="52">
        <v>0</v>
      </c>
      <c r="AO474" s="52">
        <v>0</v>
      </c>
      <c r="AP474" s="52">
        <v>0</v>
      </c>
      <c r="AQ474" s="52">
        <v>0</v>
      </c>
      <c r="AR474" s="52">
        <v>0</v>
      </c>
      <c r="AS474" s="52">
        <v>0</v>
      </c>
      <c r="AT474" s="53" t="s">
        <v>74</v>
      </c>
      <c r="AU474" s="52">
        <v>0</v>
      </c>
      <c r="AV474" s="52"/>
      <c r="AW474" s="52">
        <v>0</v>
      </c>
      <c r="AX474" s="52"/>
      <c r="AY474" s="52"/>
      <c r="AZ474" s="52">
        <v>0</v>
      </c>
      <c r="BA474" s="52">
        <v>0</v>
      </c>
      <c r="BB474" s="54" t="s">
        <v>74</v>
      </c>
      <c r="BC474" s="53" t="s">
        <v>74</v>
      </c>
      <c r="BD474" s="55" t="s">
        <v>74</v>
      </c>
      <c r="BE474" s="55" t="s">
        <v>74</v>
      </c>
      <c r="BF474" s="55" t="s">
        <v>74</v>
      </c>
      <c r="BG474" s="55" t="s">
        <v>74</v>
      </c>
      <c r="BH474" s="52">
        <v>0</v>
      </c>
      <c r="BI474" s="52">
        <v>3683393.77</v>
      </c>
      <c r="BJ474" s="52">
        <v>3683393.77</v>
      </c>
      <c r="BK474" s="56">
        <v>43525</v>
      </c>
      <c r="BL474" s="57">
        <v>3683393.77</v>
      </c>
      <c r="BM474" s="47">
        <v>0</v>
      </c>
      <c r="BN474" s="9"/>
      <c r="BO474" s="9"/>
      <c r="BP474" s="9"/>
      <c r="BQ474" s="9"/>
      <c r="BR474" s="9"/>
      <c r="BS474" s="9"/>
      <c r="BT474" s="9"/>
      <c r="BU474" s="9"/>
      <c r="BV474" s="9"/>
      <c r="BW474" s="9"/>
    </row>
    <row r="475" spans="1:75" ht="22.5" hidden="1" customHeight="1" outlineLevel="2" x14ac:dyDescent="0.25">
      <c r="A475" s="43" t="s">
        <v>346</v>
      </c>
      <c r="B475" s="110" t="s">
        <v>597</v>
      </c>
      <c r="C475" s="45">
        <v>2019</v>
      </c>
      <c r="D475" s="110" t="s">
        <v>79</v>
      </c>
      <c r="E475" s="47">
        <v>0</v>
      </c>
      <c r="F475" s="47">
        <v>0</v>
      </c>
      <c r="G475" s="47">
        <v>0</v>
      </c>
      <c r="H475" s="47">
        <v>5215927.91</v>
      </c>
      <c r="I475" s="47">
        <v>0</v>
      </c>
      <c r="J475" s="47">
        <v>0</v>
      </c>
      <c r="K475" s="47">
        <v>0</v>
      </c>
      <c r="L475" s="47">
        <v>0</v>
      </c>
      <c r="M475" s="47">
        <v>0</v>
      </c>
      <c r="N475" s="47">
        <v>0</v>
      </c>
      <c r="O475" s="47">
        <v>0</v>
      </c>
      <c r="P475" s="47">
        <v>0</v>
      </c>
      <c r="Q475" s="47">
        <v>0</v>
      </c>
      <c r="R475" s="47">
        <v>0</v>
      </c>
      <c r="S475" s="47">
        <v>0</v>
      </c>
      <c r="T475" s="47">
        <v>0</v>
      </c>
      <c r="U475" s="47">
        <v>0</v>
      </c>
      <c r="V475" s="47">
        <v>0</v>
      </c>
      <c r="W475" s="47">
        <v>0</v>
      </c>
      <c r="X475" s="47">
        <v>0</v>
      </c>
      <c r="Y475" s="48">
        <v>5215927.91</v>
      </c>
      <c r="Z475" s="58">
        <v>1500778.88</v>
      </c>
      <c r="AA475" s="50">
        <v>1500778.88</v>
      </c>
      <c r="AB475" s="50">
        <v>0</v>
      </c>
      <c r="AC475" s="50">
        <v>4251.2</v>
      </c>
      <c r="AD475" s="50">
        <v>60270.44</v>
      </c>
      <c r="AE475" s="50">
        <v>0</v>
      </c>
      <c r="AF475" s="50">
        <v>0</v>
      </c>
      <c r="AG475" s="49">
        <v>1565300.52</v>
      </c>
      <c r="AH475" s="51" t="s">
        <v>104</v>
      </c>
      <c r="AI475" s="51" t="s">
        <v>74</v>
      </c>
      <c r="AJ475" s="51" t="s">
        <v>436</v>
      </c>
      <c r="AK475" s="51" t="s">
        <v>259</v>
      </c>
      <c r="AL475" s="51" t="s">
        <v>74</v>
      </c>
      <c r="AM475" s="51" t="s">
        <v>74</v>
      </c>
      <c r="AN475" s="52">
        <v>0</v>
      </c>
      <c r="AO475" s="52">
        <v>0</v>
      </c>
      <c r="AP475" s="52">
        <v>0</v>
      </c>
      <c r="AQ475" s="52">
        <v>0</v>
      </c>
      <c r="AR475" s="52">
        <v>0</v>
      </c>
      <c r="AS475" s="52">
        <v>0</v>
      </c>
      <c r="AT475" s="53" t="s">
        <v>74</v>
      </c>
      <c r="AU475" s="52">
        <v>0</v>
      </c>
      <c r="AV475" s="52"/>
      <c r="AW475" s="52">
        <v>0</v>
      </c>
      <c r="AX475" s="52"/>
      <c r="AY475" s="52"/>
      <c r="AZ475" s="52">
        <v>0</v>
      </c>
      <c r="BA475" s="52">
        <v>0</v>
      </c>
      <c r="BB475" s="54" t="s">
        <v>74</v>
      </c>
      <c r="BC475" s="53" t="s">
        <v>74</v>
      </c>
      <c r="BD475" s="55" t="s">
        <v>74</v>
      </c>
      <c r="BE475" s="55" t="s">
        <v>74</v>
      </c>
      <c r="BF475" s="55" t="s">
        <v>74</v>
      </c>
      <c r="BG475" s="55" t="s">
        <v>74</v>
      </c>
      <c r="BH475" s="52">
        <v>0</v>
      </c>
      <c r="BI475" s="52">
        <v>3650627.39</v>
      </c>
      <c r="BJ475" s="52">
        <v>3650627.39</v>
      </c>
      <c r="BK475" s="56">
        <v>43556</v>
      </c>
      <c r="BL475" s="57">
        <v>3650627.39</v>
      </c>
      <c r="BM475" s="47">
        <v>0</v>
      </c>
      <c r="BN475" s="9"/>
      <c r="BO475" s="9"/>
      <c r="BP475" s="9"/>
      <c r="BQ475" s="9"/>
      <c r="BR475" s="9"/>
      <c r="BS475" s="9"/>
      <c r="BT475" s="9"/>
      <c r="BU475" s="9"/>
      <c r="BV475" s="9"/>
      <c r="BW475" s="9"/>
    </row>
    <row r="476" spans="1:75" ht="22.5" hidden="1" customHeight="1" outlineLevel="2" x14ac:dyDescent="0.25">
      <c r="A476" s="43" t="s">
        <v>346</v>
      </c>
      <c r="B476" s="110" t="s">
        <v>597</v>
      </c>
      <c r="C476" s="45">
        <v>2019</v>
      </c>
      <c r="D476" s="110" t="s">
        <v>81</v>
      </c>
      <c r="E476" s="47">
        <v>0</v>
      </c>
      <c r="F476" s="47">
        <v>0</v>
      </c>
      <c r="G476" s="47">
        <v>0</v>
      </c>
      <c r="H476" s="47">
        <v>5215927.91</v>
      </c>
      <c r="I476" s="47">
        <v>0</v>
      </c>
      <c r="J476" s="47">
        <v>0</v>
      </c>
      <c r="K476" s="47">
        <v>0</v>
      </c>
      <c r="L476" s="47">
        <v>0</v>
      </c>
      <c r="M476" s="47">
        <v>0</v>
      </c>
      <c r="N476" s="47">
        <v>0</v>
      </c>
      <c r="O476" s="47">
        <v>0</v>
      </c>
      <c r="P476" s="47">
        <v>0</v>
      </c>
      <c r="Q476" s="47">
        <v>0</v>
      </c>
      <c r="R476" s="47">
        <v>0</v>
      </c>
      <c r="S476" s="47">
        <v>0</v>
      </c>
      <c r="T476" s="47">
        <v>0</v>
      </c>
      <c r="U476" s="47">
        <v>0</v>
      </c>
      <c r="V476" s="47">
        <v>0</v>
      </c>
      <c r="W476" s="47">
        <v>0</v>
      </c>
      <c r="X476" s="47">
        <v>0</v>
      </c>
      <c r="Y476" s="48">
        <v>5215927.91</v>
      </c>
      <c r="Z476" s="58">
        <v>1429146.65</v>
      </c>
      <c r="AA476" s="50">
        <v>1429146.65</v>
      </c>
      <c r="AB476" s="50">
        <v>0</v>
      </c>
      <c r="AC476" s="50">
        <v>3845.15</v>
      </c>
      <c r="AD476" s="50">
        <v>58164.639999999999</v>
      </c>
      <c r="AE476" s="50">
        <v>0</v>
      </c>
      <c r="AF476" s="50">
        <v>0</v>
      </c>
      <c r="AG476" s="49">
        <v>1491156.44</v>
      </c>
      <c r="AH476" s="51" t="s">
        <v>104</v>
      </c>
      <c r="AI476" s="51" t="s">
        <v>74</v>
      </c>
      <c r="AJ476" s="51" t="s">
        <v>437</v>
      </c>
      <c r="AK476" s="51" t="s">
        <v>136</v>
      </c>
      <c r="AL476" s="51" t="s">
        <v>74</v>
      </c>
      <c r="AM476" s="51" t="s">
        <v>74</v>
      </c>
      <c r="AN476" s="52">
        <v>0</v>
      </c>
      <c r="AO476" s="52">
        <v>0</v>
      </c>
      <c r="AP476" s="52">
        <v>0</v>
      </c>
      <c r="AQ476" s="52">
        <v>0</v>
      </c>
      <c r="AR476" s="52">
        <v>0</v>
      </c>
      <c r="AS476" s="52">
        <v>0</v>
      </c>
      <c r="AT476" s="53" t="s">
        <v>74</v>
      </c>
      <c r="AU476" s="52">
        <v>0</v>
      </c>
      <c r="AV476" s="52"/>
      <c r="AW476" s="52">
        <v>0</v>
      </c>
      <c r="AX476" s="52"/>
      <c r="AY476" s="52"/>
      <c r="AZ476" s="52">
        <v>0</v>
      </c>
      <c r="BA476" s="52">
        <v>0</v>
      </c>
      <c r="BB476" s="54" t="s">
        <v>74</v>
      </c>
      <c r="BC476" s="53" t="s">
        <v>74</v>
      </c>
      <c r="BD476" s="55" t="s">
        <v>74</v>
      </c>
      <c r="BE476" s="55" t="s">
        <v>74</v>
      </c>
      <c r="BF476" s="55" t="s">
        <v>74</v>
      </c>
      <c r="BG476" s="55" t="s">
        <v>74</v>
      </c>
      <c r="BH476" s="52">
        <v>0</v>
      </c>
      <c r="BI476" s="52">
        <v>3724771.47</v>
      </c>
      <c r="BJ476" s="52">
        <v>3724771.47</v>
      </c>
      <c r="BK476" s="56">
        <v>43586</v>
      </c>
      <c r="BL476" s="57">
        <v>3724771.47</v>
      </c>
      <c r="BM476" s="47">
        <v>0</v>
      </c>
      <c r="BN476" s="9"/>
      <c r="BO476" s="9"/>
      <c r="BP476" s="9"/>
      <c r="BQ476" s="9"/>
      <c r="BR476" s="9"/>
      <c r="BS476" s="9"/>
      <c r="BT476" s="9"/>
      <c r="BU476" s="9"/>
      <c r="BV476" s="9"/>
      <c r="BW476" s="9"/>
    </row>
    <row r="477" spans="1:75" ht="22.5" hidden="1" customHeight="1" outlineLevel="2" x14ac:dyDescent="0.25">
      <c r="A477" s="43" t="s">
        <v>346</v>
      </c>
      <c r="B477" s="110" t="s">
        <v>597</v>
      </c>
      <c r="C477" s="45">
        <v>2019</v>
      </c>
      <c r="D477" s="46" t="s">
        <v>83</v>
      </c>
      <c r="E477" s="47">
        <v>0</v>
      </c>
      <c r="F477" s="47">
        <v>0</v>
      </c>
      <c r="G477" s="47">
        <v>0</v>
      </c>
      <c r="H477" s="47">
        <v>5215927.91</v>
      </c>
      <c r="I477" s="47">
        <v>0</v>
      </c>
      <c r="J477" s="47">
        <v>0</v>
      </c>
      <c r="K477" s="47">
        <v>0</v>
      </c>
      <c r="L477" s="47">
        <v>0</v>
      </c>
      <c r="M477" s="47">
        <v>0</v>
      </c>
      <c r="N477" s="47">
        <v>0</v>
      </c>
      <c r="O477" s="47">
        <v>0</v>
      </c>
      <c r="P477" s="47">
        <v>0</v>
      </c>
      <c r="Q477" s="47">
        <v>0</v>
      </c>
      <c r="R477" s="47">
        <v>0</v>
      </c>
      <c r="S477" s="47">
        <v>0</v>
      </c>
      <c r="T477" s="47">
        <v>0</v>
      </c>
      <c r="U477" s="47">
        <v>0</v>
      </c>
      <c r="V477" s="47">
        <v>0</v>
      </c>
      <c r="W477" s="47">
        <v>0</v>
      </c>
      <c r="X477" s="47">
        <v>0</v>
      </c>
      <c r="Y477" s="48">
        <v>5215927.91</v>
      </c>
      <c r="Z477" s="58">
        <v>1496354.56</v>
      </c>
      <c r="AA477" s="50">
        <v>1496354.56</v>
      </c>
      <c r="AB477" s="50">
        <v>0</v>
      </c>
      <c r="AC477" s="50">
        <v>3962.02</v>
      </c>
      <c r="AD477" s="50">
        <v>56637.25</v>
      </c>
      <c r="AE477" s="50">
        <v>0</v>
      </c>
      <c r="AF477" s="50">
        <v>0</v>
      </c>
      <c r="AG477" s="49">
        <v>1556953.83</v>
      </c>
      <c r="AH477" s="51" t="s">
        <v>104</v>
      </c>
      <c r="AI477" s="51" t="s">
        <v>74</v>
      </c>
      <c r="AJ477" s="51" t="s">
        <v>137</v>
      </c>
      <c r="AK477" s="51" t="s">
        <v>138</v>
      </c>
      <c r="AL477" s="51" t="s">
        <v>74</v>
      </c>
      <c r="AM477" s="51" t="s">
        <v>74</v>
      </c>
      <c r="AN477" s="52">
        <v>0</v>
      </c>
      <c r="AO477" s="52">
        <v>0</v>
      </c>
      <c r="AP477" s="52">
        <v>0</v>
      </c>
      <c r="AQ477" s="52">
        <v>0</v>
      </c>
      <c r="AR477" s="52">
        <v>0</v>
      </c>
      <c r="AS477" s="52">
        <v>0</v>
      </c>
      <c r="AT477" s="53" t="s">
        <v>74</v>
      </c>
      <c r="AU477" s="52">
        <v>0</v>
      </c>
      <c r="AV477" s="52"/>
      <c r="AW477" s="52">
        <v>0</v>
      </c>
      <c r="AX477" s="52"/>
      <c r="AY477" s="52"/>
      <c r="AZ477" s="52">
        <v>0</v>
      </c>
      <c r="BA477" s="52">
        <v>0</v>
      </c>
      <c r="BB477" s="54" t="s">
        <v>74</v>
      </c>
      <c r="BC477" s="53" t="s">
        <v>74</v>
      </c>
      <c r="BD477" s="55" t="s">
        <v>74</v>
      </c>
      <c r="BE477" s="55" t="s">
        <v>74</v>
      </c>
      <c r="BF477" s="55" t="s">
        <v>74</v>
      </c>
      <c r="BG477" s="55" t="s">
        <v>74</v>
      </c>
      <c r="BH477" s="52">
        <v>0</v>
      </c>
      <c r="BI477" s="52">
        <v>3658974.08</v>
      </c>
      <c r="BJ477" s="52">
        <v>3658974.08</v>
      </c>
      <c r="BK477" s="56">
        <v>43617</v>
      </c>
      <c r="BL477" s="57">
        <v>3658974.08</v>
      </c>
      <c r="BM477" s="47">
        <v>0</v>
      </c>
      <c r="BN477" s="9"/>
      <c r="BO477" s="9"/>
      <c r="BP477" s="9"/>
      <c r="BQ477" s="9"/>
      <c r="BR477" s="9"/>
      <c r="BS477" s="9"/>
      <c r="BT477" s="9"/>
      <c r="BU477" s="9"/>
      <c r="BV477" s="9"/>
      <c r="BW477" s="9"/>
    </row>
    <row r="478" spans="1:75" ht="22.5" hidden="1" customHeight="1" outlineLevel="2" x14ac:dyDescent="0.25">
      <c r="A478" s="43" t="s">
        <v>346</v>
      </c>
      <c r="B478" s="110" t="s">
        <v>597</v>
      </c>
      <c r="C478" s="45">
        <v>2019</v>
      </c>
      <c r="D478" s="46" t="s">
        <v>84</v>
      </c>
      <c r="E478" s="47">
        <v>0</v>
      </c>
      <c r="F478" s="47">
        <v>0</v>
      </c>
      <c r="G478" s="47">
        <v>0</v>
      </c>
      <c r="H478" s="47">
        <v>5215927.91</v>
      </c>
      <c r="I478" s="47">
        <v>0</v>
      </c>
      <c r="J478" s="47">
        <v>0</v>
      </c>
      <c r="K478" s="47">
        <v>0</v>
      </c>
      <c r="L478" s="47">
        <v>0</v>
      </c>
      <c r="M478" s="47">
        <v>0</v>
      </c>
      <c r="N478" s="47">
        <v>0</v>
      </c>
      <c r="O478" s="47">
        <v>0</v>
      </c>
      <c r="P478" s="47">
        <v>0</v>
      </c>
      <c r="Q478" s="47">
        <v>0</v>
      </c>
      <c r="R478" s="47">
        <v>0</v>
      </c>
      <c r="S478" s="47">
        <v>0</v>
      </c>
      <c r="T478" s="47">
        <v>0</v>
      </c>
      <c r="U478" s="47">
        <v>0</v>
      </c>
      <c r="V478" s="47">
        <v>0</v>
      </c>
      <c r="W478" s="47">
        <v>0</v>
      </c>
      <c r="X478" s="47">
        <v>0</v>
      </c>
      <c r="Y478" s="48">
        <v>5215927.91</v>
      </c>
      <c r="Z478" s="58">
        <v>1434069.74</v>
      </c>
      <c r="AA478" s="50">
        <v>1434069.74</v>
      </c>
      <c r="AB478" s="50">
        <v>0</v>
      </c>
      <c r="AC478" s="50">
        <v>3620.52</v>
      </c>
      <c r="AD478" s="50">
        <v>56761.82</v>
      </c>
      <c r="AE478" s="50">
        <v>0</v>
      </c>
      <c r="AF478" s="50">
        <v>0</v>
      </c>
      <c r="AG478" s="49">
        <v>1494452.08</v>
      </c>
      <c r="AH478" s="51" t="s">
        <v>104</v>
      </c>
      <c r="AI478" s="51" t="s">
        <v>74</v>
      </c>
      <c r="AJ478" s="51" t="s">
        <v>614</v>
      </c>
      <c r="AK478" s="51" t="s">
        <v>505</v>
      </c>
      <c r="AL478" s="51" t="s">
        <v>74</v>
      </c>
      <c r="AM478" s="51" t="s">
        <v>74</v>
      </c>
      <c r="AN478" s="52">
        <v>0</v>
      </c>
      <c r="AO478" s="52">
        <v>0</v>
      </c>
      <c r="AP478" s="52">
        <v>0</v>
      </c>
      <c r="AQ478" s="52">
        <v>0</v>
      </c>
      <c r="AR478" s="52">
        <v>0</v>
      </c>
      <c r="AS478" s="52">
        <v>0</v>
      </c>
      <c r="AT478" s="53" t="s">
        <v>74</v>
      </c>
      <c r="AU478" s="52">
        <v>0</v>
      </c>
      <c r="AV478" s="52"/>
      <c r="AW478" s="52">
        <v>0</v>
      </c>
      <c r="AX478" s="52"/>
      <c r="AY478" s="52"/>
      <c r="AZ478" s="52">
        <v>0</v>
      </c>
      <c r="BA478" s="52">
        <v>0</v>
      </c>
      <c r="BB478" s="54" t="s">
        <v>74</v>
      </c>
      <c r="BC478" s="53" t="s">
        <v>74</v>
      </c>
      <c r="BD478" s="55" t="s">
        <v>74</v>
      </c>
      <c r="BE478" s="55" t="s">
        <v>74</v>
      </c>
      <c r="BF478" s="55" t="s">
        <v>74</v>
      </c>
      <c r="BG478" s="55" t="s">
        <v>74</v>
      </c>
      <c r="BH478" s="52">
        <v>0</v>
      </c>
      <c r="BI478" s="52">
        <v>3721475.83</v>
      </c>
      <c r="BJ478" s="52">
        <v>3721475.83</v>
      </c>
      <c r="BK478" s="56">
        <v>43647</v>
      </c>
      <c r="BL478" s="57">
        <v>3721475.83</v>
      </c>
      <c r="BM478" s="47">
        <v>0</v>
      </c>
      <c r="BN478" s="9"/>
      <c r="BO478" s="9"/>
      <c r="BP478" s="9"/>
      <c r="BQ478" s="9"/>
      <c r="BR478" s="9"/>
      <c r="BS478" s="9"/>
      <c r="BT478" s="9"/>
      <c r="BU478" s="9"/>
      <c r="BV478" s="9"/>
      <c r="BW478" s="9"/>
    </row>
    <row r="479" spans="1:75" ht="22.5" hidden="1" customHeight="1" outlineLevel="2" x14ac:dyDescent="0.25">
      <c r="A479" s="43" t="s">
        <v>346</v>
      </c>
      <c r="B479" s="110" t="s">
        <v>597</v>
      </c>
      <c r="C479" s="45">
        <v>2019</v>
      </c>
      <c r="D479" s="46" t="s">
        <v>86</v>
      </c>
      <c r="E479" s="47">
        <v>0</v>
      </c>
      <c r="F479" s="47">
        <v>0</v>
      </c>
      <c r="G479" s="47">
        <v>0</v>
      </c>
      <c r="H479" s="47">
        <v>5215927.91</v>
      </c>
      <c r="I479" s="47">
        <v>0</v>
      </c>
      <c r="J479" s="47">
        <v>0</v>
      </c>
      <c r="K479" s="47">
        <v>0</v>
      </c>
      <c r="L479" s="47">
        <v>0</v>
      </c>
      <c r="M479" s="47">
        <v>0</v>
      </c>
      <c r="N479" s="47">
        <v>0</v>
      </c>
      <c r="O479" s="47">
        <v>0</v>
      </c>
      <c r="P479" s="47">
        <v>0</v>
      </c>
      <c r="Q479" s="47">
        <v>0</v>
      </c>
      <c r="R479" s="47">
        <v>0</v>
      </c>
      <c r="S479" s="47">
        <v>0</v>
      </c>
      <c r="T479" s="47">
        <v>0</v>
      </c>
      <c r="U479" s="47">
        <v>0</v>
      </c>
      <c r="V479" s="47">
        <v>0</v>
      </c>
      <c r="W479" s="47">
        <v>0</v>
      </c>
      <c r="X479" s="47">
        <v>0</v>
      </c>
      <c r="Y479" s="48">
        <v>5215927.91</v>
      </c>
      <c r="Z479" s="58">
        <v>1446427.87</v>
      </c>
      <c r="AA479" s="50">
        <v>1446427.87</v>
      </c>
      <c r="AB479" s="50">
        <v>0</v>
      </c>
      <c r="AC479" s="50">
        <v>3559.49</v>
      </c>
      <c r="AD479" s="50">
        <v>56102.67</v>
      </c>
      <c r="AE479" s="50">
        <v>0</v>
      </c>
      <c r="AF479" s="50">
        <v>0</v>
      </c>
      <c r="AG479" s="49">
        <v>1506090.03</v>
      </c>
      <c r="AH479" s="51" t="s">
        <v>104</v>
      </c>
      <c r="AI479" s="51" t="s">
        <v>74</v>
      </c>
      <c r="AJ479" s="51" t="s">
        <v>142</v>
      </c>
      <c r="AK479" s="51" t="s">
        <v>209</v>
      </c>
      <c r="AL479" s="51" t="s">
        <v>74</v>
      </c>
      <c r="AM479" s="51" t="s">
        <v>74</v>
      </c>
      <c r="AN479" s="52">
        <v>0</v>
      </c>
      <c r="AO479" s="52">
        <v>0</v>
      </c>
      <c r="AP479" s="52">
        <v>0</v>
      </c>
      <c r="AQ479" s="52">
        <v>0</v>
      </c>
      <c r="AR479" s="52">
        <v>0</v>
      </c>
      <c r="AS479" s="52">
        <v>0</v>
      </c>
      <c r="AT479" s="53" t="s">
        <v>74</v>
      </c>
      <c r="AU479" s="52">
        <v>0</v>
      </c>
      <c r="AV479" s="52"/>
      <c r="AW479" s="52">
        <v>0</v>
      </c>
      <c r="AX479" s="52"/>
      <c r="AY479" s="52"/>
      <c r="AZ479" s="52">
        <v>0</v>
      </c>
      <c r="BA479" s="52">
        <v>0</v>
      </c>
      <c r="BB479" s="54" t="s">
        <v>74</v>
      </c>
      <c r="BC479" s="53" t="s">
        <v>74</v>
      </c>
      <c r="BD479" s="55" t="s">
        <v>74</v>
      </c>
      <c r="BE479" s="55" t="s">
        <v>74</v>
      </c>
      <c r="BF479" s="55" t="s">
        <v>74</v>
      </c>
      <c r="BG479" s="55" t="s">
        <v>74</v>
      </c>
      <c r="BH479" s="52">
        <v>0</v>
      </c>
      <c r="BI479" s="52">
        <v>3709837.88</v>
      </c>
      <c r="BJ479" s="52">
        <v>3709837.88</v>
      </c>
      <c r="BK479" s="56">
        <v>43678</v>
      </c>
      <c r="BL479" s="57">
        <v>3709837.88</v>
      </c>
      <c r="BM479" s="47">
        <v>0</v>
      </c>
      <c r="BN479" s="9"/>
      <c r="BO479" s="9"/>
      <c r="BP479" s="9"/>
      <c r="BQ479" s="9"/>
      <c r="BR479" s="9"/>
      <c r="BS479" s="9"/>
      <c r="BT479" s="9"/>
      <c r="BU479" s="9"/>
      <c r="BV479" s="9"/>
      <c r="BW479" s="9"/>
    </row>
    <row r="480" spans="1:75" ht="72.75" hidden="1" customHeight="1" outlineLevel="2" x14ac:dyDescent="0.25">
      <c r="A480" s="43" t="s">
        <v>346</v>
      </c>
      <c r="B480" s="110" t="s">
        <v>597</v>
      </c>
      <c r="C480" s="45">
        <v>2019</v>
      </c>
      <c r="D480" s="46" t="s">
        <v>88</v>
      </c>
      <c r="E480" s="47">
        <v>0</v>
      </c>
      <c r="F480" s="47">
        <v>0</v>
      </c>
      <c r="G480" s="47">
        <v>0</v>
      </c>
      <c r="H480" s="47">
        <v>5215927.91</v>
      </c>
      <c r="I480" s="47">
        <v>0</v>
      </c>
      <c r="J480" s="47">
        <v>0</v>
      </c>
      <c r="K480" s="47">
        <v>0</v>
      </c>
      <c r="L480" s="47">
        <v>0</v>
      </c>
      <c r="M480" s="47">
        <v>0</v>
      </c>
      <c r="N480" s="47">
        <v>0</v>
      </c>
      <c r="O480" s="47">
        <v>0</v>
      </c>
      <c r="P480" s="47">
        <v>0</v>
      </c>
      <c r="Q480" s="47">
        <v>0</v>
      </c>
      <c r="R480" s="47">
        <v>0</v>
      </c>
      <c r="S480" s="47">
        <v>0</v>
      </c>
      <c r="T480" s="47">
        <v>0</v>
      </c>
      <c r="U480" s="47">
        <v>0</v>
      </c>
      <c r="V480" s="47">
        <v>0</v>
      </c>
      <c r="W480" s="47">
        <v>0</v>
      </c>
      <c r="X480" s="47">
        <v>0</v>
      </c>
      <c r="Y480" s="48">
        <v>5215927.91</v>
      </c>
      <c r="Z480" s="58">
        <v>1319299.8500000001</v>
      </c>
      <c r="AA480" s="50">
        <v>1319299.8500000001</v>
      </c>
      <c r="AB480" s="50">
        <v>0</v>
      </c>
      <c r="AC480" s="50">
        <v>6804.52</v>
      </c>
      <c r="AD480" s="50">
        <v>93115.39</v>
      </c>
      <c r="AE480" s="50">
        <v>0</v>
      </c>
      <c r="AF480" s="50">
        <v>0</v>
      </c>
      <c r="AG480" s="49">
        <v>1419219.76</v>
      </c>
      <c r="AH480" s="51" t="s">
        <v>104</v>
      </c>
      <c r="AI480" s="51" t="s">
        <v>74</v>
      </c>
      <c r="AJ480" s="51" t="s">
        <v>615</v>
      </c>
      <c r="AK480" s="51" t="s">
        <v>616</v>
      </c>
      <c r="AL480" s="51" t="s">
        <v>74</v>
      </c>
      <c r="AM480" s="51" t="s">
        <v>74</v>
      </c>
      <c r="AN480" s="52">
        <v>0</v>
      </c>
      <c r="AO480" s="52">
        <v>0</v>
      </c>
      <c r="AP480" s="52">
        <v>0</v>
      </c>
      <c r="AQ480" s="52">
        <v>0</v>
      </c>
      <c r="AR480" s="52">
        <v>0</v>
      </c>
      <c r="AS480" s="52">
        <v>0</v>
      </c>
      <c r="AT480" s="53" t="s">
        <v>74</v>
      </c>
      <c r="AU480" s="52">
        <v>0</v>
      </c>
      <c r="AV480" s="52"/>
      <c r="AW480" s="52">
        <v>0</v>
      </c>
      <c r="AX480" s="52"/>
      <c r="AY480" s="52"/>
      <c r="AZ480" s="52">
        <v>0</v>
      </c>
      <c r="BA480" s="52">
        <v>0</v>
      </c>
      <c r="BB480" s="54" t="s">
        <v>74</v>
      </c>
      <c r="BC480" s="53" t="s">
        <v>74</v>
      </c>
      <c r="BD480" s="55" t="s">
        <v>74</v>
      </c>
      <c r="BE480" s="55" t="s">
        <v>74</v>
      </c>
      <c r="BF480" s="55" t="s">
        <v>74</v>
      </c>
      <c r="BG480" s="55" t="s">
        <v>74</v>
      </c>
      <c r="BH480" s="52">
        <v>0</v>
      </c>
      <c r="BI480" s="52">
        <v>3796708.15</v>
      </c>
      <c r="BJ480" s="52">
        <v>3796708.15</v>
      </c>
      <c r="BK480" s="56">
        <v>43709</v>
      </c>
      <c r="BL480" s="57">
        <v>3796708.15</v>
      </c>
      <c r="BM480" s="47">
        <v>0</v>
      </c>
      <c r="BN480" s="9"/>
      <c r="BO480" s="9"/>
      <c r="BP480" s="9"/>
      <c r="BQ480" s="9"/>
      <c r="BR480" s="9"/>
      <c r="BS480" s="9"/>
      <c r="BT480" s="9"/>
      <c r="BU480" s="9"/>
      <c r="BV480" s="9"/>
      <c r="BW480" s="9"/>
    </row>
    <row r="481" spans="1:75" ht="27" hidden="1" customHeight="1" outlineLevel="2" x14ac:dyDescent="0.25">
      <c r="A481" s="43" t="s">
        <v>346</v>
      </c>
      <c r="B481" s="110" t="s">
        <v>597</v>
      </c>
      <c r="C481" s="45">
        <v>2019</v>
      </c>
      <c r="D481" s="46" t="s">
        <v>89</v>
      </c>
      <c r="E481" s="47">
        <v>0</v>
      </c>
      <c r="F481" s="47">
        <v>0</v>
      </c>
      <c r="G481" s="47">
        <v>0</v>
      </c>
      <c r="H481" s="47">
        <v>5215927.91</v>
      </c>
      <c r="I481" s="47">
        <v>0</v>
      </c>
      <c r="J481" s="47">
        <v>0</v>
      </c>
      <c r="K481" s="47">
        <v>0</v>
      </c>
      <c r="L481" s="47">
        <v>0</v>
      </c>
      <c r="M481" s="47">
        <v>0</v>
      </c>
      <c r="N481" s="47">
        <v>0</v>
      </c>
      <c r="O481" s="47">
        <v>0</v>
      </c>
      <c r="P481" s="47">
        <v>0</v>
      </c>
      <c r="Q481" s="47">
        <v>0</v>
      </c>
      <c r="R481" s="47">
        <v>0</v>
      </c>
      <c r="S481" s="47">
        <v>0</v>
      </c>
      <c r="T481" s="47">
        <v>0</v>
      </c>
      <c r="U481" s="47">
        <v>0</v>
      </c>
      <c r="V481" s="47">
        <v>0</v>
      </c>
      <c r="W481" s="47">
        <v>0</v>
      </c>
      <c r="X481" s="47">
        <v>0</v>
      </c>
      <c r="Y481" s="48">
        <v>5215927.91</v>
      </c>
      <c r="Z481" s="58">
        <v>1441498.06</v>
      </c>
      <c r="AA481" s="50">
        <v>1441498.06</v>
      </c>
      <c r="AB481" s="50">
        <v>0</v>
      </c>
      <c r="AC481" s="50">
        <v>0</v>
      </c>
      <c r="AD481" s="50">
        <v>0</v>
      </c>
      <c r="AE481" s="50">
        <v>0</v>
      </c>
      <c r="AF481" s="50">
        <v>0</v>
      </c>
      <c r="AG481" s="49">
        <v>1441498.06</v>
      </c>
      <c r="AH481" s="51" t="s">
        <v>104</v>
      </c>
      <c r="AI481" s="51" t="s">
        <v>74</v>
      </c>
      <c r="AJ481" s="51" t="s">
        <v>74</v>
      </c>
      <c r="AK481" s="51" t="s">
        <v>74</v>
      </c>
      <c r="AL481" s="51" t="s">
        <v>74</v>
      </c>
      <c r="AM481" s="51" t="s">
        <v>74</v>
      </c>
      <c r="AN481" s="52"/>
      <c r="AO481" s="52"/>
      <c r="AP481" s="52"/>
      <c r="AQ481" s="52"/>
      <c r="AR481" s="52"/>
      <c r="AS481" s="52">
        <v>0</v>
      </c>
      <c r="AT481" s="53" t="s">
        <v>74</v>
      </c>
      <c r="AU481" s="52">
        <v>890471.87</v>
      </c>
      <c r="AV481" s="52"/>
      <c r="AW481" s="52">
        <v>0</v>
      </c>
      <c r="AX481" s="52"/>
      <c r="AY481" s="52"/>
      <c r="AZ481" s="52">
        <v>0</v>
      </c>
      <c r="BA481" s="52">
        <v>890471.87</v>
      </c>
      <c r="BB481" s="55" t="s">
        <v>617</v>
      </c>
      <c r="BC481" s="51" t="s">
        <v>74</v>
      </c>
      <c r="BD481" s="54" t="s">
        <v>74</v>
      </c>
      <c r="BE481" s="54" t="s">
        <v>74</v>
      </c>
      <c r="BF481" s="54" t="s">
        <v>74</v>
      </c>
      <c r="BG481" s="54" t="s">
        <v>74</v>
      </c>
      <c r="BH481" s="52">
        <v>890471.87</v>
      </c>
      <c r="BI481" s="52">
        <v>4664901.72</v>
      </c>
      <c r="BJ481" s="52">
        <v>3774429.85</v>
      </c>
      <c r="BK481" s="56">
        <v>43739</v>
      </c>
      <c r="BL481" s="57">
        <v>4664901.72</v>
      </c>
      <c r="BM481" s="47">
        <v>0</v>
      </c>
      <c r="BN481" s="9"/>
      <c r="BO481" s="9"/>
      <c r="BP481" s="9"/>
      <c r="BQ481" s="9"/>
      <c r="BR481" s="9"/>
      <c r="BS481" s="9"/>
      <c r="BT481" s="9"/>
      <c r="BU481" s="9"/>
      <c r="BV481" s="9"/>
      <c r="BW481" s="9"/>
    </row>
    <row r="482" spans="1:75" ht="166.5" hidden="1" customHeight="1" outlineLevel="2" x14ac:dyDescent="0.25">
      <c r="A482" s="43" t="s">
        <v>346</v>
      </c>
      <c r="B482" s="110" t="s">
        <v>597</v>
      </c>
      <c r="C482" s="45">
        <v>2019</v>
      </c>
      <c r="D482" s="46" t="s">
        <v>90</v>
      </c>
      <c r="E482" s="47">
        <v>0</v>
      </c>
      <c r="F482" s="47">
        <v>0</v>
      </c>
      <c r="G482" s="47">
        <v>0</v>
      </c>
      <c r="H482" s="47">
        <v>4172742.33</v>
      </c>
      <c r="I482" s="47">
        <v>0</v>
      </c>
      <c r="J482" s="47">
        <v>0</v>
      </c>
      <c r="K482" s="47">
        <v>1043185.58</v>
      </c>
      <c r="L482" s="47">
        <v>0</v>
      </c>
      <c r="M482" s="47">
        <v>1043185.58</v>
      </c>
      <c r="N482" s="47">
        <v>0</v>
      </c>
      <c r="O482" s="47">
        <v>0</v>
      </c>
      <c r="P482" s="47">
        <v>0</v>
      </c>
      <c r="Q482" s="47">
        <v>0</v>
      </c>
      <c r="R482" s="47">
        <v>0</v>
      </c>
      <c r="S482" s="47">
        <v>0</v>
      </c>
      <c r="T482" s="47">
        <v>0</v>
      </c>
      <c r="U482" s="47">
        <v>0</v>
      </c>
      <c r="V482" s="47">
        <v>0</v>
      </c>
      <c r="W482" s="47">
        <v>0</v>
      </c>
      <c r="X482" s="47">
        <v>0</v>
      </c>
      <c r="Y482" s="48">
        <v>5215927.91</v>
      </c>
      <c r="Z482" s="58">
        <v>1414723.81</v>
      </c>
      <c r="AA482" s="50">
        <v>1414723.81</v>
      </c>
      <c r="AB482" s="50">
        <v>0</v>
      </c>
      <c r="AC482" s="50">
        <v>5631.32</v>
      </c>
      <c r="AD482" s="50">
        <v>198503.76</v>
      </c>
      <c r="AE482" s="50">
        <v>0</v>
      </c>
      <c r="AF482" s="50">
        <v>0</v>
      </c>
      <c r="AG482" s="49">
        <v>1618858.89</v>
      </c>
      <c r="AH482" s="51" t="s">
        <v>104</v>
      </c>
      <c r="AI482" s="51" t="s">
        <v>74</v>
      </c>
      <c r="AJ482" s="51" t="s">
        <v>618</v>
      </c>
      <c r="AK482" s="51" t="s">
        <v>619</v>
      </c>
      <c r="AL482" s="51" t="s">
        <v>74</v>
      </c>
      <c r="AM482" s="51" t="s">
        <v>74</v>
      </c>
      <c r="AN482" s="52"/>
      <c r="AO482" s="52"/>
      <c r="AP482" s="52"/>
      <c r="AQ482" s="52"/>
      <c r="AR482" s="52"/>
      <c r="AS482" s="52">
        <v>0</v>
      </c>
      <c r="AT482" s="53" t="s">
        <v>74</v>
      </c>
      <c r="AU482" s="52">
        <v>120958.69</v>
      </c>
      <c r="AV482" s="52"/>
      <c r="AW482" s="52">
        <v>0</v>
      </c>
      <c r="AX482" s="52"/>
      <c r="AY482" s="52"/>
      <c r="AZ482" s="52">
        <v>0</v>
      </c>
      <c r="BA482" s="52">
        <v>120958.69</v>
      </c>
      <c r="BB482" s="55" t="s">
        <v>620</v>
      </c>
      <c r="BC482" s="51" t="s">
        <v>74</v>
      </c>
      <c r="BD482" s="54" t="s">
        <v>74</v>
      </c>
      <c r="BE482" s="54" t="s">
        <v>74</v>
      </c>
      <c r="BF482" s="54" t="s">
        <v>74</v>
      </c>
      <c r="BG482" s="54" t="s">
        <v>74</v>
      </c>
      <c r="BH482" s="52">
        <v>120958.69</v>
      </c>
      <c r="BI482" s="52">
        <v>3718027.71</v>
      </c>
      <c r="BJ482" s="52">
        <v>3597069.02</v>
      </c>
      <c r="BK482" s="56">
        <v>43770</v>
      </c>
      <c r="BL482" s="57">
        <v>3718027.71</v>
      </c>
      <c r="BM482" s="47">
        <v>0</v>
      </c>
      <c r="BN482" s="9"/>
      <c r="BO482" s="9"/>
      <c r="BP482" s="9"/>
      <c r="BQ482" s="9"/>
      <c r="BR482" s="9"/>
      <c r="BS482" s="9"/>
      <c r="BT482" s="9"/>
      <c r="BU482" s="9"/>
      <c r="BV482" s="9"/>
      <c r="BW482" s="9"/>
    </row>
    <row r="483" spans="1:75" ht="71.25" hidden="1" customHeight="1" outlineLevel="2" x14ac:dyDescent="0.25">
      <c r="A483" s="43" t="s">
        <v>346</v>
      </c>
      <c r="B483" s="110" t="s">
        <v>597</v>
      </c>
      <c r="C483" s="45">
        <v>2019</v>
      </c>
      <c r="D483" s="113" t="s">
        <v>93</v>
      </c>
      <c r="E483" s="47">
        <v>0</v>
      </c>
      <c r="F483" s="47">
        <v>0</v>
      </c>
      <c r="G483" s="47">
        <v>0</v>
      </c>
      <c r="H483" s="47">
        <v>0</v>
      </c>
      <c r="I483" s="47">
        <v>0</v>
      </c>
      <c r="J483" s="47">
        <v>0</v>
      </c>
      <c r="K483" s="47">
        <v>5215927.91</v>
      </c>
      <c r="L483" s="47">
        <v>0</v>
      </c>
      <c r="M483" s="47">
        <v>5215927.91</v>
      </c>
      <c r="N483" s="47">
        <v>0</v>
      </c>
      <c r="O483" s="47">
        <v>0</v>
      </c>
      <c r="P483" s="47">
        <v>0</v>
      </c>
      <c r="Q483" s="47">
        <v>0</v>
      </c>
      <c r="R483" s="47">
        <v>0</v>
      </c>
      <c r="S483" s="47">
        <v>0</v>
      </c>
      <c r="T483" s="47">
        <v>0</v>
      </c>
      <c r="U483" s="47">
        <v>0</v>
      </c>
      <c r="V483" s="47">
        <v>0</v>
      </c>
      <c r="W483" s="47">
        <v>0</v>
      </c>
      <c r="X483" s="47">
        <v>0</v>
      </c>
      <c r="Y483" s="48">
        <v>5215927.91</v>
      </c>
      <c r="Z483" s="58">
        <v>1263449.73</v>
      </c>
      <c r="AA483" s="50">
        <v>1263449.73</v>
      </c>
      <c r="AB483" s="50">
        <v>0</v>
      </c>
      <c r="AC483" s="50">
        <v>3778.67</v>
      </c>
      <c r="AD483" s="50">
        <v>0</v>
      </c>
      <c r="AE483" s="50">
        <v>0</v>
      </c>
      <c r="AF483" s="50">
        <v>0</v>
      </c>
      <c r="AG483" s="49">
        <v>1267228.3999999999</v>
      </c>
      <c r="AH483" s="51" t="s">
        <v>104</v>
      </c>
      <c r="AI483" s="51" t="s">
        <v>74</v>
      </c>
      <c r="AJ483" s="51" t="s">
        <v>621</v>
      </c>
      <c r="AK483" s="51" t="s">
        <v>74</v>
      </c>
      <c r="AL483" s="51" t="s">
        <v>74</v>
      </c>
      <c r="AM483" s="51" t="s">
        <v>74</v>
      </c>
      <c r="AN483" s="52">
        <v>0</v>
      </c>
      <c r="AO483" s="52">
        <v>0</v>
      </c>
      <c r="AP483" s="52">
        <v>0</v>
      </c>
      <c r="AQ483" s="52">
        <v>0</v>
      </c>
      <c r="AR483" s="52">
        <v>0</v>
      </c>
      <c r="AS483" s="52">
        <v>0</v>
      </c>
      <c r="AT483" s="53" t="s">
        <v>74</v>
      </c>
      <c r="AU483" s="52">
        <v>0</v>
      </c>
      <c r="AV483" s="52"/>
      <c r="AW483" s="52">
        <v>0</v>
      </c>
      <c r="AX483" s="52"/>
      <c r="AY483" s="52"/>
      <c r="AZ483" s="52">
        <v>0</v>
      </c>
      <c r="BA483" s="52">
        <v>0</v>
      </c>
      <c r="BB483" s="54" t="s">
        <v>74</v>
      </c>
      <c r="BC483" s="53" t="s">
        <v>74</v>
      </c>
      <c r="BD483" s="55" t="s">
        <v>74</v>
      </c>
      <c r="BE483" s="55" t="s">
        <v>74</v>
      </c>
      <c r="BF483" s="55" t="s">
        <v>74</v>
      </c>
      <c r="BG483" s="55" t="s">
        <v>74</v>
      </c>
      <c r="BH483" s="52">
        <v>0</v>
      </c>
      <c r="BI483" s="52">
        <v>3948699.51</v>
      </c>
      <c r="BJ483" s="52">
        <v>3948699.51</v>
      </c>
      <c r="BK483" s="56">
        <v>43800</v>
      </c>
      <c r="BL483" s="57">
        <v>3948699.51</v>
      </c>
      <c r="BM483" s="47">
        <v>0</v>
      </c>
      <c r="BN483" s="9"/>
      <c r="BO483" s="9"/>
      <c r="BP483" s="9"/>
      <c r="BQ483" s="9"/>
      <c r="BR483" s="9"/>
      <c r="BS483" s="9"/>
      <c r="BT483" s="9"/>
      <c r="BU483" s="9"/>
      <c r="BV483" s="9"/>
      <c r="BW483" s="9"/>
    </row>
    <row r="484" spans="1:75" ht="77.25" hidden="1" customHeight="1" outlineLevel="2" x14ac:dyDescent="0.25">
      <c r="A484" s="43" t="s">
        <v>346</v>
      </c>
      <c r="B484" s="110" t="s">
        <v>597</v>
      </c>
      <c r="C484" s="45">
        <v>2020</v>
      </c>
      <c r="D484" s="110" t="s">
        <v>73</v>
      </c>
      <c r="E484" s="47">
        <v>0</v>
      </c>
      <c r="F484" s="47">
        <v>0</v>
      </c>
      <c r="G484" s="47">
        <v>0</v>
      </c>
      <c r="H484" s="47">
        <v>0</v>
      </c>
      <c r="I484" s="47">
        <v>0</v>
      </c>
      <c r="J484" s="47">
        <v>0</v>
      </c>
      <c r="K484" s="47">
        <v>5215927.91</v>
      </c>
      <c r="L484" s="47">
        <v>0</v>
      </c>
      <c r="M484" s="47">
        <v>5215927.91</v>
      </c>
      <c r="N484" s="47">
        <v>0</v>
      </c>
      <c r="O484" s="47">
        <v>0</v>
      </c>
      <c r="P484" s="47">
        <v>0</v>
      </c>
      <c r="Q484" s="47">
        <v>0</v>
      </c>
      <c r="R484" s="47">
        <v>0</v>
      </c>
      <c r="S484" s="47">
        <v>0</v>
      </c>
      <c r="T484" s="47">
        <v>0</v>
      </c>
      <c r="U484" s="47">
        <v>0</v>
      </c>
      <c r="V484" s="47">
        <v>0</v>
      </c>
      <c r="W484" s="47">
        <v>0</v>
      </c>
      <c r="X484" s="47">
        <v>0</v>
      </c>
      <c r="Y484" s="48">
        <v>5215927.91</v>
      </c>
      <c r="Z484" s="58">
        <v>1377072.72</v>
      </c>
      <c r="AA484" s="50">
        <v>1377072.72</v>
      </c>
      <c r="AB484" s="50">
        <v>0</v>
      </c>
      <c r="AC484" s="50">
        <v>3334.81</v>
      </c>
      <c r="AD484" s="50">
        <v>59280.9</v>
      </c>
      <c r="AE484" s="50">
        <v>0</v>
      </c>
      <c r="AF484" s="50">
        <v>0</v>
      </c>
      <c r="AG484" s="49">
        <v>1439688.43</v>
      </c>
      <c r="AH484" s="51" t="s">
        <v>104</v>
      </c>
      <c r="AI484" s="51" t="s">
        <v>74</v>
      </c>
      <c r="AJ484" s="51" t="s">
        <v>622</v>
      </c>
      <c r="AK484" s="51" t="s">
        <v>157</v>
      </c>
      <c r="AL484" s="51" t="s">
        <v>74</v>
      </c>
      <c r="AM484" s="51" t="s">
        <v>74</v>
      </c>
      <c r="AN484" s="52">
        <v>0</v>
      </c>
      <c r="AO484" s="52">
        <v>0</v>
      </c>
      <c r="AP484" s="52">
        <v>0</v>
      </c>
      <c r="AQ484" s="52">
        <v>0</v>
      </c>
      <c r="AR484" s="52">
        <v>0</v>
      </c>
      <c r="AS484" s="52">
        <v>0</v>
      </c>
      <c r="AT484" s="53" t="s">
        <v>74</v>
      </c>
      <c r="AU484" s="52">
        <v>0</v>
      </c>
      <c r="AV484" s="52"/>
      <c r="AW484" s="52">
        <v>0</v>
      </c>
      <c r="AX484" s="52"/>
      <c r="AY484" s="52"/>
      <c r="AZ484" s="52">
        <v>0</v>
      </c>
      <c r="BA484" s="52">
        <v>0</v>
      </c>
      <c r="BB484" s="54" t="s">
        <v>74</v>
      </c>
      <c r="BC484" s="53" t="s">
        <v>74</v>
      </c>
      <c r="BD484" s="55" t="s">
        <v>74</v>
      </c>
      <c r="BE484" s="55" t="s">
        <v>74</v>
      </c>
      <c r="BF484" s="55" t="s">
        <v>74</v>
      </c>
      <c r="BG484" s="55" t="s">
        <v>74</v>
      </c>
      <c r="BH484" s="52">
        <v>0</v>
      </c>
      <c r="BI484" s="52">
        <v>3776239.48</v>
      </c>
      <c r="BJ484" s="52">
        <v>3776239.48</v>
      </c>
      <c r="BK484" s="56">
        <v>43831</v>
      </c>
      <c r="BL484" s="57">
        <v>3776239.48</v>
      </c>
      <c r="BM484" s="47">
        <v>0</v>
      </c>
      <c r="BN484" s="9"/>
      <c r="BO484" s="9"/>
      <c r="BP484" s="9"/>
      <c r="BQ484" s="9"/>
      <c r="BR484" s="9"/>
      <c r="BS484" s="9"/>
      <c r="BT484" s="9"/>
      <c r="BU484" s="9"/>
      <c r="BV484" s="9"/>
      <c r="BW484" s="9"/>
    </row>
    <row r="485" spans="1:75" ht="25.5" hidden="1" customHeight="1" outlineLevel="2" x14ac:dyDescent="0.25">
      <c r="A485" s="43" t="s">
        <v>346</v>
      </c>
      <c r="B485" s="110" t="s">
        <v>597</v>
      </c>
      <c r="C485" s="45">
        <v>2020</v>
      </c>
      <c r="D485" s="110" t="s">
        <v>75</v>
      </c>
      <c r="E485" s="47">
        <v>0</v>
      </c>
      <c r="F485" s="47">
        <v>0</v>
      </c>
      <c r="G485" s="47">
        <v>0</v>
      </c>
      <c r="H485" s="47">
        <v>0</v>
      </c>
      <c r="I485" s="47">
        <v>0</v>
      </c>
      <c r="J485" s="47">
        <v>0</v>
      </c>
      <c r="K485" s="47">
        <v>5215927.91</v>
      </c>
      <c r="L485" s="47">
        <v>0</v>
      </c>
      <c r="M485" s="47">
        <v>5215927.91</v>
      </c>
      <c r="N485" s="47">
        <v>649796.53</v>
      </c>
      <c r="O485" s="47">
        <v>0</v>
      </c>
      <c r="P485" s="47">
        <v>0</v>
      </c>
      <c r="Q485" s="47">
        <v>0</v>
      </c>
      <c r="R485" s="47">
        <v>0</v>
      </c>
      <c r="S485" s="47">
        <v>0</v>
      </c>
      <c r="T485" s="47">
        <v>0</v>
      </c>
      <c r="U485" s="47">
        <v>0</v>
      </c>
      <c r="V485" s="47">
        <v>0</v>
      </c>
      <c r="W485" s="47">
        <v>0</v>
      </c>
      <c r="X485" s="47">
        <v>0</v>
      </c>
      <c r="Y485" s="48">
        <v>5865724.4400000004</v>
      </c>
      <c r="Z485" s="58">
        <v>1343739.41</v>
      </c>
      <c r="AA485" s="50">
        <v>1343739.41</v>
      </c>
      <c r="AB485" s="50">
        <v>0</v>
      </c>
      <c r="AC485" s="50">
        <v>0</v>
      </c>
      <c r="AD485" s="62">
        <v>47126.46</v>
      </c>
      <c r="AE485" s="50">
        <v>0</v>
      </c>
      <c r="AF485" s="50">
        <v>0</v>
      </c>
      <c r="AG485" s="49">
        <v>1390865.87</v>
      </c>
      <c r="AH485" s="51" t="s">
        <v>104</v>
      </c>
      <c r="AI485" s="51" t="s">
        <v>74</v>
      </c>
      <c r="AJ485" s="51" t="s">
        <v>74</v>
      </c>
      <c r="AK485" s="51" t="s">
        <v>158</v>
      </c>
      <c r="AL485" s="51" t="s">
        <v>74</v>
      </c>
      <c r="AM485" s="51" t="s">
        <v>74</v>
      </c>
      <c r="AN485" s="52">
        <v>0</v>
      </c>
      <c r="AO485" s="52">
        <v>0</v>
      </c>
      <c r="AP485" s="52">
        <v>0</v>
      </c>
      <c r="AQ485" s="52">
        <v>0</v>
      </c>
      <c r="AR485" s="52">
        <v>0</v>
      </c>
      <c r="AS485" s="52">
        <v>0</v>
      </c>
      <c r="AT485" s="53" t="s">
        <v>74</v>
      </c>
      <c r="AU485" s="52">
        <v>0</v>
      </c>
      <c r="AV485" s="52"/>
      <c r="AW485" s="52">
        <v>0</v>
      </c>
      <c r="AX485" s="52"/>
      <c r="AY485" s="52"/>
      <c r="AZ485" s="52">
        <v>0</v>
      </c>
      <c r="BA485" s="52">
        <v>0</v>
      </c>
      <c r="BB485" s="54" t="s">
        <v>74</v>
      </c>
      <c r="BC485" s="53" t="s">
        <v>74</v>
      </c>
      <c r="BD485" s="55" t="s">
        <v>74</v>
      </c>
      <c r="BE485" s="55" t="s">
        <v>74</v>
      </c>
      <c r="BF485" s="55" t="s">
        <v>74</v>
      </c>
      <c r="BG485" s="55" t="s">
        <v>74</v>
      </c>
      <c r="BH485" s="52">
        <v>0</v>
      </c>
      <c r="BI485" s="52">
        <v>4474858.57</v>
      </c>
      <c r="BJ485" s="52">
        <v>3976244.36</v>
      </c>
      <c r="BK485" s="56">
        <v>43862</v>
      </c>
      <c r="BL485" s="57">
        <v>4474858.57</v>
      </c>
      <c r="BM485" s="47">
        <v>0</v>
      </c>
      <c r="BN485" s="9"/>
      <c r="BO485" s="9"/>
      <c r="BP485" s="9"/>
      <c r="BQ485" s="9"/>
      <c r="BR485" s="9"/>
      <c r="BS485" s="9"/>
      <c r="BT485" s="9"/>
      <c r="BU485" s="9"/>
      <c r="BV485" s="9"/>
      <c r="BW485" s="9"/>
    </row>
    <row r="486" spans="1:75" ht="26.25" hidden="1" customHeight="1" outlineLevel="2" x14ac:dyDescent="0.25">
      <c r="A486" s="43" t="s">
        <v>346</v>
      </c>
      <c r="B486" s="110" t="s">
        <v>597</v>
      </c>
      <c r="C486" s="45">
        <v>2020</v>
      </c>
      <c r="D486" s="110" t="s">
        <v>77</v>
      </c>
      <c r="E486" s="47">
        <v>0</v>
      </c>
      <c r="F486" s="47">
        <v>0</v>
      </c>
      <c r="G486" s="47">
        <v>0</v>
      </c>
      <c r="H486" s="47">
        <v>0</v>
      </c>
      <c r="I486" s="47">
        <v>0</v>
      </c>
      <c r="J486" s="47">
        <v>0</v>
      </c>
      <c r="K486" s="47">
        <v>5215927.91</v>
      </c>
      <c r="L486" s="47">
        <v>0</v>
      </c>
      <c r="M486" s="47">
        <v>5215927.91</v>
      </c>
      <c r="N486" s="47">
        <v>649796.53</v>
      </c>
      <c r="O486" s="47">
        <v>0</v>
      </c>
      <c r="P486" s="47">
        <v>0</v>
      </c>
      <c r="Q486" s="47">
        <v>0</v>
      </c>
      <c r="R486" s="47">
        <v>0</v>
      </c>
      <c r="S486" s="47">
        <v>0</v>
      </c>
      <c r="T486" s="47">
        <v>0</v>
      </c>
      <c r="U486" s="47">
        <v>0</v>
      </c>
      <c r="V486" s="47">
        <v>0</v>
      </c>
      <c r="W486" s="47">
        <v>0</v>
      </c>
      <c r="X486" s="47">
        <v>0</v>
      </c>
      <c r="Y486" s="48">
        <v>5865724.4400000004</v>
      </c>
      <c r="Z486" s="58">
        <v>1551385.56</v>
      </c>
      <c r="AA486" s="50">
        <v>1551385.56</v>
      </c>
      <c r="AB486" s="50">
        <v>0</v>
      </c>
      <c r="AC486" s="50">
        <v>0</v>
      </c>
      <c r="AD486" s="62">
        <v>55713.13</v>
      </c>
      <c r="AE486" s="50">
        <v>0</v>
      </c>
      <c r="AF486" s="50">
        <v>0</v>
      </c>
      <c r="AG486" s="49">
        <v>1607098.69</v>
      </c>
      <c r="AH486" s="51" t="s">
        <v>104</v>
      </c>
      <c r="AI486" s="51" t="s">
        <v>74</v>
      </c>
      <c r="AJ486" s="51" t="s">
        <v>74</v>
      </c>
      <c r="AK486" s="51" t="s">
        <v>313</v>
      </c>
      <c r="AL486" s="51" t="s">
        <v>74</v>
      </c>
      <c r="AM486" s="51" t="s">
        <v>74</v>
      </c>
      <c r="AN486" s="52"/>
      <c r="AO486" s="52"/>
      <c r="AP486" s="52"/>
      <c r="AQ486" s="52"/>
      <c r="AR486" s="52"/>
      <c r="AS486" s="52">
        <v>0</v>
      </c>
      <c r="AT486" s="53">
        <v>0</v>
      </c>
      <c r="AU486" s="52">
        <v>708851.57</v>
      </c>
      <c r="AV486" s="52"/>
      <c r="AW486" s="52">
        <v>0</v>
      </c>
      <c r="AX486" s="52"/>
      <c r="AY486" s="52"/>
      <c r="AZ486" s="52">
        <v>0</v>
      </c>
      <c r="BA486" s="52">
        <v>708851.57</v>
      </c>
      <c r="BB486" s="55" t="s">
        <v>623</v>
      </c>
      <c r="BC486" s="51" t="s">
        <v>74</v>
      </c>
      <c r="BD486" s="54" t="s">
        <v>74</v>
      </c>
      <c r="BE486" s="54" t="s">
        <v>74</v>
      </c>
      <c r="BF486" s="54" t="s">
        <v>74</v>
      </c>
      <c r="BG486" s="54" t="s">
        <v>74</v>
      </c>
      <c r="BH486" s="52">
        <v>708851.57</v>
      </c>
      <c r="BI486" s="52">
        <v>4967477.32</v>
      </c>
      <c r="BJ486" s="52">
        <v>4792880.62</v>
      </c>
      <c r="BK486" s="56">
        <v>43891</v>
      </c>
      <c r="BL486" s="57">
        <v>4967477.32</v>
      </c>
      <c r="BM486" s="47">
        <v>0</v>
      </c>
      <c r="BN486" s="9"/>
      <c r="BO486" s="9"/>
      <c r="BP486" s="9"/>
      <c r="BQ486" s="9"/>
      <c r="BR486" s="9"/>
      <c r="BS486" s="9"/>
      <c r="BT486" s="9"/>
      <c r="BU486" s="9"/>
      <c r="BV486" s="9"/>
      <c r="BW486" s="9"/>
    </row>
    <row r="487" spans="1:75" ht="24" hidden="1" customHeight="1" outlineLevel="2" x14ac:dyDescent="0.25">
      <c r="A487" s="43" t="s">
        <v>346</v>
      </c>
      <c r="B487" s="110" t="s">
        <v>597</v>
      </c>
      <c r="C487" s="45">
        <v>2020</v>
      </c>
      <c r="D487" s="110" t="s">
        <v>79</v>
      </c>
      <c r="E487" s="47">
        <v>0</v>
      </c>
      <c r="F487" s="47">
        <v>0</v>
      </c>
      <c r="G487" s="47">
        <v>0</v>
      </c>
      <c r="H487" s="47">
        <v>0</v>
      </c>
      <c r="I487" s="47">
        <v>0</v>
      </c>
      <c r="J487" s="47">
        <v>0</v>
      </c>
      <c r="K487" s="47">
        <v>5215927.91</v>
      </c>
      <c r="L487" s="47">
        <v>0</v>
      </c>
      <c r="M487" s="47">
        <v>5215927.91</v>
      </c>
      <c r="N487" s="47">
        <v>649796.53</v>
      </c>
      <c r="O487" s="47">
        <v>0</v>
      </c>
      <c r="P487" s="47">
        <v>0</v>
      </c>
      <c r="Q487" s="47">
        <v>0</v>
      </c>
      <c r="R487" s="47">
        <v>0</v>
      </c>
      <c r="S487" s="47">
        <v>0</v>
      </c>
      <c r="T487" s="47">
        <v>0</v>
      </c>
      <c r="U487" s="47">
        <v>0</v>
      </c>
      <c r="V487" s="47">
        <v>0</v>
      </c>
      <c r="W487" s="47">
        <v>0</v>
      </c>
      <c r="X487" s="47">
        <v>0</v>
      </c>
      <c r="Y487" s="48">
        <v>5865724.4400000004</v>
      </c>
      <c r="Z487" s="58">
        <v>1535532.86</v>
      </c>
      <c r="AA487" s="50">
        <v>1535532.86</v>
      </c>
      <c r="AB487" s="50">
        <v>0</v>
      </c>
      <c r="AC487" s="50">
        <v>0</v>
      </c>
      <c r="AD487" s="62">
        <v>48969.54</v>
      </c>
      <c r="AE487" s="50">
        <v>0</v>
      </c>
      <c r="AF487" s="50">
        <v>0</v>
      </c>
      <c r="AG487" s="49">
        <v>1584502.4</v>
      </c>
      <c r="AH487" s="51" t="s">
        <v>104</v>
      </c>
      <c r="AI487" s="51" t="s">
        <v>74</v>
      </c>
      <c r="AJ487" s="51" t="s">
        <v>74</v>
      </c>
      <c r="AK487" s="51" t="s">
        <v>315</v>
      </c>
      <c r="AL487" s="51" t="s">
        <v>74</v>
      </c>
      <c r="AM487" s="51" t="s">
        <v>74</v>
      </c>
      <c r="AN487" s="52"/>
      <c r="AO487" s="52"/>
      <c r="AP487" s="52"/>
      <c r="AQ487" s="52"/>
      <c r="AR487" s="52"/>
      <c r="AS487" s="52">
        <v>0</v>
      </c>
      <c r="AT487" s="53" t="s">
        <v>74</v>
      </c>
      <c r="AU487" s="52">
        <v>9154.51</v>
      </c>
      <c r="AV487" s="52"/>
      <c r="AW487" s="52">
        <v>0</v>
      </c>
      <c r="AX487" s="52"/>
      <c r="AY487" s="52"/>
      <c r="AZ487" s="52">
        <v>0</v>
      </c>
      <c r="BA487" s="52">
        <v>9154.51</v>
      </c>
      <c r="BB487" s="55" t="s">
        <v>624</v>
      </c>
      <c r="BC487" s="51" t="s">
        <v>74</v>
      </c>
      <c r="BD487" s="54" t="s">
        <v>74</v>
      </c>
      <c r="BE487" s="54" t="s">
        <v>74</v>
      </c>
      <c r="BF487" s="54" t="s">
        <v>74</v>
      </c>
      <c r="BG487" s="54" t="s">
        <v>74</v>
      </c>
      <c r="BH487" s="52">
        <v>9154.51</v>
      </c>
      <c r="BI487" s="52">
        <v>4290376.55</v>
      </c>
      <c r="BJ487" s="52">
        <v>4281222.04</v>
      </c>
      <c r="BK487" s="56">
        <v>43922</v>
      </c>
      <c r="BL487" s="57">
        <v>4290376.55</v>
      </c>
      <c r="BM487" s="47">
        <v>0</v>
      </c>
      <c r="BN487" s="9"/>
      <c r="BO487" s="9"/>
      <c r="BP487" s="9"/>
      <c r="BQ487" s="9"/>
      <c r="BR487" s="9"/>
      <c r="BS487" s="9"/>
      <c r="BT487" s="9"/>
      <c r="BU487" s="9"/>
      <c r="BV487" s="9"/>
      <c r="BW487" s="9"/>
    </row>
    <row r="488" spans="1:75" ht="24" hidden="1" customHeight="1" outlineLevel="2" x14ac:dyDescent="0.25">
      <c r="A488" s="43" t="s">
        <v>346</v>
      </c>
      <c r="B488" s="110" t="s">
        <v>597</v>
      </c>
      <c r="C488" s="45">
        <v>2020</v>
      </c>
      <c r="D488" s="110" t="s">
        <v>81</v>
      </c>
      <c r="E488" s="47">
        <v>0</v>
      </c>
      <c r="F488" s="47">
        <v>0</v>
      </c>
      <c r="G488" s="47">
        <v>0</v>
      </c>
      <c r="H488" s="47">
        <v>0</v>
      </c>
      <c r="I488" s="47">
        <v>0</v>
      </c>
      <c r="J488" s="47">
        <v>0</v>
      </c>
      <c r="K488" s="47">
        <v>4172742.33</v>
      </c>
      <c r="L488" s="47">
        <v>0</v>
      </c>
      <c r="M488" s="47">
        <v>4172742.33</v>
      </c>
      <c r="N488" s="47">
        <v>519837.22</v>
      </c>
      <c r="O488" s="47">
        <v>1173531.8400000001</v>
      </c>
      <c r="P488" s="47">
        <v>0</v>
      </c>
      <c r="Q488" s="47">
        <v>0</v>
      </c>
      <c r="R488" s="47">
        <v>0</v>
      </c>
      <c r="S488" s="47">
        <v>0</v>
      </c>
      <c r="T488" s="47">
        <v>0</v>
      </c>
      <c r="U488" s="47">
        <v>0</v>
      </c>
      <c r="V488" s="47">
        <v>0</v>
      </c>
      <c r="W488" s="47">
        <v>0</v>
      </c>
      <c r="X488" s="47">
        <v>0</v>
      </c>
      <c r="Y488" s="48">
        <v>5866111.3899999997</v>
      </c>
      <c r="Z488" s="60">
        <v>1504991.04</v>
      </c>
      <c r="AA488" s="50">
        <v>1504991.04</v>
      </c>
      <c r="AB488" s="50">
        <v>0</v>
      </c>
      <c r="AC488" s="50">
        <v>0</v>
      </c>
      <c r="AD488" s="50">
        <v>55508.46</v>
      </c>
      <c r="AE488" s="50">
        <v>0</v>
      </c>
      <c r="AF488" s="50">
        <v>0</v>
      </c>
      <c r="AG488" s="49">
        <v>1560499.5</v>
      </c>
      <c r="AH488" s="51" t="s">
        <v>104</v>
      </c>
      <c r="AI488" s="51" t="s">
        <v>74</v>
      </c>
      <c r="AJ488" s="51" t="s">
        <v>74</v>
      </c>
      <c r="AK488" s="51" t="s">
        <v>162</v>
      </c>
      <c r="AL488" s="51" t="s">
        <v>74</v>
      </c>
      <c r="AM488" s="51" t="s">
        <v>74</v>
      </c>
      <c r="AN488" s="52"/>
      <c r="AO488" s="52"/>
      <c r="AP488" s="52"/>
      <c r="AQ488" s="52"/>
      <c r="AR488" s="52"/>
      <c r="AS488" s="52">
        <v>0</v>
      </c>
      <c r="AT488" s="53" t="s">
        <v>74</v>
      </c>
      <c r="AU488" s="52">
        <v>0</v>
      </c>
      <c r="AV488" s="52"/>
      <c r="AW488" s="52">
        <v>980000</v>
      </c>
      <c r="AX488" s="52"/>
      <c r="AY488" s="52"/>
      <c r="AZ488" s="52">
        <v>0</v>
      </c>
      <c r="BA488" s="52">
        <v>980000</v>
      </c>
      <c r="BB488" s="54" t="s">
        <v>74</v>
      </c>
      <c r="BC488" s="53" t="s">
        <v>74</v>
      </c>
      <c r="BD488" s="55" t="s">
        <v>625</v>
      </c>
      <c r="BE488" s="55" t="s">
        <v>74</v>
      </c>
      <c r="BF488" s="55" t="s">
        <v>74</v>
      </c>
      <c r="BG488" s="55" t="s">
        <v>74</v>
      </c>
      <c r="BH488" s="52">
        <v>980000</v>
      </c>
      <c r="BI488" s="52">
        <v>5285611.8899999997</v>
      </c>
      <c r="BJ488" s="52">
        <v>4305611.8899999997</v>
      </c>
      <c r="BK488" s="56">
        <v>43952</v>
      </c>
      <c r="BL488" s="57">
        <v>5285611.8899999997</v>
      </c>
      <c r="BM488" s="47">
        <v>0</v>
      </c>
      <c r="BN488" s="9"/>
      <c r="BO488" s="9"/>
      <c r="BP488" s="9"/>
      <c r="BQ488" s="9"/>
      <c r="BR488" s="9"/>
      <c r="BS488" s="9"/>
      <c r="BT488" s="9"/>
      <c r="BU488" s="9"/>
      <c r="BV488" s="9"/>
      <c r="BW488" s="9"/>
    </row>
    <row r="489" spans="1:75" ht="24" hidden="1" customHeight="1" outlineLevel="2" x14ac:dyDescent="0.25">
      <c r="A489" s="43" t="s">
        <v>346</v>
      </c>
      <c r="B489" s="110" t="s">
        <v>597</v>
      </c>
      <c r="C489" s="45">
        <v>2020</v>
      </c>
      <c r="D489" s="110" t="s">
        <v>83</v>
      </c>
      <c r="E489" s="47">
        <v>0</v>
      </c>
      <c r="F489" s="47">
        <v>0</v>
      </c>
      <c r="G489" s="47">
        <v>0</v>
      </c>
      <c r="H489" s="47">
        <v>0</v>
      </c>
      <c r="I489" s="47">
        <v>0</v>
      </c>
      <c r="J489" s="47">
        <v>0</v>
      </c>
      <c r="K489" s="47">
        <v>0</v>
      </c>
      <c r="L489" s="47">
        <v>0</v>
      </c>
      <c r="M489" s="47">
        <v>0</v>
      </c>
      <c r="N489" s="47">
        <v>0</v>
      </c>
      <c r="O489" s="175">
        <v>5867659.2199999997</v>
      </c>
      <c r="P489" s="47">
        <v>0</v>
      </c>
      <c r="Q489" s="47">
        <v>0</v>
      </c>
      <c r="R489" s="47">
        <v>0</v>
      </c>
      <c r="S489" s="47">
        <v>0</v>
      </c>
      <c r="T489" s="47">
        <v>0</v>
      </c>
      <c r="U489" s="47">
        <v>0</v>
      </c>
      <c r="V489" s="47">
        <v>0</v>
      </c>
      <c r="W489" s="47">
        <v>0</v>
      </c>
      <c r="X489" s="47">
        <v>0</v>
      </c>
      <c r="Y489" s="48">
        <v>5867659.2199999997</v>
      </c>
      <c r="Z489" s="58">
        <v>1600742.84</v>
      </c>
      <c r="AA489" s="50">
        <v>1600742.84</v>
      </c>
      <c r="AB489" s="50">
        <v>0</v>
      </c>
      <c r="AC489" s="50">
        <v>0</v>
      </c>
      <c r="AD489" s="62">
        <v>47410.400000000001</v>
      </c>
      <c r="AE489" s="50">
        <v>0</v>
      </c>
      <c r="AF489" s="50">
        <v>0</v>
      </c>
      <c r="AG489" s="49">
        <v>1648153.24</v>
      </c>
      <c r="AH489" s="51" t="s">
        <v>104</v>
      </c>
      <c r="AI489" s="51" t="s">
        <v>74</v>
      </c>
      <c r="AJ489" s="51" t="s">
        <v>74</v>
      </c>
      <c r="AK489" s="51" t="s">
        <v>163</v>
      </c>
      <c r="AL489" s="51" t="s">
        <v>74</v>
      </c>
      <c r="AM489" s="51" t="s">
        <v>74</v>
      </c>
      <c r="AN489" s="52"/>
      <c r="AO489" s="52"/>
      <c r="AP489" s="52"/>
      <c r="AQ489" s="52"/>
      <c r="AR489" s="52"/>
      <c r="AS489" s="52">
        <v>0</v>
      </c>
      <c r="AT489" s="53" t="s">
        <v>74</v>
      </c>
      <c r="AU489" s="59">
        <v>271576.90000000002</v>
      </c>
      <c r="AV489" s="52"/>
      <c r="AW489" s="59">
        <v>694746.25</v>
      </c>
      <c r="AX489" s="52"/>
      <c r="AY489" s="52"/>
      <c r="AZ489" s="52">
        <v>0</v>
      </c>
      <c r="BA489" s="52">
        <v>966323.15</v>
      </c>
      <c r="BB489" s="53" t="s">
        <v>626</v>
      </c>
      <c r="BC489" s="53" t="s">
        <v>74</v>
      </c>
      <c r="BD489" s="55" t="s">
        <v>627</v>
      </c>
      <c r="BE489" s="55" t="s">
        <v>74</v>
      </c>
      <c r="BF489" s="55" t="s">
        <v>74</v>
      </c>
      <c r="BG489" s="55" t="s">
        <v>74</v>
      </c>
      <c r="BH489" s="52">
        <v>966323.15</v>
      </c>
      <c r="BI489" s="52">
        <v>5185829.13</v>
      </c>
      <c r="BJ489" s="52">
        <v>4219505.9800000004</v>
      </c>
      <c r="BK489" s="56">
        <v>43983</v>
      </c>
      <c r="BL489" s="57">
        <v>5185829.13</v>
      </c>
      <c r="BM489" s="47">
        <v>0</v>
      </c>
      <c r="BN489" s="9"/>
      <c r="BO489" s="9"/>
      <c r="BP489" s="9"/>
      <c r="BQ489" s="9"/>
      <c r="BR489" s="9"/>
      <c r="BS489" s="9"/>
      <c r="BT489" s="9"/>
      <c r="BU489" s="9"/>
      <c r="BV489" s="9"/>
      <c r="BW489" s="9"/>
    </row>
    <row r="490" spans="1:75" ht="24" hidden="1" customHeight="1" outlineLevel="2" x14ac:dyDescent="0.25">
      <c r="A490" s="43" t="s">
        <v>346</v>
      </c>
      <c r="B490" s="110" t="s">
        <v>597</v>
      </c>
      <c r="C490" s="45">
        <v>2020</v>
      </c>
      <c r="D490" s="110" t="s">
        <v>84</v>
      </c>
      <c r="E490" s="47">
        <v>0</v>
      </c>
      <c r="F490" s="47">
        <v>0</v>
      </c>
      <c r="G490" s="47">
        <v>0</v>
      </c>
      <c r="H490" s="47">
        <v>0</v>
      </c>
      <c r="I490" s="47">
        <v>0</v>
      </c>
      <c r="J490" s="47">
        <v>0</v>
      </c>
      <c r="K490" s="47">
        <v>0</v>
      </c>
      <c r="L490" s="47">
        <v>0</v>
      </c>
      <c r="M490" s="47">
        <v>0</v>
      </c>
      <c r="N490" s="47">
        <v>0</v>
      </c>
      <c r="O490" s="175">
        <v>5867659.2199999997</v>
      </c>
      <c r="P490" s="47">
        <v>0</v>
      </c>
      <c r="Q490" s="47">
        <v>0</v>
      </c>
      <c r="R490" s="47">
        <v>0</v>
      </c>
      <c r="S490" s="47">
        <v>0</v>
      </c>
      <c r="T490" s="47">
        <v>0</v>
      </c>
      <c r="U490" s="47">
        <v>0</v>
      </c>
      <c r="V490" s="47">
        <v>0</v>
      </c>
      <c r="W490" s="47">
        <v>0</v>
      </c>
      <c r="X490" s="47">
        <v>0</v>
      </c>
      <c r="Y490" s="48">
        <v>5867659.2199999997</v>
      </c>
      <c r="Z490" s="60">
        <v>1546567.18</v>
      </c>
      <c r="AA490" s="50">
        <v>1546567.18</v>
      </c>
      <c r="AB490" s="50">
        <v>0</v>
      </c>
      <c r="AC490" s="50">
        <v>0</v>
      </c>
      <c r="AD490" s="62">
        <v>44977.2</v>
      </c>
      <c r="AE490" s="50">
        <v>0</v>
      </c>
      <c r="AF490" s="50">
        <v>0</v>
      </c>
      <c r="AG490" s="49">
        <v>1591544.38</v>
      </c>
      <c r="AH490" s="51" t="s">
        <v>104</v>
      </c>
      <c r="AI490" s="51" t="s">
        <v>74</v>
      </c>
      <c r="AJ490" s="51" t="s">
        <v>74</v>
      </c>
      <c r="AK490" s="51" t="s">
        <v>165</v>
      </c>
      <c r="AL490" s="51" t="s">
        <v>74</v>
      </c>
      <c r="AM490" s="51" t="s">
        <v>74</v>
      </c>
      <c r="AN490" s="52"/>
      <c r="AO490" s="52"/>
      <c r="AP490" s="52"/>
      <c r="AQ490" s="52"/>
      <c r="AR490" s="52"/>
      <c r="AS490" s="52">
        <v>0</v>
      </c>
      <c r="AT490" s="53" t="s">
        <v>74</v>
      </c>
      <c r="AU490" s="59">
        <v>100294.73</v>
      </c>
      <c r="AV490" s="52"/>
      <c r="AW490" s="59">
        <v>345600</v>
      </c>
      <c r="AX490" s="52"/>
      <c r="AY490" s="52"/>
      <c r="AZ490" s="52">
        <v>0</v>
      </c>
      <c r="BA490" s="52">
        <v>445894.73</v>
      </c>
      <c r="BB490" s="53" t="s">
        <v>628</v>
      </c>
      <c r="BC490" s="53" t="s">
        <v>74</v>
      </c>
      <c r="BD490" s="55" t="s">
        <v>629</v>
      </c>
      <c r="BE490" s="55" t="s">
        <v>74</v>
      </c>
      <c r="BF490" s="55" t="s">
        <v>74</v>
      </c>
      <c r="BG490" s="55" t="s">
        <v>74</v>
      </c>
      <c r="BH490" s="52">
        <v>445894.73</v>
      </c>
      <c r="BI490" s="52">
        <v>4722009.57</v>
      </c>
      <c r="BJ490" s="52">
        <v>4276114.84</v>
      </c>
      <c r="BK490" s="56">
        <v>44013</v>
      </c>
      <c r="BL490" s="57">
        <v>4722009.57</v>
      </c>
      <c r="BM490" s="47">
        <v>0</v>
      </c>
      <c r="BN490" s="9"/>
      <c r="BO490" s="9"/>
      <c r="BP490" s="9"/>
      <c r="BQ490" s="9"/>
      <c r="BR490" s="9"/>
      <c r="BS490" s="9"/>
      <c r="BT490" s="9"/>
      <c r="BU490" s="9"/>
      <c r="BV490" s="9"/>
      <c r="BW490" s="9"/>
    </row>
    <row r="491" spans="1:75" ht="24" hidden="1" customHeight="1" outlineLevel="2" x14ac:dyDescent="0.25">
      <c r="A491" s="43" t="s">
        <v>346</v>
      </c>
      <c r="B491" s="110" t="s">
        <v>597</v>
      </c>
      <c r="C491" s="45">
        <v>2020</v>
      </c>
      <c r="D491" s="110" t="s">
        <v>86</v>
      </c>
      <c r="E491" s="47">
        <v>0</v>
      </c>
      <c r="F491" s="47">
        <v>0</v>
      </c>
      <c r="G491" s="47">
        <v>0</v>
      </c>
      <c r="H491" s="47">
        <v>0</v>
      </c>
      <c r="I491" s="47">
        <v>0</v>
      </c>
      <c r="J491" s="47">
        <v>0</v>
      </c>
      <c r="K491" s="47">
        <v>0</v>
      </c>
      <c r="L491" s="47">
        <v>0</v>
      </c>
      <c r="M491" s="47">
        <v>0</v>
      </c>
      <c r="N491" s="47">
        <v>0</v>
      </c>
      <c r="O491" s="175">
        <v>5867659.2199999997</v>
      </c>
      <c r="P491" s="47">
        <v>0</v>
      </c>
      <c r="Q491" s="47">
        <v>0</v>
      </c>
      <c r="R491" s="47">
        <v>0</v>
      </c>
      <c r="S491" s="47">
        <v>0</v>
      </c>
      <c r="T491" s="47">
        <v>0</v>
      </c>
      <c r="U491" s="47">
        <v>0</v>
      </c>
      <c r="V491" s="47">
        <v>0</v>
      </c>
      <c r="W491" s="47">
        <v>0</v>
      </c>
      <c r="X491" s="47">
        <v>0</v>
      </c>
      <c r="Y491" s="48">
        <v>5867659.2199999997</v>
      </c>
      <c r="Z491" s="65">
        <v>1588496.18</v>
      </c>
      <c r="AA491" s="61">
        <v>1588496.18</v>
      </c>
      <c r="AB491" s="50">
        <v>0</v>
      </c>
      <c r="AC491" s="62">
        <v>3218.91</v>
      </c>
      <c r="AD491" s="62">
        <v>44235.02</v>
      </c>
      <c r="AE491" s="50">
        <v>0</v>
      </c>
      <c r="AF491" s="50">
        <v>0</v>
      </c>
      <c r="AG491" s="49">
        <v>1635950.11</v>
      </c>
      <c r="AH491" s="51" t="s">
        <v>104</v>
      </c>
      <c r="AI491" s="51" t="s">
        <v>74</v>
      </c>
      <c r="AJ491" s="51" t="s">
        <v>167</v>
      </c>
      <c r="AK491" s="51" t="s">
        <v>168</v>
      </c>
      <c r="AL491" s="51" t="s">
        <v>74</v>
      </c>
      <c r="AM491" s="51" t="s">
        <v>74</v>
      </c>
      <c r="AN491" s="52">
        <v>0</v>
      </c>
      <c r="AO491" s="52">
        <v>0</v>
      </c>
      <c r="AP491" s="52">
        <v>0</v>
      </c>
      <c r="AQ491" s="52">
        <v>0</v>
      </c>
      <c r="AR491" s="52">
        <v>0</v>
      </c>
      <c r="AS491" s="52">
        <v>0</v>
      </c>
      <c r="AT491" s="53" t="s">
        <v>74</v>
      </c>
      <c r="AU491" s="52">
        <v>0</v>
      </c>
      <c r="AV491" s="52"/>
      <c r="AW491" s="52">
        <v>0</v>
      </c>
      <c r="AX491" s="52"/>
      <c r="AY491" s="52"/>
      <c r="AZ491" s="52">
        <v>0</v>
      </c>
      <c r="BA491" s="52">
        <v>0</v>
      </c>
      <c r="BB491" s="54" t="s">
        <v>74</v>
      </c>
      <c r="BC491" s="53" t="s">
        <v>74</v>
      </c>
      <c r="BD491" s="55" t="s">
        <v>74</v>
      </c>
      <c r="BE491" s="55" t="s">
        <v>74</v>
      </c>
      <c r="BF491" s="55" t="s">
        <v>74</v>
      </c>
      <c r="BG491" s="55" t="s">
        <v>74</v>
      </c>
      <c r="BH491" s="52">
        <v>0</v>
      </c>
      <c r="BI491" s="52">
        <v>4231709.1100000003</v>
      </c>
      <c r="BJ491" s="52">
        <v>4231709.1100000003</v>
      </c>
      <c r="BK491" s="56">
        <v>44044</v>
      </c>
      <c r="BL491" s="63">
        <v>4231709.1100000003</v>
      </c>
      <c r="BM491" s="47">
        <v>0</v>
      </c>
      <c r="BN491" s="9"/>
      <c r="BO491" s="9"/>
      <c r="BP491" s="9"/>
      <c r="BQ491" s="9"/>
      <c r="BR491" s="9"/>
      <c r="BS491" s="9"/>
      <c r="BT491" s="9"/>
      <c r="BU491" s="9"/>
      <c r="BV491" s="9"/>
      <c r="BW491" s="9"/>
    </row>
    <row r="492" spans="1:75" ht="24" hidden="1" customHeight="1" outlineLevel="2" x14ac:dyDescent="0.25">
      <c r="A492" s="43" t="s">
        <v>346</v>
      </c>
      <c r="B492" s="110" t="s">
        <v>597</v>
      </c>
      <c r="C492" s="45">
        <v>2020</v>
      </c>
      <c r="D492" s="110" t="s">
        <v>88</v>
      </c>
      <c r="E492" s="47">
        <v>0</v>
      </c>
      <c r="F492" s="47">
        <v>0</v>
      </c>
      <c r="G492" s="47">
        <v>0</v>
      </c>
      <c r="H492" s="47">
        <v>0</v>
      </c>
      <c r="I492" s="47">
        <v>0</v>
      </c>
      <c r="J492" s="47">
        <v>0</v>
      </c>
      <c r="K492" s="47">
        <v>0</v>
      </c>
      <c r="L492" s="47">
        <v>0</v>
      </c>
      <c r="M492" s="47">
        <v>0</v>
      </c>
      <c r="N492" s="47">
        <v>0</v>
      </c>
      <c r="O492" s="175">
        <v>5867659.2199999997</v>
      </c>
      <c r="P492" s="47">
        <v>0</v>
      </c>
      <c r="Q492" s="47">
        <v>0</v>
      </c>
      <c r="R492" s="47">
        <v>0</v>
      </c>
      <c r="S492" s="47">
        <v>0</v>
      </c>
      <c r="T492" s="47">
        <v>0</v>
      </c>
      <c r="U492" s="47">
        <v>0</v>
      </c>
      <c r="V492" s="47">
        <v>0</v>
      </c>
      <c r="W492" s="47">
        <v>0</v>
      </c>
      <c r="X492" s="47">
        <v>0</v>
      </c>
      <c r="Y492" s="48">
        <v>5867659.2199999997</v>
      </c>
      <c r="Z492" s="66">
        <v>1494251.34</v>
      </c>
      <c r="AA492" s="62">
        <v>1494251.34</v>
      </c>
      <c r="AB492" s="50">
        <v>0</v>
      </c>
      <c r="AC492" s="62">
        <v>3163.01</v>
      </c>
      <c r="AD492" s="62">
        <v>44966.64</v>
      </c>
      <c r="AE492" s="50">
        <v>0</v>
      </c>
      <c r="AF492" s="50">
        <v>0</v>
      </c>
      <c r="AG492" s="49">
        <v>1542380.99</v>
      </c>
      <c r="AH492" s="51" t="s">
        <v>104</v>
      </c>
      <c r="AI492" s="51" t="s">
        <v>74</v>
      </c>
      <c r="AJ492" s="51" t="s">
        <v>169</v>
      </c>
      <c r="AK492" s="51" t="s">
        <v>170</v>
      </c>
      <c r="AL492" s="51" t="s">
        <v>74</v>
      </c>
      <c r="AM492" s="51" t="s">
        <v>74</v>
      </c>
      <c r="AN492" s="52">
        <v>0</v>
      </c>
      <c r="AO492" s="52">
        <v>0</v>
      </c>
      <c r="AP492" s="52">
        <v>0</v>
      </c>
      <c r="AQ492" s="52">
        <v>0</v>
      </c>
      <c r="AR492" s="52">
        <v>0</v>
      </c>
      <c r="AS492" s="52">
        <v>0</v>
      </c>
      <c r="AT492" s="53" t="s">
        <v>74</v>
      </c>
      <c r="AU492" s="52">
        <v>0</v>
      </c>
      <c r="AV492" s="52"/>
      <c r="AW492" s="52">
        <v>0</v>
      </c>
      <c r="AX492" s="52"/>
      <c r="AY492" s="52"/>
      <c r="AZ492" s="52">
        <v>0</v>
      </c>
      <c r="BA492" s="52">
        <v>0</v>
      </c>
      <c r="BB492" s="54" t="s">
        <v>74</v>
      </c>
      <c r="BC492" s="53" t="s">
        <v>74</v>
      </c>
      <c r="BD492" s="55" t="s">
        <v>74</v>
      </c>
      <c r="BE492" s="55" t="s">
        <v>74</v>
      </c>
      <c r="BF492" s="55" t="s">
        <v>74</v>
      </c>
      <c r="BG492" s="55" t="s">
        <v>74</v>
      </c>
      <c r="BH492" s="52">
        <v>0</v>
      </c>
      <c r="BI492" s="52">
        <v>4325278.2300000004</v>
      </c>
      <c r="BJ492" s="52">
        <v>4325278.2300000004</v>
      </c>
      <c r="BK492" s="56">
        <v>44075</v>
      </c>
      <c r="BL492" s="63">
        <v>4325278.2300000004</v>
      </c>
      <c r="BM492" s="47">
        <v>0</v>
      </c>
      <c r="BN492" s="9"/>
      <c r="BO492" s="9"/>
      <c r="BP492" s="9"/>
      <c r="BQ492" s="9"/>
      <c r="BR492" s="9"/>
      <c r="BS492" s="9"/>
      <c r="BT492" s="9"/>
      <c r="BU492" s="9"/>
      <c r="BV492" s="9"/>
      <c r="BW492" s="9"/>
    </row>
    <row r="493" spans="1:75" ht="61.5" hidden="1" customHeight="1" outlineLevel="2" x14ac:dyDescent="0.25">
      <c r="A493" s="43" t="s">
        <v>346</v>
      </c>
      <c r="B493" s="110" t="s">
        <v>597</v>
      </c>
      <c r="C493" s="45">
        <v>2020</v>
      </c>
      <c r="D493" s="110" t="s">
        <v>89</v>
      </c>
      <c r="E493" s="47">
        <v>0</v>
      </c>
      <c r="F493" s="47">
        <v>0</v>
      </c>
      <c r="G493" s="47">
        <v>0</v>
      </c>
      <c r="H493" s="47">
        <v>0</v>
      </c>
      <c r="I493" s="47">
        <v>0</v>
      </c>
      <c r="J493" s="47">
        <v>0</v>
      </c>
      <c r="K493" s="47">
        <v>0</v>
      </c>
      <c r="L493" s="47">
        <v>0</v>
      </c>
      <c r="M493" s="47">
        <v>0</v>
      </c>
      <c r="N493" s="47">
        <v>0</v>
      </c>
      <c r="O493" s="175">
        <v>5867659.2199999997</v>
      </c>
      <c r="P493" s="47">
        <v>0</v>
      </c>
      <c r="Q493" s="47">
        <v>0</v>
      </c>
      <c r="R493" s="47">
        <v>0</v>
      </c>
      <c r="S493" s="47">
        <v>0</v>
      </c>
      <c r="T493" s="47">
        <v>0</v>
      </c>
      <c r="U493" s="47">
        <v>0</v>
      </c>
      <c r="V493" s="47">
        <v>0</v>
      </c>
      <c r="W493" s="47">
        <v>0</v>
      </c>
      <c r="X493" s="47">
        <v>0</v>
      </c>
      <c r="Y493" s="48">
        <v>5867659.2199999997</v>
      </c>
      <c r="Z493" s="66">
        <v>1557240.69</v>
      </c>
      <c r="AA493" s="62">
        <v>1557240.69</v>
      </c>
      <c r="AB493" s="50">
        <v>0</v>
      </c>
      <c r="AC493" s="62">
        <v>18707.849999999999</v>
      </c>
      <c r="AD493" s="62">
        <v>53088.4</v>
      </c>
      <c r="AE493" s="50">
        <v>0</v>
      </c>
      <c r="AF493" s="50">
        <v>0</v>
      </c>
      <c r="AG493" s="49">
        <v>1629036.94</v>
      </c>
      <c r="AH493" s="51" t="s">
        <v>104</v>
      </c>
      <c r="AI493" s="51" t="s">
        <v>74</v>
      </c>
      <c r="AJ493" s="51" t="s">
        <v>171</v>
      </c>
      <c r="AK493" s="51" t="s">
        <v>172</v>
      </c>
      <c r="AL493" s="51" t="s">
        <v>74</v>
      </c>
      <c r="AM493" s="51" t="s">
        <v>74</v>
      </c>
      <c r="AN493" s="52">
        <v>0</v>
      </c>
      <c r="AO493" s="52">
        <v>0</v>
      </c>
      <c r="AP493" s="52">
        <v>0</v>
      </c>
      <c r="AQ493" s="52">
        <v>0</v>
      </c>
      <c r="AR493" s="52">
        <v>0</v>
      </c>
      <c r="AS493" s="52">
        <v>0</v>
      </c>
      <c r="AT493" s="53" t="s">
        <v>74</v>
      </c>
      <c r="AU493" s="52">
        <v>0</v>
      </c>
      <c r="AV493" s="52"/>
      <c r="AW493" s="52">
        <v>0</v>
      </c>
      <c r="AX493" s="52"/>
      <c r="AY493" s="52"/>
      <c r="AZ493" s="52">
        <v>0</v>
      </c>
      <c r="BA493" s="52">
        <v>0</v>
      </c>
      <c r="BB493" s="54" t="s">
        <v>74</v>
      </c>
      <c r="BC493" s="53" t="s">
        <v>74</v>
      </c>
      <c r="BD493" s="55" t="s">
        <v>74</v>
      </c>
      <c r="BE493" s="55" t="s">
        <v>74</v>
      </c>
      <c r="BF493" s="55" t="s">
        <v>74</v>
      </c>
      <c r="BG493" s="55" t="s">
        <v>74</v>
      </c>
      <c r="BH493" s="52">
        <v>0</v>
      </c>
      <c r="BI493" s="52">
        <v>4238622.28</v>
      </c>
      <c r="BJ493" s="52">
        <v>4238622.28</v>
      </c>
      <c r="BK493" s="56">
        <v>44105</v>
      </c>
      <c r="BL493" s="63">
        <v>4238622.28</v>
      </c>
      <c r="BM493" s="47">
        <v>0</v>
      </c>
      <c r="BN493" s="9"/>
      <c r="BO493" s="9"/>
      <c r="BP493" s="9"/>
      <c r="BQ493" s="9"/>
      <c r="BR493" s="9"/>
      <c r="BS493" s="9"/>
      <c r="BT493" s="9"/>
      <c r="BU493" s="9"/>
      <c r="BV493" s="9"/>
      <c r="BW493" s="9"/>
    </row>
    <row r="494" spans="1:75" ht="24" hidden="1" customHeight="1" outlineLevel="2" x14ac:dyDescent="0.25">
      <c r="A494" s="43" t="s">
        <v>346</v>
      </c>
      <c r="B494" s="110" t="s">
        <v>597</v>
      </c>
      <c r="C494" s="45">
        <v>2020</v>
      </c>
      <c r="D494" s="110" t="s">
        <v>90</v>
      </c>
      <c r="E494" s="47">
        <v>0</v>
      </c>
      <c r="F494" s="47">
        <v>0</v>
      </c>
      <c r="G494" s="47">
        <v>0</v>
      </c>
      <c r="H494" s="47">
        <v>0</v>
      </c>
      <c r="I494" s="47">
        <v>0</v>
      </c>
      <c r="J494" s="47">
        <v>0</v>
      </c>
      <c r="K494" s="47">
        <v>0</v>
      </c>
      <c r="L494" s="47">
        <v>0</v>
      </c>
      <c r="M494" s="47">
        <v>0</v>
      </c>
      <c r="N494" s="47">
        <v>0</v>
      </c>
      <c r="O494" s="175">
        <v>5867659.2199999997</v>
      </c>
      <c r="P494" s="47">
        <v>0</v>
      </c>
      <c r="Q494" s="47">
        <v>0</v>
      </c>
      <c r="R494" s="47">
        <v>0</v>
      </c>
      <c r="S494" s="47">
        <v>0</v>
      </c>
      <c r="T494" s="47">
        <v>0</v>
      </c>
      <c r="U494" s="47">
        <v>0</v>
      </c>
      <c r="V494" s="47">
        <v>0</v>
      </c>
      <c r="W494" s="47">
        <v>0</v>
      </c>
      <c r="X494" s="47">
        <v>0</v>
      </c>
      <c r="Y494" s="48">
        <v>5867659.2199999997</v>
      </c>
      <c r="Z494" s="66">
        <v>1547156.74</v>
      </c>
      <c r="AA494" s="62">
        <v>1547156.74</v>
      </c>
      <c r="AB494" s="50">
        <v>0</v>
      </c>
      <c r="AC494" s="62">
        <v>3053.87</v>
      </c>
      <c r="AD494" s="62">
        <v>59712.55</v>
      </c>
      <c r="AE494" s="50">
        <v>0</v>
      </c>
      <c r="AF494" s="50">
        <v>0</v>
      </c>
      <c r="AG494" s="49">
        <v>1609923.16</v>
      </c>
      <c r="AH494" s="51" t="s">
        <v>173</v>
      </c>
      <c r="AI494" s="51" t="s">
        <v>74</v>
      </c>
      <c r="AJ494" s="51" t="s">
        <v>174</v>
      </c>
      <c r="AK494" s="51" t="s">
        <v>175</v>
      </c>
      <c r="AL494" s="51" t="s">
        <v>74</v>
      </c>
      <c r="AM494" s="51" t="s">
        <v>74</v>
      </c>
      <c r="AN494" s="52">
        <v>0</v>
      </c>
      <c r="AO494" s="52">
        <v>0</v>
      </c>
      <c r="AP494" s="52">
        <v>0</v>
      </c>
      <c r="AQ494" s="52">
        <v>0</v>
      </c>
      <c r="AR494" s="52">
        <v>0</v>
      </c>
      <c r="AS494" s="52">
        <v>0</v>
      </c>
      <c r="AT494" s="53" t="s">
        <v>74</v>
      </c>
      <c r="AU494" s="52">
        <v>0</v>
      </c>
      <c r="AV494" s="52"/>
      <c r="AW494" s="52">
        <v>0</v>
      </c>
      <c r="AX494" s="52"/>
      <c r="AY494" s="52"/>
      <c r="AZ494" s="52">
        <v>0</v>
      </c>
      <c r="BA494" s="52">
        <v>0</v>
      </c>
      <c r="BB494" s="54" t="s">
        <v>74</v>
      </c>
      <c r="BC494" s="53" t="s">
        <v>74</v>
      </c>
      <c r="BD494" s="55" t="s">
        <v>74</v>
      </c>
      <c r="BE494" s="55" t="s">
        <v>74</v>
      </c>
      <c r="BF494" s="55" t="s">
        <v>74</v>
      </c>
      <c r="BG494" s="55" t="s">
        <v>74</v>
      </c>
      <c r="BH494" s="52">
        <v>0</v>
      </c>
      <c r="BI494" s="52">
        <v>4257736.0599999996</v>
      </c>
      <c r="BJ494" s="52">
        <v>4257736.0599999996</v>
      </c>
      <c r="BK494" s="56">
        <v>44136</v>
      </c>
      <c r="BL494" s="63">
        <v>4257736.0599999996</v>
      </c>
      <c r="BM494" s="47">
        <v>0</v>
      </c>
      <c r="BN494" s="9"/>
      <c r="BO494" s="9"/>
      <c r="BP494" s="9"/>
      <c r="BQ494" s="9"/>
      <c r="BR494" s="9"/>
      <c r="BS494" s="9"/>
      <c r="BT494" s="9"/>
      <c r="BU494" s="9"/>
      <c r="BV494" s="9"/>
      <c r="BW494" s="9"/>
    </row>
    <row r="495" spans="1:75" ht="24" hidden="1" customHeight="1" outlineLevel="2" x14ac:dyDescent="0.25">
      <c r="A495" s="43" t="s">
        <v>346</v>
      </c>
      <c r="B495" s="110" t="s">
        <v>597</v>
      </c>
      <c r="C495" s="45">
        <v>2020</v>
      </c>
      <c r="D495" s="110" t="s">
        <v>93</v>
      </c>
      <c r="E495" s="47">
        <v>0</v>
      </c>
      <c r="F495" s="47">
        <v>0</v>
      </c>
      <c r="G495" s="47">
        <v>0</v>
      </c>
      <c r="H495" s="47">
        <v>0</v>
      </c>
      <c r="I495" s="47">
        <v>0</v>
      </c>
      <c r="J495" s="47">
        <v>0</v>
      </c>
      <c r="K495" s="47">
        <v>0</v>
      </c>
      <c r="L495" s="47">
        <v>0</v>
      </c>
      <c r="M495" s="47">
        <v>0</v>
      </c>
      <c r="N495" s="47">
        <v>0</v>
      </c>
      <c r="O495" s="175">
        <v>5867659.2199999997</v>
      </c>
      <c r="P495" s="47">
        <v>0</v>
      </c>
      <c r="Q495" s="47">
        <v>0</v>
      </c>
      <c r="R495" s="47">
        <v>0</v>
      </c>
      <c r="S495" s="47">
        <v>0</v>
      </c>
      <c r="T495" s="47">
        <v>0</v>
      </c>
      <c r="U495" s="47">
        <v>0</v>
      </c>
      <c r="V495" s="47">
        <v>0</v>
      </c>
      <c r="W495" s="47">
        <v>0</v>
      </c>
      <c r="X495" s="47">
        <v>0</v>
      </c>
      <c r="Y495" s="48">
        <v>5867659.2199999997</v>
      </c>
      <c r="Z495" s="67">
        <v>1521784.16</v>
      </c>
      <c r="AA495" s="62">
        <v>1521784.16</v>
      </c>
      <c r="AB495" s="50">
        <v>0</v>
      </c>
      <c r="AC495" s="62">
        <v>3035.47</v>
      </c>
      <c r="AD495" s="62">
        <v>121421.75999999999</v>
      </c>
      <c r="AE495" s="50">
        <v>0</v>
      </c>
      <c r="AF495" s="50">
        <v>0</v>
      </c>
      <c r="AG495" s="49">
        <v>1646241.39</v>
      </c>
      <c r="AH495" s="51" t="s">
        <v>104</v>
      </c>
      <c r="AI495" s="51" t="s">
        <v>74</v>
      </c>
      <c r="AJ495" s="51" t="s">
        <v>176</v>
      </c>
      <c r="AK495" s="51" t="s">
        <v>458</v>
      </c>
      <c r="AL495" s="51" t="s">
        <v>74</v>
      </c>
      <c r="AM495" s="51" t="s">
        <v>74</v>
      </c>
      <c r="AN495" s="52"/>
      <c r="AO495" s="52"/>
      <c r="AP495" s="52"/>
      <c r="AQ495" s="52"/>
      <c r="AR495" s="52"/>
      <c r="AS495" s="52">
        <v>0</v>
      </c>
      <c r="AT495" s="53" t="s">
        <v>74</v>
      </c>
      <c r="AU495" s="52">
        <v>0</v>
      </c>
      <c r="AV495" s="52"/>
      <c r="AW495" s="59">
        <v>349817.86</v>
      </c>
      <c r="AX495" s="52"/>
      <c r="AY495" s="52"/>
      <c r="AZ495" s="52">
        <v>0</v>
      </c>
      <c r="BA495" s="52">
        <v>349817.86</v>
      </c>
      <c r="BB495" s="54" t="s">
        <v>74</v>
      </c>
      <c r="BC495" s="53" t="s">
        <v>74</v>
      </c>
      <c r="BD495" s="55" t="s">
        <v>630</v>
      </c>
      <c r="BE495" s="55" t="s">
        <v>74</v>
      </c>
      <c r="BF495" s="55" t="s">
        <v>74</v>
      </c>
      <c r="BG495" s="55" t="s">
        <v>74</v>
      </c>
      <c r="BH495" s="52">
        <v>349817.86</v>
      </c>
      <c r="BI495" s="52">
        <v>4571235.6900000004</v>
      </c>
      <c r="BJ495" s="52">
        <v>4221417.83</v>
      </c>
      <c r="BK495" s="56">
        <v>44166</v>
      </c>
      <c r="BL495" s="63">
        <v>4571235.6900000004</v>
      </c>
      <c r="BM495" s="47">
        <v>0</v>
      </c>
      <c r="BN495" s="9"/>
      <c r="BO495" s="9"/>
      <c r="BP495" s="9"/>
      <c r="BQ495" s="9"/>
      <c r="BR495" s="9"/>
      <c r="BS495" s="9"/>
      <c r="BT495" s="9"/>
      <c r="BU495" s="9"/>
      <c r="BV495" s="9"/>
      <c r="BW495" s="9"/>
    </row>
    <row r="496" spans="1:75" ht="24" hidden="1" customHeight="1" outlineLevel="2" x14ac:dyDescent="0.25">
      <c r="A496" s="43" t="s">
        <v>346</v>
      </c>
      <c r="B496" s="110" t="s">
        <v>597</v>
      </c>
      <c r="C496" s="45">
        <v>2021</v>
      </c>
      <c r="D496" s="110" t="s">
        <v>73</v>
      </c>
      <c r="E496" s="47">
        <v>0</v>
      </c>
      <c r="F496" s="47">
        <v>0</v>
      </c>
      <c r="G496" s="47">
        <v>0</v>
      </c>
      <c r="H496" s="47">
        <v>0</v>
      </c>
      <c r="I496" s="47">
        <v>0</v>
      </c>
      <c r="J496" s="47">
        <v>0</v>
      </c>
      <c r="K496" s="47">
        <v>0</v>
      </c>
      <c r="L496" s="47">
        <v>0</v>
      </c>
      <c r="M496" s="47">
        <v>0</v>
      </c>
      <c r="N496" s="47">
        <v>0</v>
      </c>
      <c r="O496" s="175">
        <v>5867659.2199999997</v>
      </c>
      <c r="P496" s="47">
        <v>0</v>
      </c>
      <c r="Q496" s="47">
        <v>0</v>
      </c>
      <c r="R496" s="47">
        <v>0</v>
      </c>
      <c r="S496" s="47">
        <v>0</v>
      </c>
      <c r="T496" s="47">
        <v>0</v>
      </c>
      <c r="U496" s="47">
        <v>0</v>
      </c>
      <c r="V496" s="47">
        <v>0</v>
      </c>
      <c r="W496" s="47">
        <v>0</v>
      </c>
      <c r="X496" s="47">
        <v>0</v>
      </c>
      <c r="Y496" s="48">
        <f t="shared" ref="Y496:Y503" si="70">SUM(E496:X496)</f>
        <v>5867659.2199999997</v>
      </c>
      <c r="Z496" s="66">
        <v>1520594.74</v>
      </c>
      <c r="AA496" s="62">
        <v>1520594.74</v>
      </c>
      <c r="AB496" s="50">
        <v>0</v>
      </c>
      <c r="AC496" s="62">
        <v>3113.82</v>
      </c>
      <c r="AD496" s="50">
        <v>0</v>
      </c>
      <c r="AE496" s="50">
        <v>0</v>
      </c>
      <c r="AF496" s="50">
        <v>0</v>
      </c>
      <c r="AG496" s="49">
        <f t="shared" ref="AG496:AG503" si="71">SUM(AA496:AF496)</f>
        <v>1523708.56</v>
      </c>
      <c r="AH496" s="51" t="s">
        <v>104</v>
      </c>
      <c r="AI496" s="51" t="s">
        <v>74</v>
      </c>
      <c r="AJ496" s="51" t="s">
        <v>178</v>
      </c>
      <c r="AK496" s="51" t="s">
        <v>74</v>
      </c>
      <c r="AL496" s="51" t="s">
        <v>74</v>
      </c>
      <c r="AM496" s="51" t="s">
        <v>74</v>
      </c>
      <c r="AN496" s="52">
        <v>0</v>
      </c>
      <c r="AO496" s="52">
        <v>0</v>
      </c>
      <c r="AP496" s="52">
        <v>0</v>
      </c>
      <c r="AQ496" s="52">
        <v>0</v>
      </c>
      <c r="AR496" s="52">
        <v>0</v>
      </c>
      <c r="AS496" s="52">
        <f>AN496+AO496+AP496+AQ496+AR496</f>
        <v>0</v>
      </c>
      <c r="AT496" s="53" t="s">
        <v>74</v>
      </c>
      <c r="AU496" s="52">
        <v>0</v>
      </c>
      <c r="AV496" s="52"/>
      <c r="AW496" s="52">
        <v>0</v>
      </c>
      <c r="AX496" s="52"/>
      <c r="AY496" s="52"/>
      <c r="AZ496" s="52">
        <v>0</v>
      </c>
      <c r="BA496" s="52">
        <f t="shared" ref="BA496:BA504" si="72">AU496+AW496+AX496+AZ496</f>
        <v>0</v>
      </c>
      <c r="BB496" s="54" t="s">
        <v>74</v>
      </c>
      <c r="BC496" s="53" t="s">
        <v>74</v>
      </c>
      <c r="BD496" s="55" t="s">
        <v>74</v>
      </c>
      <c r="BE496" s="55" t="s">
        <v>74</v>
      </c>
      <c r="BF496" s="55" t="s">
        <v>74</v>
      </c>
      <c r="BG496" s="55" t="s">
        <v>74</v>
      </c>
      <c r="BH496" s="52">
        <f t="shared" ref="BH496:BH504" si="73">AS496+BA496</f>
        <v>0</v>
      </c>
      <c r="BI496" s="52">
        <f t="shared" ref="BI496:BI504" si="74">Y496-AG496+BH496</f>
        <v>4343950.66</v>
      </c>
      <c r="BJ496" s="52">
        <v>4343950.66</v>
      </c>
      <c r="BK496" s="56">
        <v>44197</v>
      </c>
      <c r="BL496" s="63">
        <v>4343950.66</v>
      </c>
      <c r="BM496" s="47">
        <v>0</v>
      </c>
      <c r="BN496" s="9"/>
      <c r="BO496" s="9"/>
      <c r="BP496" s="9"/>
      <c r="BQ496" s="9"/>
      <c r="BR496" s="9"/>
      <c r="BS496" s="9"/>
      <c r="BT496" s="9"/>
      <c r="BU496" s="9"/>
      <c r="BV496" s="9"/>
      <c r="BW496" s="9"/>
    </row>
    <row r="497" spans="1:75" ht="24" hidden="1" customHeight="1" outlineLevel="2" x14ac:dyDescent="0.25">
      <c r="A497" s="43" t="s">
        <v>346</v>
      </c>
      <c r="B497" s="110" t="s">
        <v>597</v>
      </c>
      <c r="C497" s="45">
        <v>2021</v>
      </c>
      <c r="D497" s="110" t="s">
        <v>75</v>
      </c>
      <c r="E497" s="47">
        <v>0</v>
      </c>
      <c r="F497" s="47">
        <v>0</v>
      </c>
      <c r="G497" s="47">
        <v>0</v>
      </c>
      <c r="H497" s="47">
        <v>0</v>
      </c>
      <c r="I497" s="47">
        <v>0</v>
      </c>
      <c r="J497" s="47">
        <v>0</v>
      </c>
      <c r="K497" s="47">
        <v>0</v>
      </c>
      <c r="L497" s="47">
        <v>0</v>
      </c>
      <c r="M497" s="47">
        <v>0</v>
      </c>
      <c r="N497" s="47">
        <v>0</v>
      </c>
      <c r="O497" s="175">
        <v>5867659.2199999997</v>
      </c>
      <c r="P497" s="47">
        <v>0</v>
      </c>
      <c r="Q497" s="47">
        <v>0</v>
      </c>
      <c r="R497" s="47">
        <v>0</v>
      </c>
      <c r="S497" s="47">
        <v>0</v>
      </c>
      <c r="T497" s="47">
        <v>0</v>
      </c>
      <c r="U497" s="47">
        <v>0</v>
      </c>
      <c r="V497" s="47">
        <v>0</v>
      </c>
      <c r="W497" s="47">
        <v>0</v>
      </c>
      <c r="X497" s="47">
        <v>0</v>
      </c>
      <c r="Y497" s="48">
        <f t="shared" si="70"/>
        <v>5867659.2199999997</v>
      </c>
      <c r="Z497" s="66">
        <v>1512145.64</v>
      </c>
      <c r="AA497" s="62">
        <v>1512145.64</v>
      </c>
      <c r="AB497" s="50">
        <v>0</v>
      </c>
      <c r="AC497" s="62">
        <v>3050.89</v>
      </c>
      <c r="AD497" s="62">
        <v>61908.639999999999</v>
      </c>
      <c r="AE497" s="50">
        <v>0</v>
      </c>
      <c r="AF497" s="50">
        <v>0</v>
      </c>
      <c r="AG497" s="49">
        <f t="shared" si="71"/>
        <v>1577105.1699999997</v>
      </c>
      <c r="AH497" s="51" t="s">
        <v>104</v>
      </c>
      <c r="AI497" s="51" t="s">
        <v>74</v>
      </c>
      <c r="AJ497" s="51" t="s">
        <v>578</v>
      </c>
      <c r="AK497" s="51" t="s">
        <v>180</v>
      </c>
      <c r="AL497" s="51" t="s">
        <v>74</v>
      </c>
      <c r="AM497" s="51" t="s">
        <v>74</v>
      </c>
      <c r="AN497" s="52">
        <v>0</v>
      </c>
      <c r="AO497" s="52">
        <v>0</v>
      </c>
      <c r="AP497" s="52">
        <v>0</v>
      </c>
      <c r="AQ497" s="52">
        <v>0</v>
      </c>
      <c r="AR497" s="52">
        <v>0</v>
      </c>
      <c r="AS497" s="52">
        <f>AN497+AO497+AP497+AQ497+AR497</f>
        <v>0</v>
      </c>
      <c r="AT497" s="53" t="s">
        <v>74</v>
      </c>
      <c r="AU497" s="52">
        <v>0</v>
      </c>
      <c r="AV497" s="52"/>
      <c r="AW497" s="52">
        <v>0</v>
      </c>
      <c r="AX497" s="52"/>
      <c r="AY497" s="52"/>
      <c r="AZ497" s="52">
        <v>0</v>
      </c>
      <c r="BA497" s="52">
        <f t="shared" si="72"/>
        <v>0</v>
      </c>
      <c r="BB497" s="54" t="s">
        <v>74</v>
      </c>
      <c r="BC497" s="53" t="s">
        <v>74</v>
      </c>
      <c r="BD497" s="55" t="s">
        <v>74</v>
      </c>
      <c r="BE497" s="55" t="s">
        <v>74</v>
      </c>
      <c r="BF497" s="55" t="s">
        <v>74</v>
      </c>
      <c r="BG497" s="55" t="s">
        <v>74</v>
      </c>
      <c r="BH497" s="52">
        <f t="shared" si="73"/>
        <v>0</v>
      </c>
      <c r="BI497" s="52">
        <f t="shared" si="74"/>
        <v>4290554.05</v>
      </c>
      <c r="BJ497" s="52">
        <v>4290554.05</v>
      </c>
      <c r="BK497" s="56">
        <v>44228</v>
      </c>
      <c r="BL497" s="57">
        <v>4290554.05</v>
      </c>
      <c r="BM497" s="47">
        <v>0</v>
      </c>
      <c r="BN497" s="9"/>
      <c r="BO497" s="9"/>
      <c r="BP497" s="9"/>
      <c r="BQ497" s="9"/>
      <c r="BR497" s="9"/>
      <c r="BS497" s="9"/>
      <c r="BT497" s="9"/>
      <c r="BU497" s="9"/>
      <c r="BV497" s="9"/>
      <c r="BW497" s="9"/>
    </row>
    <row r="498" spans="1:75" ht="30.75" hidden="1" customHeight="1" outlineLevel="2" x14ac:dyDescent="0.25">
      <c r="A498" s="43" t="s">
        <v>346</v>
      </c>
      <c r="B498" s="110" t="s">
        <v>597</v>
      </c>
      <c r="C498" s="45">
        <v>2021</v>
      </c>
      <c r="D498" s="110" t="s">
        <v>77</v>
      </c>
      <c r="E498" s="47">
        <v>0</v>
      </c>
      <c r="F498" s="47">
        <v>0</v>
      </c>
      <c r="G498" s="47">
        <v>0</v>
      </c>
      <c r="H498" s="47">
        <v>0</v>
      </c>
      <c r="I498" s="47">
        <v>0</v>
      </c>
      <c r="J498" s="47">
        <v>0</v>
      </c>
      <c r="K498" s="47">
        <v>0</v>
      </c>
      <c r="L498" s="47">
        <v>0</v>
      </c>
      <c r="M498" s="47">
        <v>0</v>
      </c>
      <c r="N498" s="47">
        <v>0</v>
      </c>
      <c r="O498" s="175">
        <v>5867659.2199999997</v>
      </c>
      <c r="P498" s="47">
        <v>0</v>
      </c>
      <c r="Q498" s="47">
        <v>0</v>
      </c>
      <c r="R498" s="47">
        <v>0</v>
      </c>
      <c r="S498" s="47">
        <v>0</v>
      </c>
      <c r="T498" s="47">
        <v>0</v>
      </c>
      <c r="U498" s="47">
        <v>0</v>
      </c>
      <c r="V498" s="47">
        <v>0</v>
      </c>
      <c r="W498" s="47">
        <v>0</v>
      </c>
      <c r="X498" s="47">
        <v>0</v>
      </c>
      <c r="Y498" s="48">
        <f t="shared" si="70"/>
        <v>5867659.2199999997</v>
      </c>
      <c r="Z498" s="66">
        <v>1488454.4</v>
      </c>
      <c r="AA498" s="62">
        <v>1488454.4</v>
      </c>
      <c r="AB498" s="50">
        <v>0</v>
      </c>
      <c r="AC498" s="62">
        <v>3161.44</v>
      </c>
      <c r="AD498" s="62">
        <v>58471.71</v>
      </c>
      <c r="AE498" s="50">
        <v>0</v>
      </c>
      <c r="AF498" s="50">
        <v>0</v>
      </c>
      <c r="AG498" s="49">
        <f t="shared" si="71"/>
        <v>1550087.5499999998</v>
      </c>
      <c r="AH498" s="51" t="s">
        <v>104</v>
      </c>
      <c r="AI498" s="51" t="s">
        <v>74</v>
      </c>
      <c r="AJ498" s="51" t="s">
        <v>579</v>
      </c>
      <c r="AK498" s="51" t="s">
        <v>182</v>
      </c>
      <c r="AL498" s="51" t="s">
        <v>74</v>
      </c>
      <c r="AM498" s="51" t="s">
        <v>74</v>
      </c>
      <c r="AN498" s="52"/>
      <c r="AO498" s="52"/>
      <c r="AP498" s="52"/>
      <c r="AQ498" s="52"/>
      <c r="AR498" s="52"/>
      <c r="AS498" s="52">
        <f>AN498+AO498+AP498+AQ498+AR498</f>
        <v>0</v>
      </c>
      <c r="AT498" s="53" t="s">
        <v>74</v>
      </c>
      <c r="AU498" s="59">
        <v>1500.08</v>
      </c>
      <c r="AV498" s="52"/>
      <c r="AW498" s="145">
        <v>126681.06</v>
      </c>
      <c r="AX498" s="52"/>
      <c r="AY498" s="52"/>
      <c r="AZ498" s="52">
        <v>0</v>
      </c>
      <c r="BA498" s="52">
        <f t="shared" si="72"/>
        <v>128181.14</v>
      </c>
      <c r="BB498" s="53" t="s">
        <v>631</v>
      </c>
      <c r="BC498" s="53" t="s">
        <v>74</v>
      </c>
      <c r="BD498" s="55" t="s">
        <v>632</v>
      </c>
      <c r="BE498" s="55" t="s">
        <v>74</v>
      </c>
      <c r="BF498" s="55" t="s">
        <v>74</v>
      </c>
      <c r="BG498" s="55" t="s">
        <v>74</v>
      </c>
      <c r="BH498" s="52">
        <f t="shared" si="73"/>
        <v>128181.14</v>
      </c>
      <c r="BI498" s="52">
        <f t="shared" si="74"/>
        <v>4445752.8099999996</v>
      </c>
      <c r="BJ498" s="52">
        <v>4317571.67</v>
      </c>
      <c r="BK498" s="56">
        <v>44256</v>
      </c>
      <c r="BL498" s="63">
        <v>4445752.8099999996</v>
      </c>
      <c r="BM498" s="47">
        <v>0</v>
      </c>
      <c r="BN498" s="9"/>
      <c r="BO498" s="9"/>
      <c r="BP498" s="9"/>
      <c r="BQ498" s="9"/>
      <c r="BR498" s="9"/>
      <c r="BS498" s="9"/>
      <c r="BT498" s="9"/>
      <c r="BU498" s="9"/>
      <c r="BV498" s="9"/>
      <c r="BW498" s="9"/>
    </row>
    <row r="499" spans="1:75" ht="30.75" hidden="1" customHeight="1" outlineLevel="2" x14ac:dyDescent="0.25">
      <c r="A499" s="43" t="s">
        <v>346</v>
      </c>
      <c r="B499" s="110" t="s">
        <v>597</v>
      </c>
      <c r="C499" s="45">
        <v>2021</v>
      </c>
      <c r="D499" s="110" t="s">
        <v>79</v>
      </c>
      <c r="E499" s="47">
        <v>0</v>
      </c>
      <c r="F499" s="47">
        <v>0</v>
      </c>
      <c r="G499" s="47">
        <v>0</v>
      </c>
      <c r="H499" s="47">
        <v>0</v>
      </c>
      <c r="I499" s="47">
        <v>0</v>
      </c>
      <c r="J499" s="47">
        <v>0</v>
      </c>
      <c r="K499" s="47">
        <v>0</v>
      </c>
      <c r="L499" s="47">
        <v>0</v>
      </c>
      <c r="M499" s="47">
        <v>0</v>
      </c>
      <c r="N499" s="47">
        <v>0</v>
      </c>
      <c r="O499" s="175">
        <v>5867659.2199999997</v>
      </c>
      <c r="P499" s="47">
        <v>0</v>
      </c>
      <c r="Q499" s="47">
        <v>0</v>
      </c>
      <c r="R499" s="47">
        <v>0</v>
      </c>
      <c r="S499" s="47">
        <v>0</v>
      </c>
      <c r="T499" s="47">
        <v>0</v>
      </c>
      <c r="U499" s="47">
        <v>0</v>
      </c>
      <c r="V499" s="47">
        <v>0</v>
      </c>
      <c r="W499" s="47">
        <v>0</v>
      </c>
      <c r="X499" s="47">
        <v>0</v>
      </c>
      <c r="Y499" s="48">
        <f t="shared" si="70"/>
        <v>5867659.2199999997</v>
      </c>
      <c r="Z499" s="66">
        <v>1365630</v>
      </c>
      <c r="AA499" s="62">
        <v>1365630</v>
      </c>
      <c r="AB499" s="50">
        <v>0</v>
      </c>
      <c r="AC499" s="62">
        <v>3307.57</v>
      </c>
      <c r="AD499" s="62">
        <v>51732.46</v>
      </c>
      <c r="AE499" s="50">
        <v>0</v>
      </c>
      <c r="AF499" s="50">
        <v>0</v>
      </c>
      <c r="AG499" s="49">
        <f t="shared" si="71"/>
        <v>1420670.03</v>
      </c>
      <c r="AH499" s="51" t="s">
        <v>104</v>
      </c>
      <c r="AI499" s="51" t="s">
        <v>74</v>
      </c>
      <c r="AJ499" s="51" t="s">
        <v>463</v>
      </c>
      <c r="AK499" s="51" t="s">
        <v>409</v>
      </c>
      <c r="AL499" s="51" t="s">
        <v>74</v>
      </c>
      <c r="AM499" s="51" t="s">
        <v>74</v>
      </c>
      <c r="AN499" s="52">
        <v>0</v>
      </c>
      <c r="AO499" s="52">
        <v>0</v>
      </c>
      <c r="AP499" s="52">
        <v>0</v>
      </c>
      <c r="AQ499" s="52">
        <v>0</v>
      </c>
      <c r="AR499" s="52">
        <v>0</v>
      </c>
      <c r="AS499" s="52">
        <f>AN499+AO499+AP499+AQ499+AR499</f>
        <v>0</v>
      </c>
      <c r="AT499" s="53" t="s">
        <v>74</v>
      </c>
      <c r="AU499" s="52">
        <v>0</v>
      </c>
      <c r="AV499" s="52"/>
      <c r="AW499" s="59">
        <v>104930.16</v>
      </c>
      <c r="AX499" s="52"/>
      <c r="AY499" s="52"/>
      <c r="AZ499" s="52">
        <v>0</v>
      </c>
      <c r="BA499" s="52">
        <f t="shared" si="72"/>
        <v>104930.16</v>
      </c>
      <c r="BB499" s="54" t="s">
        <v>74</v>
      </c>
      <c r="BC499" s="53" t="s">
        <v>74</v>
      </c>
      <c r="BD499" s="55" t="s">
        <v>633</v>
      </c>
      <c r="BE499" s="55" t="s">
        <v>74</v>
      </c>
      <c r="BF499" s="55" t="s">
        <v>74</v>
      </c>
      <c r="BG499" s="55" t="s">
        <v>74</v>
      </c>
      <c r="BH499" s="52">
        <f t="shared" si="73"/>
        <v>104930.16</v>
      </c>
      <c r="BI499" s="52">
        <f t="shared" si="74"/>
        <v>4551919.3499999996</v>
      </c>
      <c r="BJ499" s="52">
        <v>4446989.1900000004</v>
      </c>
      <c r="BK499" s="56">
        <v>44287</v>
      </c>
      <c r="BL499" s="63">
        <v>4551919.3499999996</v>
      </c>
      <c r="BM499" s="47">
        <v>0</v>
      </c>
      <c r="BN499" s="9"/>
      <c r="BO499" s="9"/>
      <c r="BP499" s="9"/>
      <c r="BQ499" s="9"/>
      <c r="BR499" s="9"/>
      <c r="BS499" s="9"/>
      <c r="BT499" s="9"/>
      <c r="BU499" s="9"/>
      <c r="BV499" s="9"/>
      <c r="BW499" s="9"/>
    </row>
    <row r="500" spans="1:75" ht="30.75" hidden="1" customHeight="1" outlineLevel="2" x14ac:dyDescent="0.25">
      <c r="A500" s="43" t="s">
        <v>346</v>
      </c>
      <c r="B500" s="110" t="s">
        <v>597</v>
      </c>
      <c r="C500" s="45">
        <v>2021</v>
      </c>
      <c r="D500" s="110" t="s">
        <v>81</v>
      </c>
      <c r="E500" s="47">
        <v>0</v>
      </c>
      <c r="F500" s="47">
        <v>0</v>
      </c>
      <c r="G500" s="47">
        <v>0</v>
      </c>
      <c r="H500" s="47">
        <v>0</v>
      </c>
      <c r="I500" s="47">
        <v>0</v>
      </c>
      <c r="J500" s="47">
        <v>0</v>
      </c>
      <c r="K500" s="47">
        <v>0</v>
      </c>
      <c r="L500" s="47">
        <v>0</v>
      </c>
      <c r="M500" s="47">
        <v>0</v>
      </c>
      <c r="N500" s="47">
        <v>0</v>
      </c>
      <c r="O500" s="47">
        <v>4694127.38</v>
      </c>
      <c r="P500" s="47">
        <v>0</v>
      </c>
      <c r="Q500" s="47">
        <v>0</v>
      </c>
      <c r="R500" s="47">
        <v>0</v>
      </c>
      <c r="S500" s="47">
        <v>0</v>
      </c>
      <c r="T500" s="47">
        <v>0</v>
      </c>
      <c r="U500" s="47">
        <v>0</v>
      </c>
      <c r="V500" s="47">
        <v>0</v>
      </c>
      <c r="W500" s="47">
        <v>0</v>
      </c>
      <c r="X500" s="47">
        <v>0</v>
      </c>
      <c r="Y500" s="48">
        <f t="shared" si="70"/>
        <v>4694127.38</v>
      </c>
      <c r="Z500" s="66">
        <v>1329632.94</v>
      </c>
      <c r="AA500" s="62">
        <v>1329632.94</v>
      </c>
      <c r="AB500" s="50">
        <v>0</v>
      </c>
      <c r="AC500" s="62">
        <v>3167.17</v>
      </c>
      <c r="AD500" s="62">
        <v>53776.33</v>
      </c>
      <c r="AE500" s="50">
        <v>0</v>
      </c>
      <c r="AF500" s="50">
        <v>0</v>
      </c>
      <c r="AG500" s="49">
        <f t="shared" si="71"/>
        <v>1386576.44</v>
      </c>
      <c r="AH500" s="51" t="s">
        <v>104</v>
      </c>
      <c r="AI500" s="51" t="s">
        <v>74</v>
      </c>
      <c r="AJ500" s="51" t="s">
        <v>584</v>
      </c>
      <c r="AK500" s="51" t="s">
        <v>411</v>
      </c>
      <c r="AL500" s="51" t="s">
        <v>74</v>
      </c>
      <c r="AM500" s="51" t="s">
        <v>74</v>
      </c>
      <c r="AN500" s="52">
        <v>0</v>
      </c>
      <c r="AO500" s="52">
        <v>0</v>
      </c>
      <c r="AP500" s="52">
        <v>0</v>
      </c>
      <c r="AQ500" s="52">
        <v>0</v>
      </c>
      <c r="AR500" s="52">
        <v>0</v>
      </c>
      <c r="AS500" s="52">
        <f>AN500+AO500+AP500+AQ500+AR500</f>
        <v>0</v>
      </c>
      <c r="AT500" s="53" t="s">
        <v>74</v>
      </c>
      <c r="AU500" s="52">
        <v>0</v>
      </c>
      <c r="AV500" s="52"/>
      <c r="AW500" s="52">
        <v>0</v>
      </c>
      <c r="AX500" s="176">
        <v>1281032.94</v>
      </c>
      <c r="AY500" s="176"/>
      <c r="AZ500" s="52">
        <v>0</v>
      </c>
      <c r="BA500" s="52">
        <f t="shared" si="72"/>
        <v>1281032.94</v>
      </c>
      <c r="BB500" s="54" t="s">
        <v>74</v>
      </c>
      <c r="BC500" s="53" t="s">
        <v>74</v>
      </c>
      <c r="BD500" s="55" t="s">
        <v>74</v>
      </c>
      <c r="BE500" s="51" t="s">
        <v>634</v>
      </c>
      <c r="BF500" s="55" t="s">
        <v>74</v>
      </c>
      <c r="BG500" s="55" t="s">
        <v>74</v>
      </c>
      <c r="BH500" s="52">
        <f t="shared" si="73"/>
        <v>1281032.94</v>
      </c>
      <c r="BI500" s="52">
        <f t="shared" si="74"/>
        <v>4588583.88</v>
      </c>
      <c r="BJ500" s="52">
        <v>3307550.94</v>
      </c>
      <c r="BK500" s="56">
        <v>44317</v>
      </c>
      <c r="BL500" s="63">
        <f>3307550.94+1281032.94</f>
        <v>4588583.88</v>
      </c>
      <c r="BM500" s="47">
        <v>0</v>
      </c>
      <c r="BN500" s="9"/>
      <c r="BO500" s="9"/>
      <c r="BP500" s="9"/>
      <c r="BQ500" s="9"/>
      <c r="BR500" s="9"/>
      <c r="BS500" s="9"/>
      <c r="BT500" s="9"/>
      <c r="BU500" s="9"/>
      <c r="BV500" s="9"/>
      <c r="BW500" s="9"/>
    </row>
    <row r="501" spans="1:75" ht="294" hidden="1" outlineLevel="2" x14ac:dyDescent="0.25">
      <c r="A501" s="43" t="s">
        <v>346</v>
      </c>
      <c r="B501" s="110" t="s">
        <v>597</v>
      </c>
      <c r="C501" s="45">
        <v>2021</v>
      </c>
      <c r="D501" s="110" t="s">
        <v>83</v>
      </c>
      <c r="E501" s="47">
        <v>0</v>
      </c>
      <c r="F501" s="47">
        <v>0</v>
      </c>
      <c r="G501" s="47">
        <v>0</v>
      </c>
      <c r="H501" s="47">
        <v>0</v>
      </c>
      <c r="I501" s="47">
        <v>0</v>
      </c>
      <c r="J501" s="47">
        <v>0</v>
      </c>
      <c r="K501" s="47">
        <v>0</v>
      </c>
      <c r="L501" s="47">
        <v>0</v>
      </c>
      <c r="M501" s="47">
        <v>0</v>
      </c>
      <c r="N501" s="47">
        <v>0</v>
      </c>
      <c r="O501" s="47">
        <v>0</v>
      </c>
      <c r="P501" s="47">
        <v>0</v>
      </c>
      <c r="Q501" s="47">
        <v>0</v>
      </c>
      <c r="R501" s="47">
        <v>0</v>
      </c>
      <c r="S501" s="47">
        <v>0</v>
      </c>
      <c r="T501" s="47">
        <v>0</v>
      </c>
      <c r="U501" s="47">
        <v>0</v>
      </c>
      <c r="V501" s="47">
        <v>0</v>
      </c>
      <c r="W501" s="47">
        <v>0</v>
      </c>
      <c r="X501" s="47">
        <v>0</v>
      </c>
      <c r="Y501" s="48">
        <f t="shared" si="70"/>
        <v>0</v>
      </c>
      <c r="Z501" s="66"/>
      <c r="AA501" s="62"/>
      <c r="AB501" s="50"/>
      <c r="AC501" s="62"/>
      <c r="AD501" s="62"/>
      <c r="AE501" s="50"/>
      <c r="AF501" s="50"/>
      <c r="AG501" s="49">
        <f t="shared" si="71"/>
        <v>0</v>
      </c>
      <c r="AH501" s="51" t="s">
        <v>74</v>
      </c>
      <c r="AI501" s="51" t="s">
        <v>74</v>
      </c>
      <c r="AJ501" s="51" t="s">
        <v>74</v>
      </c>
      <c r="AK501" s="51" t="s">
        <v>74</v>
      </c>
      <c r="AL501" s="51" t="s">
        <v>74</v>
      </c>
      <c r="AM501" s="51" t="s">
        <v>74</v>
      </c>
      <c r="AN501" s="52"/>
      <c r="AO501" s="52"/>
      <c r="AP501" s="52"/>
      <c r="AQ501" s="52"/>
      <c r="AR501" s="52"/>
      <c r="AS501" s="52"/>
      <c r="AT501" s="53" t="s">
        <v>74</v>
      </c>
      <c r="AU501" s="52"/>
      <c r="AV501" s="52"/>
      <c r="AW501" s="52"/>
      <c r="AX501" s="68">
        <f>1921549.41+4491457.32</f>
        <v>6413006.7300000004</v>
      </c>
      <c r="AY501" s="176"/>
      <c r="AZ501" s="52"/>
      <c r="BA501" s="52">
        <f t="shared" si="72"/>
        <v>6413006.7300000004</v>
      </c>
      <c r="BB501" s="54" t="s">
        <v>74</v>
      </c>
      <c r="BC501" s="53" t="s">
        <v>74</v>
      </c>
      <c r="BD501" s="55" t="s">
        <v>74</v>
      </c>
      <c r="BE501" s="51" t="s">
        <v>635</v>
      </c>
      <c r="BF501" s="55" t="s">
        <v>74</v>
      </c>
      <c r="BG501" s="55" t="s">
        <v>74</v>
      </c>
      <c r="BH501" s="52">
        <f t="shared" si="73"/>
        <v>6413006.7300000004</v>
      </c>
      <c r="BI501" s="52">
        <f t="shared" si="74"/>
        <v>6413006.7300000004</v>
      </c>
      <c r="BJ501" s="52">
        <f>Y501-AG501+AX501</f>
        <v>6413006.7300000004</v>
      </c>
      <c r="BK501" s="56">
        <v>44348</v>
      </c>
      <c r="BL501" s="63">
        <f>1921549.41+4491457.32</f>
        <v>6413006.7300000004</v>
      </c>
      <c r="BM501" s="47">
        <v>0</v>
      </c>
      <c r="BN501" s="9"/>
      <c r="BO501" s="9"/>
      <c r="BP501" s="9"/>
      <c r="BQ501" s="9"/>
      <c r="BR501" s="9"/>
      <c r="BS501" s="9"/>
      <c r="BT501" s="9"/>
      <c r="BU501" s="9"/>
      <c r="BV501" s="9"/>
      <c r="BW501" s="9"/>
    </row>
    <row r="502" spans="1:75" ht="319.5" hidden="1" outlineLevel="2" x14ac:dyDescent="0.25">
      <c r="A502" s="43" t="s">
        <v>346</v>
      </c>
      <c r="B502" s="110" t="s">
        <v>597</v>
      </c>
      <c r="C502" s="45">
        <v>2021</v>
      </c>
      <c r="D502" s="110" t="s">
        <v>84</v>
      </c>
      <c r="E502" s="47">
        <v>0</v>
      </c>
      <c r="F502" s="47">
        <v>0</v>
      </c>
      <c r="G502" s="47">
        <v>0</v>
      </c>
      <c r="H502" s="47">
        <v>0</v>
      </c>
      <c r="I502" s="47">
        <v>0</v>
      </c>
      <c r="J502" s="47">
        <v>0</v>
      </c>
      <c r="K502" s="47">
        <v>0</v>
      </c>
      <c r="L502" s="47">
        <v>0</v>
      </c>
      <c r="M502" s="47">
        <v>0</v>
      </c>
      <c r="N502" s="47">
        <v>0</v>
      </c>
      <c r="O502" s="47">
        <v>0</v>
      </c>
      <c r="P502" s="47">
        <v>0</v>
      </c>
      <c r="Q502" s="47">
        <v>0</v>
      </c>
      <c r="R502" s="47">
        <v>0</v>
      </c>
      <c r="S502" s="47">
        <v>0</v>
      </c>
      <c r="T502" s="47">
        <v>0</v>
      </c>
      <c r="U502" s="47">
        <v>0</v>
      </c>
      <c r="V502" s="47">
        <v>0</v>
      </c>
      <c r="W502" s="47">
        <v>0</v>
      </c>
      <c r="X502" s="47">
        <v>0</v>
      </c>
      <c r="Y502" s="48">
        <f t="shared" si="70"/>
        <v>0</v>
      </c>
      <c r="Z502" s="66"/>
      <c r="AA502" s="62"/>
      <c r="AB502" s="50"/>
      <c r="AC502" s="62"/>
      <c r="AD502" s="62"/>
      <c r="AE502" s="50"/>
      <c r="AF502" s="50"/>
      <c r="AG502" s="49">
        <f t="shared" si="71"/>
        <v>0</v>
      </c>
      <c r="AH502" s="70" t="s">
        <v>74</v>
      </c>
      <c r="AI502" s="70" t="s">
        <v>74</v>
      </c>
      <c r="AJ502" s="70" t="s">
        <v>74</v>
      </c>
      <c r="AK502" s="70" t="s">
        <v>74</v>
      </c>
      <c r="AL502" s="70" t="s">
        <v>74</v>
      </c>
      <c r="AM502" s="70" t="s">
        <v>74</v>
      </c>
      <c r="AN502" s="52"/>
      <c r="AO502" s="52"/>
      <c r="AP502" s="52"/>
      <c r="AQ502" s="52"/>
      <c r="AR502" s="52"/>
      <c r="AS502" s="52"/>
      <c r="AT502" s="70" t="s">
        <v>74</v>
      </c>
      <c r="AU502" s="52"/>
      <c r="AV502" s="52"/>
      <c r="AW502" s="52"/>
      <c r="AX502" s="68">
        <f>2994304.88+ 3507614.24</f>
        <v>6501919.1200000001</v>
      </c>
      <c r="AY502" s="176"/>
      <c r="AZ502" s="52"/>
      <c r="BA502" s="52">
        <f t="shared" si="72"/>
        <v>6501919.1200000001</v>
      </c>
      <c r="BB502" s="52" t="s">
        <v>74</v>
      </c>
      <c r="BC502" s="52" t="s">
        <v>74</v>
      </c>
      <c r="BD502" s="52" t="s">
        <v>74</v>
      </c>
      <c r="BE502" s="51" t="s">
        <v>636</v>
      </c>
      <c r="BF502" s="52" t="s">
        <v>74</v>
      </c>
      <c r="BG502" s="52"/>
      <c r="BH502" s="52">
        <f t="shared" si="73"/>
        <v>6501919.1200000001</v>
      </c>
      <c r="BI502" s="52">
        <f t="shared" si="74"/>
        <v>6501919.1200000001</v>
      </c>
      <c r="BJ502" s="52">
        <f>Y502-AG502+AX502</f>
        <v>6501919.1200000001</v>
      </c>
      <c r="BK502" s="56">
        <v>44378</v>
      </c>
      <c r="BL502" s="63">
        <f>2994304.88+3507614.24</f>
        <v>6501919.1200000001</v>
      </c>
      <c r="BM502" s="47">
        <v>0</v>
      </c>
      <c r="BN502" s="9"/>
      <c r="BO502" s="9"/>
      <c r="BP502" s="9"/>
      <c r="BQ502" s="9"/>
      <c r="BR502" s="9"/>
      <c r="BS502" s="9"/>
      <c r="BT502" s="9"/>
      <c r="BU502" s="9"/>
      <c r="BV502" s="9"/>
      <c r="BW502" s="9"/>
    </row>
    <row r="503" spans="1:75" ht="153.75" hidden="1" outlineLevel="2" x14ac:dyDescent="0.25">
      <c r="A503" s="43" t="s">
        <v>346</v>
      </c>
      <c r="B503" s="110" t="s">
        <v>597</v>
      </c>
      <c r="C503" s="45">
        <v>2021</v>
      </c>
      <c r="D503" s="110" t="s">
        <v>86</v>
      </c>
      <c r="E503" s="47">
        <v>0</v>
      </c>
      <c r="F503" s="47">
        <v>0</v>
      </c>
      <c r="G503" s="47">
        <v>0</v>
      </c>
      <c r="H503" s="47">
        <v>0</v>
      </c>
      <c r="I503" s="47">
        <v>0</v>
      </c>
      <c r="J503" s="47">
        <v>0</v>
      </c>
      <c r="K503" s="47">
        <v>0</v>
      </c>
      <c r="L503" s="47">
        <v>0</v>
      </c>
      <c r="M503" s="47">
        <v>0</v>
      </c>
      <c r="N503" s="47">
        <v>0</v>
      </c>
      <c r="O503" s="47">
        <v>0</v>
      </c>
      <c r="P503" s="47">
        <v>0</v>
      </c>
      <c r="Q503" s="47">
        <v>0</v>
      </c>
      <c r="R503" s="47">
        <v>0</v>
      </c>
      <c r="S503" s="47">
        <v>0</v>
      </c>
      <c r="T503" s="47">
        <v>0</v>
      </c>
      <c r="U503" s="47">
        <v>0</v>
      </c>
      <c r="V503" s="47">
        <v>0</v>
      </c>
      <c r="W503" s="47">
        <v>0</v>
      </c>
      <c r="X503" s="47">
        <v>0</v>
      </c>
      <c r="Y503" s="48">
        <f t="shared" si="70"/>
        <v>0</v>
      </c>
      <c r="Z503" s="66"/>
      <c r="AA503" s="62"/>
      <c r="AB503" s="50"/>
      <c r="AC503" s="62"/>
      <c r="AD503" s="62"/>
      <c r="AE503" s="50"/>
      <c r="AF503" s="50"/>
      <c r="AG503" s="49">
        <f t="shared" si="71"/>
        <v>0</v>
      </c>
      <c r="AH503" s="70" t="s">
        <v>74</v>
      </c>
      <c r="AI503" s="70" t="s">
        <v>74</v>
      </c>
      <c r="AJ503" s="70" t="s">
        <v>74</v>
      </c>
      <c r="AK503" s="70" t="s">
        <v>74</v>
      </c>
      <c r="AL503" s="70" t="s">
        <v>74</v>
      </c>
      <c r="AM503" s="70" t="s">
        <v>74</v>
      </c>
      <c r="AN503" s="52"/>
      <c r="AO503" s="52"/>
      <c r="AP503" s="52"/>
      <c r="AQ503" s="52"/>
      <c r="AR503" s="52"/>
      <c r="AS503" s="52"/>
      <c r="AT503" s="70" t="s">
        <v>74</v>
      </c>
      <c r="AU503" s="52"/>
      <c r="AV503" s="52"/>
      <c r="AW503" s="52"/>
      <c r="AX503" s="68">
        <v>6501919.1200000001</v>
      </c>
      <c r="AY503" s="176"/>
      <c r="AZ503" s="52"/>
      <c r="BA503" s="52">
        <f t="shared" si="72"/>
        <v>6501919.1200000001</v>
      </c>
      <c r="BB503" s="52" t="s">
        <v>74</v>
      </c>
      <c r="BC503" s="52" t="s">
        <v>74</v>
      </c>
      <c r="BD503" s="52" t="s">
        <v>74</v>
      </c>
      <c r="BE503" s="51" t="s">
        <v>637</v>
      </c>
      <c r="BF503" s="52" t="s">
        <v>74</v>
      </c>
      <c r="BG503" s="52"/>
      <c r="BH503" s="52">
        <f t="shared" si="73"/>
        <v>6501919.1200000001</v>
      </c>
      <c r="BI503" s="52">
        <f t="shared" si="74"/>
        <v>6501919.1200000001</v>
      </c>
      <c r="BJ503" s="52">
        <v>3307550.94</v>
      </c>
      <c r="BK503" s="56">
        <v>44409</v>
      </c>
      <c r="BL503" s="63">
        <v>6501919.1200000001</v>
      </c>
      <c r="BM503" s="47">
        <v>0</v>
      </c>
      <c r="BN503" s="9"/>
      <c r="BO503" s="9"/>
      <c r="BP503" s="9"/>
      <c r="BQ503" s="9"/>
      <c r="BR503" s="9"/>
      <c r="BS503" s="9"/>
      <c r="BT503" s="9"/>
      <c r="BU503" s="9"/>
      <c r="BV503" s="9"/>
      <c r="BW503" s="9"/>
    </row>
    <row r="504" spans="1:75" ht="153.75" hidden="1" outlineLevel="2" x14ac:dyDescent="0.25">
      <c r="A504" s="43"/>
      <c r="B504" s="110" t="s">
        <v>597</v>
      </c>
      <c r="C504" s="45">
        <v>2021</v>
      </c>
      <c r="D504" s="110" t="s">
        <v>88</v>
      </c>
      <c r="E504" s="47"/>
      <c r="F504" s="47"/>
      <c r="G504" s="47"/>
      <c r="H504" s="47"/>
      <c r="I504" s="47"/>
      <c r="J504" s="47"/>
      <c r="K504" s="47"/>
      <c r="L504" s="47"/>
      <c r="M504" s="47"/>
      <c r="N504" s="47"/>
      <c r="O504" s="47"/>
      <c r="P504" s="47"/>
      <c r="Q504" s="47"/>
      <c r="R504" s="47"/>
      <c r="S504" s="47"/>
      <c r="T504" s="47"/>
      <c r="U504" s="47"/>
      <c r="V504" s="47"/>
      <c r="W504" s="47"/>
      <c r="X504" s="47"/>
      <c r="Y504" s="48"/>
      <c r="Z504" s="69"/>
      <c r="AA504" s="62"/>
      <c r="AB504" s="50"/>
      <c r="AC504" s="62"/>
      <c r="AD504" s="62"/>
      <c r="AE504" s="50"/>
      <c r="AF504" s="50"/>
      <c r="AG504" s="49"/>
      <c r="AH504" s="70" t="s">
        <v>74</v>
      </c>
      <c r="AI504" s="70" t="s">
        <v>74</v>
      </c>
      <c r="AJ504" s="70" t="s">
        <v>74</v>
      </c>
      <c r="AK504" s="70" t="s">
        <v>74</v>
      </c>
      <c r="AL504" s="70" t="s">
        <v>74</v>
      </c>
      <c r="AM504" s="70" t="s">
        <v>74</v>
      </c>
      <c r="AN504" s="52"/>
      <c r="AO504" s="52"/>
      <c r="AP504" s="52"/>
      <c r="AQ504" s="52"/>
      <c r="AR504" s="52"/>
      <c r="AS504" s="52"/>
      <c r="AT504" s="70" t="s">
        <v>74</v>
      </c>
      <c r="AU504" s="52"/>
      <c r="AV504" s="52"/>
      <c r="AW504" s="52"/>
      <c r="AX504" s="68">
        <v>3250959.56</v>
      </c>
      <c r="AY504" s="176"/>
      <c r="AZ504" s="52"/>
      <c r="BA504" s="52">
        <f t="shared" si="72"/>
        <v>3250959.56</v>
      </c>
      <c r="BB504" s="52" t="s">
        <v>74</v>
      </c>
      <c r="BC504" s="52" t="s">
        <v>74</v>
      </c>
      <c r="BD504" s="52" t="s">
        <v>74</v>
      </c>
      <c r="BE504" s="51" t="s">
        <v>638</v>
      </c>
      <c r="BF504" s="52" t="s">
        <v>74</v>
      </c>
      <c r="BG504" s="52"/>
      <c r="BH504" s="52">
        <f t="shared" si="73"/>
        <v>3250959.56</v>
      </c>
      <c r="BI504" s="52">
        <f t="shared" si="74"/>
        <v>3250959.56</v>
      </c>
      <c r="BJ504" s="52">
        <v>3307550.94</v>
      </c>
      <c r="BK504" s="56"/>
      <c r="BL504" s="63">
        <v>3250959.56</v>
      </c>
      <c r="BM504" s="47">
        <v>0</v>
      </c>
      <c r="BN504" s="9"/>
      <c r="BO504" s="9"/>
      <c r="BP504" s="9"/>
      <c r="BQ504" s="9"/>
      <c r="BR504" s="9"/>
      <c r="BS504" s="9"/>
      <c r="BT504" s="9"/>
      <c r="BU504" s="9"/>
      <c r="BV504" s="9"/>
      <c r="BW504" s="9"/>
    </row>
    <row r="505" spans="1:75" hidden="1" outlineLevel="2" x14ac:dyDescent="0.25">
      <c r="A505" s="71"/>
      <c r="B505" s="116" t="s">
        <v>597</v>
      </c>
      <c r="C505" s="73">
        <v>2021</v>
      </c>
      <c r="D505" s="116" t="s">
        <v>89</v>
      </c>
      <c r="E505" s="75"/>
      <c r="F505" s="75"/>
      <c r="G505" s="75"/>
      <c r="H505" s="75"/>
      <c r="I505" s="75"/>
      <c r="J505" s="75"/>
      <c r="K505" s="75"/>
      <c r="L505" s="75"/>
      <c r="M505" s="75"/>
      <c r="N505" s="75"/>
      <c r="O505" s="75"/>
      <c r="P505" s="75"/>
      <c r="Q505" s="75"/>
      <c r="R505" s="75"/>
      <c r="S505" s="75"/>
      <c r="T505" s="75"/>
      <c r="U505" s="75"/>
      <c r="V505" s="75"/>
      <c r="W505" s="75"/>
      <c r="X505" s="75"/>
      <c r="Y505" s="76"/>
      <c r="Z505" s="77"/>
      <c r="AA505" s="78"/>
      <c r="AB505" s="79"/>
      <c r="AC505" s="78"/>
      <c r="AD505" s="78"/>
      <c r="AE505" s="79"/>
      <c r="AF505" s="79"/>
      <c r="AG505" s="80"/>
      <c r="AH505" s="81" t="s">
        <v>74</v>
      </c>
      <c r="AI505" s="81" t="s">
        <v>74</v>
      </c>
      <c r="AJ505" s="81" t="s">
        <v>74</v>
      </c>
      <c r="AK505" s="81" t="s">
        <v>74</v>
      </c>
      <c r="AL505" s="81" t="s">
        <v>74</v>
      </c>
      <c r="AM505" s="81" t="s">
        <v>74</v>
      </c>
      <c r="AN505" s="82"/>
      <c r="AO505" s="82"/>
      <c r="AP505" s="82"/>
      <c r="AQ505" s="82"/>
      <c r="AR505" s="82"/>
      <c r="AS505" s="82"/>
      <c r="AT505" s="81" t="s">
        <v>74</v>
      </c>
      <c r="AU505" s="82"/>
      <c r="AV505" s="82"/>
      <c r="AW505" s="82"/>
      <c r="AX505" s="119"/>
      <c r="AY505" s="177"/>
      <c r="AZ505" s="82"/>
      <c r="BA505" s="82"/>
      <c r="BB505" s="82" t="s">
        <v>74</v>
      </c>
      <c r="BC505" s="82" t="s">
        <v>74</v>
      </c>
      <c r="BD505" s="82" t="s">
        <v>74</v>
      </c>
      <c r="BE505" s="82" t="s">
        <v>74</v>
      </c>
      <c r="BF505" s="82" t="s">
        <v>74</v>
      </c>
      <c r="BG505" s="82"/>
      <c r="BH505" s="82"/>
      <c r="BI505" s="82"/>
      <c r="BJ505" s="52"/>
      <c r="BK505" s="56"/>
      <c r="BL505" s="83"/>
      <c r="BM505" s="75">
        <v>0</v>
      </c>
      <c r="BN505" s="9"/>
      <c r="BO505" s="9"/>
      <c r="BP505" s="9"/>
      <c r="BQ505" s="9"/>
      <c r="BR505" s="9"/>
      <c r="BS505" s="9"/>
      <c r="BT505" s="9"/>
      <c r="BU505" s="9"/>
      <c r="BV505" s="9"/>
      <c r="BW505" s="9"/>
    </row>
    <row r="506" spans="1:75" hidden="1" outlineLevel="1" collapsed="1" x14ac:dyDescent="0.25">
      <c r="A506" s="84"/>
      <c r="B506" s="120" t="s">
        <v>639</v>
      </c>
      <c r="C506" s="86"/>
      <c r="D506" s="120"/>
      <c r="E506" s="88"/>
      <c r="F506" s="88"/>
      <c r="G506" s="88"/>
      <c r="H506" s="88"/>
      <c r="I506" s="88"/>
      <c r="J506" s="88"/>
      <c r="K506" s="88"/>
      <c r="L506" s="88"/>
      <c r="M506" s="88"/>
      <c r="N506" s="88"/>
      <c r="O506" s="88"/>
      <c r="P506" s="88"/>
      <c r="Q506" s="88"/>
      <c r="R506" s="88"/>
      <c r="S506" s="88"/>
      <c r="T506" s="88"/>
      <c r="U506" s="88"/>
      <c r="V506" s="88"/>
      <c r="W506" s="88"/>
      <c r="X506" s="88"/>
      <c r="Y506" s="89">
        <f t="shared" ref="Y506:AG506" si="75">SUBTOTAL(9,Y448:Y505)</f>
        <v>0</v>
      </c>
      <c r="Z506" s="90">
        <f t="shared" si="75"/>
        <v>0</v>
      </c>
      <c r="AA506" s="90">
        <f t="shared" si="75"/>
        <v>0</v>
      </c>
      <c r="AB506" s="89">
        <f t="shared" si="75"/>
        <v>0</v>
      </c>
      <c r="AC506" s="90">
        <f t="shared" si="75"/>
        <v>0</v>
      </c>
      <c r="AD506" s="90">
        <f t="shared" si="75"/>
        <v>0</v>
      </c>
      <c r="AE506" s="89">
        <f t="shared" si="75"/>
        <v>0</v>
      </c>
      <c r="AF506" s="89">
        <f t="shared" si="75"/>
        <v>0</v>
      </c>
      <c r="AG506" s="89">
        <f t="shared" si="75"/>
        <v>0</v>
      </c>
      <c r="AH506" s="91"/>
      <c r="AI506" s="91"/>
      <c r="AJ506" s="91"/>
      <c r="AK506" s="91"/>
      <c r="AL506" s="91"/>
      <c r="AM506" s="91"/>
      <c r="AN506" s="92">
        <f t="shared" ref="AN506:AS506" si="76">SUBTOTAL(9,AN448:AN505)</f>
        <v>0</v>
      </c>
      <c r="AO506" s="92">
        <f t="shared" si="76"/>
        <v>0</v>
      </c>
      <c r="AP506" s="92">
        <f t="shared" si="76"/>
        <v>0</v>
      </c>
      <c r="AQ506" s="92">
        <f t="shared" si="76"/>
        <v>0</v>
      </c>
      <c r="AR506" s="92">
        <f t="shared" si="76"/>
        <v>0</v>
      </c>
      <c r="AS506" s="92">
        <f t="shared" si="76"/>
        <v>0</v>
      </c>
      <c r="AT506" s="91"/>
      <c r="AU506" s="92">
        <f t="shared" ref="AU506:BA506" si="77">SUBTOTAL(9,AU448:AU505)</f>
        <v>0</v>
      </c>
      <c r="AV506" s="92">
        <f t="shared" si="77"/>
        <v>0</v>
      </c>
      <c r="AW506" s="92">
        <f t="shared" si="77"/>
        <v>0</v>
      </c>
      <c r="AX506" s="122">
        <f t="shared" si="77"/>
        <v>0</v>
      </c>
      <c r="AY506" s="178">
        <f t="shared" si="77"/>
        <v>0</v>
      </c>
      <c r="AZ506" s="92">
        <f t="shared" si="77"/>
        <v>0</v>
      </c>
      <c r="BA506" s="92">
        <f t="shared" si="77"/>
        <v>0</v>
      </c>
      <c r="BB506" s="92"/>
      <c r="BC506" s="92"/>
      <c r="BD506" s="92"/>
      <c r="BE506" s="92"/>
      <c r="BF506" s="92"/>
      <c r="BG506" s="92"/>
      <c r="BH506" s="92">
        <f>SUBTOTAL(9,BH448:BH505)</f>
        <v>0</v>
      </c>
      <c r="BI506" s="92">
        <f>SUBTOTAL(9,BI448:BI505)</f>
        <v>0</v>
      </c>
      <c r="BJ506" s="93"/>
      <c r="BK506" s="94"/>
      <c r="BL506" s="95">
        <f>SUBTOTAL(9,BL448:BL505)</f>
        <v>0</v>
      </c>
      <c r="BM506" s="88">
        <f>SUBTOTAL(9,BM448:BM505)</f>
        <v>0</v>
      </c>
      <c r="BN506" s="9"/>
      <c r="BO506" s="9"/>
      <c r="BP506" s="9"/>
      <c r="BQ506" s="9"/>
      <c r="BR506" s="9"/>
      <c r="BS506" s="9"/>
      <c r="BT506" s="9"/>
      <c r="BU506" s="9"/>
      <c r="BV506" s="9"/>
      <c r="BW506" s="9"/>
    </row>
    <row r="507" spans="1:75" ht="26.25" hidden="1" outlineLevel="2" x14ac:dyDescent="0.25">
      <c r="A507" s="96" t="s">
        <v>640</v>
      </c>
      <c r="B507" s="97" t="s">
        <v>641</v>
      </c>
      <c r="C507" s="98">
        <v>2017</v>
      </c>
      <c r="D507" s="97" t="s">
        <v>73</v>
      </c>
      <c r="E507" s="100">
        <v>0</v>
      </c>
      <c r="F507" s="100">
        <v>0</v>
      </c>
      <c r="G507" s="100">
        <v>0</v>
      </c>
      <c r="H507" s="100">
        <v>0</v>
      </c>
      <c r="I507" s="100">
        <v>0</v>
      </c>
      <c r="J507" s="100">
        <v>0</v>
      </c>
      <c r="K507" s="100">
        <v>0</v>
      </c>
      <c r="L507" s="100">
        <v>0</v>
      </c>
      <c r="M507" s="100">
        <v>0</v>
      </c>
      <c r="N507" s="100">
        <v>4812084.8600000003</v>
      </c>
      <c r="O507" s="100">
        <v>0</v>
      </c>
      <c r="P507" s="100">
        <v>0</v>
      </c>
      <c r="Q507" s="100">
        <v>0</v>
      </c>
      <c r="R507" s="100">
        <v>0</v>
      </c>
      <c r="S507" s="100">
        <v>0</v>
      </c>
      <c r="T507" s="100">
        <v>0</v>
      </c>
      <c r="U507" s="100">
        <v>0</v>
      </c>
      <c r="V507" s="100">
        <v>0</v>
      </c>
      <c r="W507" s="100">
        <v>0</v>
      </c>
      <c r="X507" s="100">
        <v>0</v>
      </c>
      <c r="Y507" s="179">
        <v>4812084.8600000003</v>
      </c>
      <c r="Z507" s="133">
        <v>697854.46</v>
      </c>
      <c r="AA507" s="103">
        <v>697854.46</v>
      </c>
      <c r="AB507" s="103">
        <v>0</v>
      </c>
      <c r="AC507" s="103">
        <v>0</v>
      </c>
      <c r="AD507" s="103">
        <v>0</v>
      </c>
      <c r="AE507" s="103">
        <v>0</v>
      </c>
      <c r="AF507" s="103">
        <v>0</v>
      </c>
      <c r="AG507" s="102">
        <v>697854.46</v>
      </c>
      <c r="AH507" s="104" t="s">
        <v>104</v>
      </c>
      <c r="AI507" s="104" t="s">
        <v>74</v>
      </c>
      <c r="AJ507" s="104" t="s">
        <v>74</v>
      </c>
      <c r="AK507" s="104" t="s">
        <v>74</v>
      </c>
      <c r="AL507" s="104" t="s">
        <v>74</v>
      </c>
      <c r="AM507" s="104" t="s">
        <v>74</v>
      </c>
      <c r="AN507" s="105">
        <v>0</v>
      </c>
      <c r="AO507" s="105">
        <v>0</v>
      </c>
      <c r="AP507" s="105">
        <v>0</v>
      </c>
      <c r="AQ507" s="105">
        <v>0</v>
      </c>
      <c r="AR507" s="105">
        <v>0</v>
      </c>
      <c r="AS507" s="105">
        <v>0</v>
      </c>
      <c r="AT507" s="106" t="s">
        <v>74</v>
      </c>
      <c r="AU507" s="105">
        <v>0</v>
      </c>
      <c r="AV507" s="105"/>
      <c r="AW507" s="105">
        <v>0</v>
      </c>
      <c r="AX507" s="105"/>
      <c r="AY507" s="105"/>
      <c r="AZ507" s="105">
        <v>0</v>
      </c>
      <c r="BA507" s="105">
        <v>0</v>
      </c>
      <c r="BB507" s="107" t="s">
        <v>74</v>
      </c>
      <c r="BC507" s="106" t="s">
        <v>74</v>
      </c>
      <c r="BD507" s="108" t="s">
        <v>74</v>
      </c>
      <c r="BE507" s="108" t="s">
        <v>74</v>
      </c>
      <c r="BF507" s="108" t="s">
        <v>74</v>
      </c>
      <c r="BG507" s="108" t="s">
        <v>74</v>
      </c>
      <c r="BH507" s="105">
        <v>0</v>
      </c>
      <c r="BI507" s="105">
        <v>4114230.4</v>
      </c>
      <c r="BJ507" s="52">
        <v>4114230.4</v>
      </c>
      <c r="BK507" s="56">
        <v>42736</v>
      </c>
      <c r="BL507" s="109">
        <v>4114230.4</v>
      </c>
      <c r="BM507" s="100">
        <v>0</v>
      </c>
      <c r="BN507" s="9"/>
      <c r="BO507" s="9"/>
      <c r="BP507" s="9"/>
      <c r="BQ507" s="9"/>
      <c r="BR507" s="9"/>
      <c r="BS507" s="9"/>
      <c r="BT507" s="9"/>
      <c r="BU507" s="9"/>
      <c r="BV507" s="9"/>
      <c r="BW507" s="9"/>
    </row>
    <row r="508" spans="1:75" ht="39" hidden="1" outlineLevel="2" x14ac:dyDescent="0.25">
      <c r="A508" s="43" t="s">
        <v>640</v>
      </c>
      <c r="B508" s="110" t="s">
        <v>641</v>
      </c>
      <c r="C508" s="45">
        <v>2017</v>
      </c>
      <c r="D508" s="110" t="s">
        <v>75</v>
      </c>
      <c r="E508" s="47">
        <v>0</v>
      </c>
      <c r="F508" s="47">
        <v>0</v>
      </c>
      <c r="G508" s="47">
        <v>0</v>
      </c>
      <c r="H508" s="47">
        <v>0</v>
      </c>
      <c r="I508" s="47">
        <v>0</v>
      </c>
      <c r="J508" s="47">
        <v>0</v>
      </c>
      <c r="K508" s="47">
        <v>0</v>
      </c>
      <c r="L508" s="47">
        <v>0</v>
      </c>
      <c r="M508" s="47">
        <v>0</v>
      </c>
      <c r="N508" s="47">
        <v>4812084.8600000003</v>
      </c>
      <c r="O508" s="47">
        <v>0</v>
      </c>
      <c r="P508" s="47">
        <v>0</v>
      </c>
      <c r="Q508" s="47">
        <v>0</v>
      </c>
      <c r="R508" s="47">
        <v>0</v>
      </c>
      <c r="S508" s="47">
        <v>0</v>
      </c>
      <c r="T508" s="47">
        <v>0</v>
      </c>
      <c r="U508" s="47">
        <v>0</v>
      </c>
      <c r="V508" s="47">
        <v>0</v>
      </c>
      <c r="W508" s="47">
        <v>0</v>
      </c>
      <c r="X508" s="47">
        <v>0</v>
      </c>
      <c r="Y508" s="180">
        <v>4812084.8600000003</v>
      </c>
      <c r="Z508" s="58">
        <v>576464.9</v>
      </c>
      <c r="AA508" s="50">
        <v>576464.9</v>
      </c>
      <c r="AB508" s="50">
        <v>0</v>
      </c>
      <c r="AC508" s="50">
        <v>13414</v>
      </c>
      <c r="AD508" s="50">
        <v>0</v>
      </c>
      <c r="AE508" s="50">
        <v>0</v>
      </c>
      <c r="AF508" s="50">
        <v>0</v>
      </c>
      <c r="AG508" s="49">
        <v>589878.9</v>
      </c>
      <c r="AH508" s="51" t="s">
        <v>104</v>
      </c>
      <c r="AI508" s="51" t="s">
        <v>74</v>
      </c>
      <c r="AJ508" s="51" t="s">
        <v>642</v>
      </c>
      <c r="AK508" s="51" t="s">
        <v>74</v>
      </c>
      <c r="AL508" s="51" t="s">
        <v>74</v>
      </c>
      <c r="AM508" s="51" t="s">
        <v>74</v>
      </c>
      <c r="AN508" s="52">
        <v>0</v>
      </c>
      <c r="AO508" s="52">
        <v>0</v>
      </c>
      <c r="AP508" s="52">
        <v>0</v>
      </c>
      <c r="AQ508" s="52">
        <v>0</v>
      </c>
      <c r="AR508" s="52">
        <v>0</v>
      </c>
      <c r="AS508" s="52">
        <v>0</v>
      </c>
      <c r="AT508" s="53" t="s">
        <v>74</v>
      </c>
      <c r="AU508" s="52">
        <v>0</v>
      </c>
      <c r="AV508" s="52"/>
      <c r="AW508" s="52">
        <v>0</v>
      </c>
      <c r="AX508" s="52"/>
      <c r="AY508" s="52"/>
      <c r="AZ508" s="52">
        <v>0</v>
      </c>
      <c r="BA508" s="52">
        <v>0</v>
      </c>
      <c r="BB508" s="54" t="s">
        <v>74</v>
      </c>
      <c r="BC508" s="53" t="s">
        <v>74</v>
      </c>
      <c r="BD508" s="55" t="s">
        <v>74</v>
      </c>
      <c r="BE508" s="55" t="s">
        <v>74</v>
      </c>
      <c r="BF508" s="55" t="s">
        <v>74</v>
      </c>
      <c r="BG508" s="55" t="s">
        <v>74</v>
      </c>
      <c r="BH508" s="52">
        <v>0</v>
      </c>
      <c r="BI508" s="52">
        <v>4222205.96</v>
      </c>
      <c r="BJ508" s="52">
        <v>4222205.96</v>
      </c>
      <c r="BK508" s="56">
        <v>42767</v>
      </c>
      <c r="BL508" s="57">
        <v>4222205.96</v>
      </c>
      <c r="BM508" s="47">
        <v>0</v>
      </c>
      <c r="BN508" s="9"/>
      <c r="BO508" s="9"/>
      <c r="BP508" s="9"/>
      <c r="BQ508" s="9"/>
      <c r="BR508" s="9"/>
      <c r="BS508" s="9"/>
      <c r="BT508" s="9"/>
      <c r="BU508" s="9"/>
      <c r="BV508" s="9"/>
      <c r="BW508" s="9"/>
    </row>
    <row r="509" spans="1:75" ht="39" hidden="1" outlineLevel="2" x14ac:dyDescent="0.25">
      <c r="A509" s="43" t="s">
        <v>640</v>
      </c>
      <c r="B509" s="110" t="s">
        <v>641</v>
      </c>
      <c r="C509" s="45">
        <v>2017</v>
      </c>
      <c r="D509" s="110" t="s">
        <v>77</v>
      </c>
      <c r="E509" s="47">
        <v>0</v>
      </c>
      <c r="F509" s="47">
        <v>0</v>
      </c>
      <c r="G509" s="47">
        <v>0</v>
      </c>
      <c r="H509" s="47">
        <v>0</v>
      </c>
      <c r="I509" s="47">
        <v>0</v>
      </c>
      <c r="J509" s="47">
        <v>0</v>
      </c>
      <c r="K509" s="47">
        <v>0</v>
      </c>
      <c r="L509" s="47">
        <v>0</v>
      </c>
      <c r="M509" s="47">
        <v>0</v>
      </c>
      <c r="N509" s="47">
        <v>4812084.8600000003</v>
      </c>
      <c r="O509" s="47">
        <v>0</v>
      </c>
      <c r="P509" s="47">
        <v>0</v>
      </c>
      <c r="Q509" s="47">
        <v>0</v>
      </c>
      <c r="R509" s="47">
        <v>0</v>
      </c>
      <c r="S509" s="47">
        <v>0</v>
      </c>
      <c r="T509" s="47">
        <v>0</v>
      </c>
      <c r="U509" s="47">
        <v>0</v>
      </c>
      <c r="V509" s="47">
        <v>0</v>
      </c>
      <c r="W509" s="47">
        <v>0</v>
      </c>
      <c r="X509" s="47">
        <v>0</v>
      </c>
      <c r="Y509" s="180">
        <v>4812084.8600000003</v>
      </c>
      <c r="Z509" s="58">
        <v>537490.21</v>
      </c>
      <c r="AA509" s="50">
        <v>537490.21</v>
      </c>
      <c r="AB509" s="50">
        <v>0</v>
      </c>
      <c r="AC509" s="50">
        <v>7189.78</v>
      </c>
      <c r="AD509" s="50">
        <v>0</v>
      </c>
      <c r="AE509" s="112">
        <v>234850</v>
      </c>
      <c r="AF509" s="50">
        <v>0</v>
      </c>
      <c r="AG509" s="49">
        <v>779529.99</v>
      </c>
      <c r="AH509" s="51" t="s">
        <v>104</v>
      </c>
      <c r="AI509" s="51" t="s">
        <v>74</v>
      </c>
      <c r="AJ509" s="51" t="s">
        <v>643</v>
      </c>
      <c r="AK509" s="51" t="s">
        <v>74</v>
      </c>
      <c r="AL509" s="51" t="s">
        <v>644</v>
      </c>
      <c r="AM509" s="51" t="s">
        <v>74</v>
      </c>
      <c r="AN509" s="52">
        <v>0</v>
      </c>
      <c r="AO509" s="52">
        <v>0</v>
      </c>
      <c r="AP509" s="52">
        <v>0</v>
      </c>
      <c r="AQ509" s="52">
        <v>0</v>
      </c>
      <c r="AR509" s="52">
        <v>0</v>
      </c>
      <c r="AS509" s="52">
        <v>0</v>
      </c>
      <c r="AT509" s="53" t="s">
        <v>74</v>
      </c>
      <c r="AU509" s="52">
        <v>0</v>
      </c>
      <c r="AV509" s="52"/>
      <c r="AW509" s="52">
        <v>0</v>
      </c>
      <c r="AX509" s="52"/>
      <c r="AY509" s="52"/>
      <c r="AZ509" s="52">
        <v>0</v>
      </c>
      <c r="BA509" s="52">
        <v>0</v>
      </c>
      <c r="BB509" s="54" t="s">
        <v>74</v>
      </c>
      <c r="BC509" s="53" t="s">
        <v>74</v>
      </c>
      <c r="BD509" s="55" t="s">
        <v>74</v>
      </c>
      <c r="BE509" s="55" t="s">
        <v>74</v>
      </c>
      <c r="BF509" s="55" t="s">
        <v>74</v>
      </c>
      <c r="BG509" s="55" t="s">
        <v>74</v>
      </c>
      <c r="BH509" s="52">
        <v>0</v>
      </c>
      <c r="BI509" s="52">
        <v>4032554.87</v>
      </c>
      <c r="BJ509" s="52">
        <v>4032554.87</v>
      </c>
      <c r="BK509" s="56">
        <v>42795</v>
      </c>
      <c r="BL509" s="57">
        <v>4032554.87</v>
      </c>
      <c r="BM509" s="47">
        <v>0</v>
      </c>
      <c r="BN509" s="9"/>
      <c r="BO509" s="9"/>
      <c r="BP509" s="9"/>
      <c r="BQ509" s="9"/>
      <c r="BR509" s="9"/>
      <c r="BS509" s="9"/>
      <c r="BT509" s="9"/>
      <c r="BU509" s="9"/>
      <c r="BV509" s="9"/>
      <c r="BW509" s="9"/>
    </row>
    <row r="510" spans="1:75" ht="39" hidden="1" outlineLevel="2" x14ac:dyDescent="0.25">
      <c r="A510" s="43" t="s">
        <v>640</v>
      </c>
      <c r="B510" s="110" t="s">
        <v>641</v>
      </c>
      <c r="C510" s="45">
        <v>2017</v>
      </c>
      <c r="D510" s="110" t="s">
        <v>79</v>
      </c>
      <c r="E510" s="47">
        <v>0</v>
      </c>
      <c r="F510" s="47">
        <v>0</v>
      </c>
      <c r="G510" s="47">
        <v>0</v>
      </c>
      <c r="H510" s="47">
        <v>0</v>
      </c>
      <c r="I510" s="47">
        <v>0</v>
      </c>
      <c r="J510" s="47">
        <v>0</v>
      </c>
      <c r="K510" s="47">
        <v>0</v>
      </c>
      <c r="L510" s="47">
        <v>0</v>
      </c>
      <c r="M510" s="47">
        <v>0</v>
      </c>
      <c r="N510" s="47">
        <v>4812084.8600000003</v>
      </c>
      <c r="O510" s="47">
        <v>0</v>
      </c>
      <c r="P510" s="47">
        <v>0</v>
      </c>
      <c r="Q510" s="47">
        <v>0</v>
      </c>
      <c r="R510" s="47">
        <v>0</v>
      </c>
      <c r="S510" s="47">
        <v>0</v>
      </c>
      <c r="T510" s="47">
        <v>0</v>
      </c>
      <c r="U510" s="47">
        <v>0</v>
      </c>
      <c r="V510" s="47">
        <v>0</v>
      </c>
      <c r="W510" s="47">
        <v>0</v>
      </c>
      <c r="X510" s="47">
        <v>0</v>
      </c>
      <c r="Y510" s="180">
        <v>4812084.8600000003</v>
      </c>
      <c r="Z510" s="58">
        <v>564720.61</v>
      </c>
      <c r="AA510" s="50">
        <v>564720.61</v>
      </c>
      <c r="AB510" s="50">
        <v>0</v>
      </c>
      <c r="AC510" s="50">
        <v>6084.82</v>
      </c>
      <c r="AD510" s="50">
        <v>0</v>
      </c>
      <c r="AE510" s="112">
        <v>234850</v>
      </c>
      <c r="AF510" s="50">
        <v>0</v>
      </c>
      <c r="AG510" s="49">
        <v>805655.43</v>
      </c>
      <c r="AH510" s="51" t="s">
        <v>104</v>
      </c>
      <c r="AI510" s="51" t="s">
        <v>74</v>
      </c>
      <c r="AJ510" s="51" t="s">
        <v>80</v>
      </c>
      <c r="AK510" s="51" t="s">
        <v>74</v>
      </c>
      <c r="AL510" s="51" t="s">
        <v>644</v>
      </c>
      <c r="AM510" s="51" t="s">
        <v>74</v>
      </c>
      <c r="AN510" s="52">
        <v>0</v>
      </c>
      <c r="AO510" s="52">
        <v>0</v>
      </c>
      <c r="AP510" s="52">
        <v>0</v>
      </c>
      <c r="AQ510" s="52">
        <v>0</v>
      </c>
      <c r="AR510" s="52">
        <v>0</v>
      </c>
      <c r="AS510" s="52">
        <v>0</v>
      </c>
      <c r="AT510" s="53" t="s">
        <v>74</v>
      </c>
      <c r="AU510" s="52">
        <v>0</v>
      </c>
      <c r="AV510" s="52"/>
      <c r="AW510" s="52">
        <v>0</v>
      </c>
      <c r="AX510" s="52"/>
      <c r="AY510" s="52"/>
      <c r="AZ510" s="52">
        <v>0</v>
      </c>
      <c r="BA510" s="52">
        <v>0</v>
      </c>
      <c r="BB510" s="54" t="s">
        <v>74</v>
      </c>
      <c r="BC510" s="53" t="s">
        <v>74</v>
      </c>
      <c r="BD510" s="55" t="s">
        <v>74</v>
      </c>
      <c r="BE510" s="55" t="s">
        <v>74</v>
      </c>
      <c r="BF510" s="55" t="s">
        <v>74</v>
      </c>
      <c r="BG510" s="55" t="s">
        <v>74</v>
      </c>
      <c r="BH510" s="52">
        <v>0</v>
      </c>
      <c r="BI510" s="52">
        <v>4006429.43</v>
      </c>
      <c r="BJ510" s="52">
        <v>4006429.43</v>
      </c>
      <c r="BK510" s="56">
        <v>42826</v>
      </c>
      <c r="BL510" s="57">
        <v>4006429.43</v>
      </c>
      <c r="BM510" s="47">
        <v>0</v>
      </c>
      <c r="BN510" s="9"/>
      <c r="BO510" s="9"/>
      <c r="BP510" s="9"/>
      <c r="BQ510" s="9"/>
      <c r="BR510" s="9"/>
      <c r="BS510" s="9"/>
      <c r="BT510" s="9"/>
      <c r="BU510" s="9"/>
      <c r="BV510" s="9"/>
      <c r="BW510" s="9"/>
    </row>
    <row r="511" spans="1:75" ht="39" hidden="1" outlineLevel="2" x14ac:dyDescent="0.25">
      <c r="A511" s="43" t="s">
        <v>640</v>
      </c>
      <c r="B511" s="110" t="s">
        <v>641</v>
      </c>
      <c r="C511" s="45">
        <v>2017</v>
      </c>
      <c r="D511" s="110" t="s">
        <v>81</v>
      </c>
      <c r="E511" s="47">
        <v>0</v>
      </c>
      <c r="F511" s="47">
        <v>0</v>
      </c>
      <c r="G511" s="47">
        <v>0</v>
      </c>
      <c r="H511" s="47">
        <v>0</v>
      </c>
      <c r="I511" s="47">
        <v>0</v>
      </c>
      <c r="J511" s="47">
        <v>0</v>
      </c>
      <c r="K511" s="47">
        <v>0</v>
      </c>
      <c r="L511" s="47">
        <v>0</v>
      </c>
      <c r="M511" s="47">
        <v>0</v>
      </c>
      <c r="N511" s="47">
        <v>4812084.8600000003</v>
      </c>
      <c r="O511" s="47">
        <v>0</v>
      </c>
      <c r="P511" s="47">
        <v>0</v>
      </c>
      <c r="Q511" s="47">
        <v>0</v>
      </c>
      <c r="R511" s="47">
        <v>0</v>
      </c>
      <c r="S511" s="47">
        <v>0</v>
      </c>
      <c r="T511" s="47">
        <v>0</v>
      </c>
      <c r="U511" s="47">
        <v>0</v>
      </c>
      <c r="V511" s="47">
        <v>0</v>
      </c>
      <c r="W511" s="47">
        <v>0</v>
      </c>
      <c r="X511" s="47">
        <v>0</v>
      </c>
      <c r="Y511" s="180">
        <v>4812084.8600000003</v>
      </c>
      <c r="Z511" s="58">
        <v>515217.47</v>
      </c>
      <c r="AA511" s="50">
        <v>515217.47</v>
      </c>
      <c r="AB511" s="50">
        <v>0</v>
      </c>
      <c r="AC511" s="50">
        <v>6177.19</v>
      </c>
      <c r="AD511" s="50">
        <v>0</v>
      </c>
      <c r="AE511" s="112">
        <v>234850</v>
      </c>
      <c r="AF511" s="50">
        <v>0</v>
      </c>
      <c r="AG511" s="49">
        <v>756244.66</v>
      </c>
      <c r="AH511" s="51" t="s">
        <v>104</v>
      </c>
      <c r="AI511" s="51" t="s">
        <v>74</v>
      </c>
      <c r="AJ511" s="51" t="s">
        <v>645</v>
      </c>
      <c r="AK511" s="51" t="s">
        <v>74</v>
      </c>
      <c r="AL511" s="51" t="s">
        <v>644</v>
      </c>
      <c r="AM511" s="51" t="s">
        <v>74</v>
      </c>
      <c r="AN511" s="52">
        <v>0</v>
      </c>
      <c r="AO511" s="52">
        <v>0</v>
      </c>
      <c r="AP511" s="52">
        <v>0</v>
      </c>
      <c r="AQ511" s="52">
        <v>0</v>
      </c>
      <c r="AR511" s="52">
        <v>0</v>
      </c>
      <c r="AS511" s="52">
        <v>0</v>
      </c>
      <c r="AT511" s="53" t="s">
        <v>74</v>
      </c>
      <c r="AU511" s="52">
        <v>0</v>
      </c>
      <c r="AV511" s="52"/>
      <c r="AW511" s="52">
        <v>0</v>
      </c>
      <c r="AX511" s="52"/>
      <c r="AY511" s="52"/>
      <c r="AZ511" s="52">
        <v>0</v>
      </c>
      <c r="BA511" s="52">
        <v>0</v>
      </c>
      <c r="BB511" s="54" t="s">
        <v>74</v>
      </c>
      <c r="BC511" s="53" t="s">
        <v>74</v>
      </c>
      <c r="BD511" s="55" t="s">
        <v>74</v>
      </c>
      <c r="BE511" s="55" t="s">
        <v>74</v>
      </c>
      <c r="BF511" s="55" t="s">
        <v>74</v>
      </c>
      <c r="BG511" s="55" t="s">
        <v>74</v>
      </c>
      <c r="BH511" s="52">
        <v>0</v>
      </c>
      <c r="BI511" s="52">
        <v>4055840.2</v>
      </c>
      <c r="BJ511" s="52">
        <v>4055840.2</v>
      </c>
      <c r="BK511" s="56">
        <v>42856</v>
      </c>
      <c r="BL511" s="57">
        <v>4055840.2</v>
      </c>
      <c r="BM511" s="47">
        <v>0</v>
      </c>
      <c r="BN511" s="9"/>
      <c r="BO511" s="9"/>
      <c r="BP511" s="9"/>
      <c r="BQ511" s="9"/>
      <c r="BR511" s="9"/>
      <c r="BS511" s="9"/>
      <c r="BT511" s="9"/>
      <c r="BU511" s="9"/>
      <c r="BV511" s="9"/>
      <c r="BW511" s="9"/>
    </row>
    <row r="512" spans="1:75" ht="128.25" hidden="1" outlineLevel="2" x14ac:dyDescent="0.25">
      <c r="A512" s="43" t="s">
        <v>640</v>
      </c>
      <c r="B512" s="110" t="s">
        <v>641</v>
      </c>
      <c r="C512" s="45">
        <v>2017</v>
      </c>
      <c r="D512" s="110" t="s">
        <v>83</v>
      </c>
      <c r="E512" s="47">
        <v>0</v>
      </c>
      <c r="F512" s="47">
        <v>0</v>
      </c>
      <c r="G512" s="47">
        <v>0</v>
      </c>
      <c r="H512" s="47">
        <v>0</v>
      </c>
      <c r="I512" s="47">
        <v>0</v>
      </c>
      <c r="J512" s="47">
        <v>0</v>
      </c>
      <c r="K512" s="47">
        <v>0</v>
      </c>
      <c r="L512" s="47">
        <v>0</v>
      </c>
      <c r="M512" s="47">
        <v>0</v>
      </c>
      <c r="N512" s="47">
        <v>4330876.37</v>
      </c>
      <c r="O512" s="47">
        <v>630047.94999999995</v>
      </c>
      <c r="P512" s="47">
        <v>0</v>
      </c>
      <c r="Q512" s="47">
        <v>0</v>
      </c>
      <c r="R512" s="47">
        <v>0</v>
      </c>
      <c r="S512" s="47">
        <v>0</v>
      </c>
      <c r="T512" s="47">
        <v>0</v>
      </c>
      <c r="U512" s="47">
        <v>0</v>
      </c>
      <c r="V512" s="47">
        <v>0</v>
      </c>
      <c r="W512" s="47">
        <v>0</v>
      </c>
      <c r="X512" s="47">
        <v>0</v>
      </c>
      <c r="Y512" s="180">
        <v>4960924.32</v>
      </c>
      <c r="Z512" s="58">
        <v>670919.65</v>
      </c>
      <c r="AA512" s="50">
        <v>670919.65</v>
      </c>
      <c r="AB512" s="50">
        <v>0</v>
      </c>
      <c r="AC512" s="50">
        <v>6177.19</v>
      </c>
      <c r="AD512" s="50">
        <v>0</v>
      </c>
      <c r="AE512" s="112">
        <v>234850</v>
      </c>
      <c r="AF512" s="50">
        <v>0</v>
      </c>
      <c r="AG512" s="49">
        <v>911946.84</v>
      </c>
      <c r="AH512" s="51" t="s">
        <v>646</v>
      </c>
      <c r="AI512" s="51" t="s">
        <v>74</v>
      </c>
      <c r="AJ512" s="51" t="s">
        <v>647</v>
      </c>
      <c r="AK512" s="51" t="s">
        <v>74</v>
      </c>
      <c r="AL512" s="51" t="s">
        <v>644</v>
      </c>
      <c r="AM512" s="51" t="s">
        <v>74</v>
      </c>
      <c r="AN512" s="52">
        <v>0</v>
      </c>
      <c r="AO512" s="52">
        <v>0</v>
      </c>
      <c r="AP512" s="52">
        <v>0</v>
      </c>
      <c r="AQ512" s="52">
        <v>0</v>
      </c>
      <c r="AR512" s="52">
        <v>0</v>
      </c>
      <c r="AS512" s="52">
        <v>0</v>
      </c>
      <c r="AT512" s="53" t="s">
        <v>74</v>
      </c>
      <c r="AU512" s="52">
        <v>0</v>
      </c>
      <c r="AV512" s="52"/>
      <c r="AW512" s="52">
        <v>0</v>
      </c>
      <c r="AX512" s="52"/>
      <c r="AY512" s="52"/>
      <c r="AZ512" s="52">
        <v>0</v>
      </c>
      <c r="BA512" s="52">
        <v>0</v>
      </c>
      <c r="BB512" s="54" t="s">
        <v>74</v>
      </c>
      <c r="BC512" s="53" t="s">
        <v>74</v>
      </c>
      <c r="BD512" s="55" t="s">
        <v>74</v>
      </c>
      <c r="BE512" s="55" t="s">
        <v>74</v>
      </c>
      <c r="BF512" s="55" t="s">
        <v>74</v>
      </c>
      <c r="BG512" s="55" t="s">
        <v>74</v>
      </c>
      <c r="BH512" s="52">
        <v>0</v>
      </c>
      <c r="BI512" s="52">
        <v>4048977.48</v>
      </c>
      <c r="BJ512" s="52">
        <v>4048977.48</v>
      </c>
      <c r="BK512" s="56">
        <v>42887</v>
      </c>
      <c r="BL512" s="57">
        <v>4048977.48</v>
      </c>
      <c r="BM512" s="47">
        <v>0</v>
      </c>
      <c r="BN512" s="9"/>
      <c r="BO512" s="9"/>
      <c r="BP512" s="9"/>
      <c r="BQ512" s="9"/>
      <c r="BR512" s="9"/>
      <c r="BS512" s="9"/>
      <c r="BT512" s="9"/>
      <c r="BU512" s="9"/>
      <c r="BV512" s="9"/>
      <c r="BW512" s="9"/>
    </row>
    <row r="513" spans="1:75" ht="128.25" hidden="1" outlineLevel="2" x14ac:dyDescent="0.25">
      <c r="A513" s="43" t="s">
        <v>640</v>
      </c>
      <c r="B513" s="110" t="s">
        <v>641</v>
      </c>
      <c r="C513" s="45">
        <v>2017</v>
      </c>
      <c r="D513" s="110" t="s">
        <v>84</v>
      </c>
      <c r="E513" s="47">
        <v>0</v>
      </c>
      <c r="F513" s="47">
        <v>0</v>
      </c>
      <c r="G513" s="47">
        <v>0</v>
      </c>
      <c r="H513" s="47">
        <v>0</v>
      </c>
      <c r="I513" s="47">
        <v>0</v>
      </c>
      <c r="J513" s="47">
        <v>0</v>
      </c>
      <c r="K513" s="47">
        <v>0</v>
      </c>
      <c r="L513" s="47">
        <v>0</v>
      </c>
      <c r="M513" s="47">
        <v>0</v>
      </c>
      <c r="N513" s="47">
        <v>0</v>
      </c>
      <c r="O513" s="47">
        <v>6300479.54</v>
      </c>
      <c r="P513" s="47">
        <v>0</v>
      </c>
      <c r="Q513" s="47">
        <v>0</v>
      </c>
      <c r="R513" s="47">
        <v>0</v>
      </c>
      <c r="S513" s="47">
        <v>0</v>
      </c>
      <c r="T513" s="47">
        <v>0</v>
      </c>
      <c r="U513" s="47">
        <v>0</v>
      </c>
      <c r="V513" s="47">
        <v>0</v>
      </c>
      <c r="W513" s="47">
        <v>0</v>
      </c>
      <c r="X513" s="47">
        <v>0</v>
      </c>
      <c r="Y513" s="180">
        <v>6300479.54</v>
      </c>
      <c r="Z513" s="58">
        <v>1966683.2</v>
      </c>
      <c r="AA513" s="50">
        <v>1966683.2</v>
      </c>
      <c r="AB513" s="50">
        <v>0</v>
      </c>
      <c r="AC513" s="50">
        <v>6129.99</v>
      </c>
      <c r="AD513" s="50">
        <v>0</v>
      </c>
      <c r="AE513" s="50">
        <v>0</v>
      </c>
      <c r="AF513" s="50">
        <v>0</v>
      </c>
      <c r="AG513" s="49">
        <v>1972813.19</v>
      </c>
      <c r="AH513" s="51" t="s">
        <v>646</v>
      </c>
      <c r="AI513" s="51" t="s">
        <v>74</v>
      </c>
      <c r="AJ513" s="51" t="s">
        <v>647</v>
      </c>
      <c r="AK513" s="51" t="s">
        <v>74</v>
      </c>
      <c r="AL513" s="51" t="s">
        <v>74</v>
      </c>
      <c r="AM513" s="51" t="s">
        <v>74</v>
      </c>
      <c r="AN513" s="52">
        <v>0</v>
      </c>
      <c r="AO513" s="52">
        <v>0</v>
      </c>
      <c r="AP513" s="167"/>
      <c r="AQ513" s="52">
        <v>0</v>
      </c>
      <c r="AR513" s="52">
        <v>0</v>
      </c>
      <c r="AS513" s="52">
        <v>0</v>
      </c>
      <c r="AT513" s="53" t="s">
        <v>74</v>
      </c>
      <c r="AU513" s="167">
        <v>604824.99</v>
      </c>
      <c r="AV513" s="52"/>
      <c r="AW513" s="52">
        <v>0</v>
      </c>
      <c r="AX513" s="52"/>
      <c r="AY513" s="52"/>
      <c r="AZ513" s="52">
        <v>0</v>
      </c>
      <c r="BA513" s="52">
        <v>604824.99</v>
      </c>
      <c r="BB513" s="55" t="s">
        <v>648</v>
      </c>
      <c r="BC513" s="51" t="s">
        <v>74</v>
      </c>
      <c r="BD513" s="54" t="s">
        <v>74</v>
      </c>
      <c r="BE513" s="54" t="s">
        <v>74</v>
      </c>
      <c r="BF513" s="54" t="s">
        <v>74</v>
      </c>
      <c r="BG513" s="54" t="s">
        <v>74</v>
      </c>
      <c r="BH513" s="52">
        <v>604824.99</v>
      </c>
      <c r="BI513" s="52">
        <v>4932491.34</v>
      </c>
      <c r="BJ513" s="52">
        <v>4327666.3499999996</v>
      </c>
      <c r="BK513" s="56">
        <v>42917</v>
      </c>
      <c r="BL513" s="57">
        <v>4932491.34</v>
      </c>
      <c r="BM513" s="47">
        <v>0</v>
      </c>
      <c r="BN513" s="9"/>
      <c r="BO513" s="9"/>
      <c r="BP513" s="9"/>
      <c r="BQ513" s="9"/>
      <c r="BR513" s="9"/>
      <c r="BS513" s="9"/>
      <c r="BT513" s="9"/>
      <c r="BU513" s="9"/>
      <c r="BV513" s="9"/>
      <c r="BW513" s="9"/>
    </row>
    <row r="514" spans="1:75" ht="128.25" hidden="1" outlineLevel="2" x14ac:dyDescent="0.25">
      <c r="A514" s="43" t="s">
        <v>640</v>
      </c>
      <c r="B514" s="110" t="s">
        <v>641</v>
      </c>
      <c r="C514" s="45">
        <v>2017</v>
      </c>
      <c r="D514" s="110" t="s">
        <v>86</v>
      </c>
      <c r="E514" s="47">
        <v>0</v>
      </c>
      <c r="F514" s="47">
        <v>0</v>
      </c>
      <c r="G514" s="47">
        <v>0</v>
      </c>
      <c r="H514" s="47">
        <v>0</v>
      </c>
      <c r="I514" s="47">
        <v>0</v>
      </c>
      <c r="J514" s="47">
        <v>0</v>
      </c>
      <c r="K514" s="47">
        <v>0</v>
      </c>
      <c r="L514" s="47">
        <v>0</v>
      </c>
      <c r="M514" s="47">
        <v>0</v>
      </c>
      <c r="N514" s="47">
        <v>0</v>
      </c>
      <c r="O514" s="47">
        <v>6300479.54</v>
      </c>
      <c r="P514" s="47">
        <v>0</v>
      </c>
      <c r="Q514" s="47">
        <v>0</v>
      </c>
      <c r="R514" s="47">
        <v>0</v>
      </c>
      <c r="S514" s="47">
        <v>0</v>
      </c>
      <c r="T514" s="47">
        <v>0</v>
      </c>
      <c r="U514" s="47">
        <v>0</v>
      </c>
      <c r="V514" s="47">
        <v>0</v>
      </c>
      <c r="W514" s="47">
        <v>0</v>
      </c>
      <c r="X514" s="47">
        <v>0</v>
      </c>
      <c r="Y514" s="180">
        <v>6300479.54</v>
      </c>
      <c r="Z514" s="58">
        <v>1422003.21</v>
      </c>
      <c r="AA514" s="50">
        <v>1422003.21</v>
      </c>
      <c r="AB514" s="50">
        <v>0</v>
      </c>
      <c r="AC514" s="50">
        <v>6129.99</v>
      </c>
      <c r="AD514" s="50">
        <v>0</v>
      </c>
      <c r="AE514" s="50">
        <v>0</v>
      </c>
      <c r="AF514" s="50">
        <v>0</v>
      </c>
      <c r="AG514" s="49">
        <v>1428133.2</v>
      </c>
      <c r="AH514" s="51" t="s">
        <v>646</v>
      </c>
      <c r="AI514" s="51" t="s">
        <v>74</v>
      </c>
      <c r="AJ514" s="51" t="s">
        <v>647</v>
      </c>
      <c r="AK514" s="51" t="s">
        <v>74</v>
      </c>
      <c r="AL514" s="51" t="s">
        <v>74</v>
      </c>
      <c r="AM514" s="51" t="s">
        <v>74</v>
      </c>
      <c r="AN514" s="52">
        <v>0</v>
      </c>
      <c r="AO514" s="52">
        <v>0</v>
      </c>
      <c r="AP514" s="52">
        <v>0</v>
      </c>
      <c r="AQ514" s="52">
        <v>0</v>
      </c>
      <c r="AR514" s="52">
        <v>0</v>
      </c>
      <c r="AS514" s="52">
        <v>0</v>
      </c>
      <c r="AT514" s="53" t="s">
        <v>74</v>
      </c>
      <c r="AU514" s="52">
        <v>0</v>
      </c>
      <c r="AV514" s="52"/>
      <c r="AW514" s="52">
        <v>0</v>
      </c>
      <c r="AX514" s="52"/>
      <c r="AY514" s="52"/>
      <c r="AZ514" s="52">
        <v>0</v>
      </c>
      <c r="BA514" s="52">
        <v>0</v>
      </c>
      <c r="BB514" s="54" t="s">
        <v>74</v>
      </c>
      <c r="BC514" s="53" t="s">
        <v>74</v>
      </c>
      <c r="BD514" s="55" t="s">
        <v>74</v>
      </c>
      <c r="BE514" s="55" t="s">
        <v>74</v>
      </c>
      <c r="BF514" s="55" t="s">
        <v>74</v>
      </c>
      <c r="BG514" s="55" t="s">
        <v>74</v>
      </c>
      <c r="BH514" s="52">
        <v>0</v>
      </c>
      <c r="BI514" s="52">
        <v>4872346.34</v>
      </c>
      <c r="BJ514" s="52">
        <v>4872346.34</v>
      </c>
      <c r="BK514" s="56">
        <v>42948</v>
      </c>
      <c r="BL514" s="57">
        <v>4872346.34</v>
      </c>
      <c r="BM514" s="47">
        <v>0</v>
      </c>
      <c r="BN514" s="9"/>
      <c r="BO514" s="9"/>
      <c r="BP514" s="9"/>
      <c r="BQ514" s="9"/>
      <c r="BR514" s="9"/>
      <c r="BS514" s="9"/>
      <c r="BT514" s="9"/>
      <c r="BU514" s="9"/>
      <c r="BV514" s="9"/>
      <c r="BW514" s="9"/>
    </row>
    <row r="515" spans="1:75" ht="128.25" hidden="1" outlineLevel="2" x14ac:dyDescent="0.25">
      <c r="A515" s="43" t="s">
        <v>640</v>
      </c>
      <c r="B515" s="110" t="s">
        <v>641</v>
      </c>
      <c r="C515" s="45">
        <v>2017</v>
      </c>
      <c r="D515" s="110" t="s">
        <v>88</v>
      </c>
      <c r="E515" s="47">
        <v>0</v>
      </c>
      <c r="F515" s="47">
        <v>0</v>
      </c>
      <c r="G515" s="47">
        <v>0</v>
      </c>
      <c r="H515" s="47">
        <v>0</v>
      </c>
      <c r="I515" s="47">
        <v>0</v>
      </c>
      <c r="J515" s="47">
        <v>0</v>
      </c>
      <c r="K515" s="47">
        <v>0</v>
      </c>
      <c r="L515" s="47">
        <v>0</v>
      </c>
      <c r="M515" s="47">
        <v>0</v>
      </c>
      <c r="N515" s="47">
        <v>0</v>
      </c>
      <c r="O515" s="47">
        <v>6300479.54</v>
      </c>
      <c r="P515" s="47">
        <v>0</v>
      </c>
      <c r="Q515" s="47">
        <v>0</v>
      </c>
      <c r="R515" s="47">
        <v>0</v>
      </c>
      <c r="S515" s="47">
        <v>0</v>
      </c>
      <c r="T515" s="47">
        <v>0</v>
      </c>
      <c r="U515" s="47">
        <v>0</v>
      </c>
      <c r="V515" s="47">
        <v>0</v>
      </c>
      <c r="W515" s="47">
        <v>0</v>
      </c>
      <c r="X515" s="47">
        <v>0</v>
      </c>
      <c r="Y515" s="180">
        <v>6300479.54</v>
      </c>
      <c r="Z515" s="58">
        <v>1422003.21</v>
      </c>
      <c r="AA515" s="50">
        <v>1422003.21</v>
      </c>
      <c r="AB515" s="50">
        <v>0</v>
      </c>
      <c r="AC515" s="50">
        <v>6129.99</v>
      </c>
      <c r="AD515" s="50">
        <v>0</v>
      </c>
      <c r="AE515" s="50">
        <v>0</v>
      </c>
      <c r="AF515" s="50">
        <v>0</v>
      </c>
      <c r="AG515" s="49">
        <v>1428133.2</v>
      </c>
      <c r="AH515" s="51" t="s">
        <v>646</v>
      </c>
      <c r="AI515" s="51" t="s">
        <v>74</v>
      </c>
      <c r="AJ515" s="51" t="s">
        <v>647</v>
      </c>
      <c r="AK515" s="51" t="s">
        <v>74</v>
      </c>
      <c r="AL515" s="51" t="s">
        <v>74</v>
      </c>
      <c r="AM515" s="51" t="s">
        <v>74</v>
      </c>
      <c r="AN515" s="52">
        <v>0</v>
      </c>
      <c r="AO515" s="52">
        <v>0</v>
      </c>
      <c r="AP515" s="52">
        <v>0</v>
      </c>
      <c r="AQ515" s="52">
        <v>0</v>
      </c>
      <c r="AR515" s="52">
        <v>0</v>
      </c>
      <c r="AS515" s="52">
        <v>0</v>
      </c>
      <c r="AT515" s="53" t="s">
        <v>74</v>
      </c>
      <c r="AU515" s="52">
        <v>0</v>
      </c>
      <c r="AV515" s="52"/>
      <c r="AW515" s="52">
        <v>0</v>
      </c>
      <c r="AX515" s="52"/>
      <c r="AY515" s="52"/>
      <c r="AZ515" s="52">
        <v>0</v>
      </c>
      <c r="BA515" s="52">
        <v>0</v>
      </c>
      <c r="BB515" s="54" t="s">
        <v>74</v>
      </c>
      <c r="BC515" s="53" t="s">
        <v>74</v>
      </c>
      <c r="BD515" s="55" t="s">
        <v>74</v>
      </c>
      <c r="BE515" s="55" t="s">
        <v>74</v>
      </c>
      <c r="BF515" s="55" t="s">
        <v>74</v>
      </c>
      <c r="BG515" s="55" t="s">
        <v>74</v>
      </c>
      <c r="BH515" s="52">
        <v>0</v>
      </c>
      <c r="BI515" s="52">
        <v>4872346.34</v>
      </c>
      <c r="BJ515" s="52">
        <v>4872346.34</v>
      </c>
      <c r="BK515" s="56">
        <v>42979</v>
      </c>
      <c r="BL515" s="57">
        <v>4872346.34</v>
      </c>
      <c r="BM515" s="47">
        <v>0</v>
      </c>
      <c r="BN515" s="9"/>
      <c r="BO515" s="9"/>
      <c r="BP515" s="9"/>
      <c r="BQ515" s="9"/>
      <c r="BR515" s="9"/>
      <c r="BS515" s="9"/>
      <c r="BT515" s="9"/>
      <c r="BU515" s="9"/>
      <c r="BV515" s="9"/>
      <c r="BW515" s="9"/>
    </row>
    <row r="516" spans="1:75" ht="128.25" hidden="1" outlineLevel="2" x14ac:dyDescent="0.25">
      <c r="A516" s="43" t="s">
        <v>640</v>
      </c>
      <c r="B516" s="110" t="s">
        <v>641</v>
      </c>
      <c r="C516" s="45">
        <v>2017</v>
      </c>
      <c r="D516" s="110" t="s">
        <v>89</v>
      </c>
      <c r="E516" s="47">
        <v>0</v>
      </c>
      <c r="F516" s="47">
        <v>0</v>
      </c>
      <c r="G516" s="47">
        <v>0</v>
      </c>
      <c r="H516" s="47">
        <v>0</v>
      </c>
      <c r="I516" s="47">
        <v>0</v>
      </c>
      <c r="J516" s="47">
        <v>0</v>
      </c>
      <c r="K516" s="47">
        <v>0</v>
      </c>
      <c r="L516" s="47">
        <v>0</v>
      </c>
      <c r="M516" s="47">
        <v>0</v>
      </c>
      <c r="N516" s="47">
        <v>0</v>
      </c>
      <c r="O516" s="47">
        <v>6300479.54</v>
      </c>
      <c r="P516" s="47">
        <v>0</v>
      </c>
      <c r="Q516" s="47">
        <v>0</v>
      </c>
      <c r="R516" s="47">
        <v>0</v>
      </c>
      <c r="S516" s="47">
        <v>0</v>
      </c>
      <c r="T516" s="47">
        <v>0</v>
      </c>
      <c r="U516" s="47">
        <v>0</v>
      </c>
      <c r="V516" s="47">
        <v>0</v>
      </c>
      <c r="W516" s="47">
        <v>0</v>
      </c>
      <c r="X516" s="47">
        <v>0</v>
      </c>
      <c r="Y516" s="180">
        <v>6300479.54</v>
      </c>
      <c r="Z516" s="58">
        <v>1767930.63</v>
      </c>
      <c r="AA516" s="50">
        <v>1767930.63</v>
      </c>
      <c r="AB516" s="50">
        <v>0</v>
      </c>
      <c r="AC516" s="50">
        <v>6822.23</v>
      </c>
      <c r="AD516" s="50">
        <v>0</v>
      </c>
      <c r="AE516" s="50">
        <v>0</v>
      </c>
      <c r="AF516" s="50">
        <v>0</v>
      </c>
      <c r="AG516" s="49">
        <v>1774752.86</v>
      </c>
      <c r="AH516" s="51" t="s">
        <v>646</v>
      </c>
      <c r="AI516" s="51" t="s">
        <v>74</v>
      </c>
      <c r="AJ516" s="51" t="s">
        <v>647</v>
      </c>
      <c r="AK516" s="51" t="s">
        <v>74</v>
      </c>
      <c r="AL516" s="51" t="s">
        <v>74</v>
      </c>
      <c r="AM516" s="51" t="s">
        <v>74</v>
      </c>
      <c r="AN516" s="52">
        <v>0</v>
      </c>
      <c r="AO516" s="52">
        <v>0</v>
      </c>
      <c r="AP516" s="52">
        <v>0</v>
      </c>
      <c r="AQ516" s="52">
        <v>0</v>
      </c>
      <c r="AR516" s="52">
        <v>0</v>
      </c>
      <c r="AS516" s="52">
        <v>0</v>
      </c>
      <c r="AT516" s="53" t="s">
        <v>74</v>
      </c>
      <c r="AU516" s="52">
        <v>0</v>
      </c>
      <c r="AV516" s="52"/>
      <c r="AW516" s="52">
        <v>0</v>
      </c>
      <c r="AX516" s="52"/>
      <c r="AY516" s="52"/>
      <c r="AZ516" s="52">
        <v>0</v>
      </c>
      <c r="BA516" s="52">
        <v>0</v>
      </c>
      <c r="BB516" s="54" t="s">
        <v>74</v>
      </c>
      <c r="BC516" s="53" t="s">
        <v>74</v>
      </c>
      <c r="BD516" s="55" t="s">
        <v>74</v>
      </c>
      <c r="BE516" s="55" t="s">
        <v>74</v>
      </c>
      <c r="BF516" s="55" t="s">
        <v>74</v>
      </c>
      <c r="BG516" s="55" t="s">
        <v>74</v>
      </c>
      <c r="BH516" s="52">
        <v>0</v>
      </c>
      <c r="BI516" s="52">
        <v>4525726.68</v>
      </c>
      <c r="BJ516" s="52">
        <v>4525726.68</v>
      </c>
      <c r="BK516" s="56">
        <v>43009</v>
      </c>
      <c r="BL516" s="57">
        <v>4525726.68</v>
      </c>
      <c r="BM516" s="47">
        <v>0</v>
      </c>
      <c r="BN516" s="9"/>
      <c r="BO516" s="9"/>
      <c r="BP516" s="9"/>
      <c r="BQ516" s="9"/>
      <c r="BR516" s="9"/>
      <c r="BS516" s="9"/>
      <c r="BT516" s="9"/>
      <c r="BU516" s="9"/>
      <c r="BV516" s="9"/>
      <c r="BW516" s="9"/>
    </row>
    <row r="517" spans="1:75" ht="64.5" hidden="1" outlineLevel="2" x14ac:dyDescent="0.25">
      <c r="A517" s="43" t="s">
        <v>640</v>
      </c>
      <c r="B517" s="110" t="s">
        <v>641</v>
      </c>
      <c r="C517" s="45">
        <v>2017</v>
      </c>
      <c r="D517" s="110" t="s">
        <v>90</v>
      </c>
      <c r="E517" s="47">
        <v>0</v>
      </c>
      <c r="F517" s="47">
        <v>0</v>
      </c>
      <c r="G517" s="47">
        <v>0</v>
      </c>
      <c r="H517" s="47">
        <v>0</v>
      </c>
      <c r="I517" s="47">
        <v>0</v>
      </c>
      <c r="J517" s="47">
        <v>0</v>
      </c>
      <c r="K517" s="47">
        <v>0</v>
      </c>
      <c r="L517" s="47">
        <v>0</v>
      </c>
      <c r="M517" s="47">
        <v>0</v>
      </c>
      <c r="N517" s="47">
        <v>0</v>
      </c>
      <c r="O517" s="47">
        <v>6300479.54</v>
      </c>
      <c r="P517" s="47">
        <v>0</v>
      </c>
      <c r="Q517" s="47">
        <v>0</v>
      </c>
      <c r="R517" s="47">
        <v>0</v>
      </c>
      <c r="S517" s="47">
        <v>0</v>
      </c>
      <c r="T517" s="47">
        <v>0</v>
      </c>
      <c r="U517" s="47">
        <v>0</v>
      </c>
      <c r="V517" s="47">
        <v>0</v>
      </c>
      <c r="W517" s="47">
        <v>0</v>
      </c>
      <c r="X517" s="47">
        <v>0</v>
      </c>
      <c r="Y517" s="180">
        <v>6300479.54</v>
      </c>
      <c r="Z517" s="58">
        <v>1663570.95</v>
      </c>
      <c r="AA517" s="50">
        <v>1663570.95</v>
      </c>
      <c r="AB517" s="50">
        <v>0</v>
      </c>
      <c r="AC517" s="50">
        <v>6101.76</v>
      </c>
      <c r="AD517" s="50">
        <v>35540.36</v>
      </c>
      <c r="AE517" s="50">
        <v>0</v>
      </c>
      <c r="AF517" s="50">
        <v>0</v>
      </c>
      <c r="AG517" s="49">
        <v>1705213.07</v>
      </c>
      <c r="AH517" s="51" t="s">
        <v>104</v>
      </c>
      <c r="AI517" s="51" t="s">
        <v>74</v>
      </c>
      <c r="AJ517" s="51" t="s">
        <v>91</v>
      </c>
      <c r="AK517" s="51" t="s">
        <v>92</v>
      </c>
      <c r="AL517" s="51" t="s">
        <v>74</v>
      </c>
      <c r="AM517" s="51" t="s">
        <v>74</v>
      </c>
      <c r="AN517" s="52">
        <v>0</v>
      </c>
      <c r="AO517" s="52">
        <v>0</v>
      </c>
      <c r="AP517" s="52">
        <v>0</v>
      </c>
      <c r="AQ517" s="52">
        <v>1663570.95</v>
      </c>
      <c r="AR517" s="52">
        <v>0</v>
      </c>
      <c r="AS517" s="52">
        <v>1663570.95</v>
      </c>
      <c r="AT517" s="51" t="s">
        <v>649</v>
      </c>
      <c r="AU517" s="52">
        <v>0</v>
      </c>
      <c r="AV517" s="52"/>
      <c r="AW517" s="52">
        <v>0</v>
      </c>
      <c r="AX517" s="52"/>
      <c r="AY517" s="52"/>
      <c r="AZ517" s="52">
        <v>0</v>
      </c>
      <c r="BA517" s="52">
        <v>0</v>
      </c>
      <c r="BB517" s="54" t="s">
        <v>74</v>
      </c>
      <c r="BC517" s="53" t="s">
        <v>74</v>
      </c>
      <c r="BD517" s="55" t="s">
        <v>74</v>
      </c>
      <c r="BE517" s="55" t="s">
        <v>74</v>
      </c>
      <c r="BF517" s="55" t="s">
        <v>74</v>
      </c>
      <c r="BG517" s="55" t="s">
        <v>74</v>
      </c>
      <c r="BH517" s="52">
        <v>1663570.95</v>
      </c>
      <c r="BI517" s="52">
        <v>6258837.4199999999</v>
      </c>
      <c r="BJ517" s="52">
        <v>6258837.4199999999</v>
      </c>
      <c r="BK517" s="56">
        <v>43040</v>
      </c>
      <c r="BL517" s="57">
        <v>6258837.4199999999</v>
      </c>
      <c r="BM517" s="47">
        <v>0</v>
      </c>
      <c r="BN517" s="9"/>
      <c r="BO517" s="9"/>
      <c r="BP517" s="9"/>
      <c r="BQ517" s="9"/>
      <c r="BR517" s="9"/>
      <c r="BS517" s="9"/>
      <c r="BT517" s="9"/>
      <c r="BU517" s="9"/>
      <c r="BV517" s="9"/>
      <c r="BW517" s="9"/>
    </row>
    <row r="518" spans="1:75" ht="64.5" hidden="1" outlineLevel="2" x14ac:dyDescent="0.25">
      <c r="A518" s="43" t="s">
        <v>640</v>
      </c>
      <c r="B518" s="110" t="s">
        <v>641</v>
      </c>
      <c r="C518" s="45">
        <v>2017</v>
      </c>
      <c r="D518" s="110" t="s">
        <v>93</v>
      </c>
      <c r="E518" s="47">
        <v>0</v>
      </c>
      <c r="F518" s="47">
        <v>0</v>
      </c>
      <c r="G518" s="47">
        <v>0</v>
      </c>
      <c r="H518" s="47">
        <v>0</v>
      </c>
      <c r="I518" s="47">
        <v>0</v>
      </c>
      <c r="J518" s="47">
        <v>0</v>
      </c>
      <c r="K518" s="47">
        <v>0</v>
      </c>
      <c r="L518" s="47">
        <v>0</v>
      </c>
      <c r="M518" s="47">
        <v>0</v>
      </c>
      <c r="N518" s="47">
        <v>0</v>
      </c>
      <c r="O518" s="47">
        <v>6300479.54</v>
      </c>
      <c r="P518" s="47">
        <v>0</v>
      </c>
      <c r="Q518" s="47">
        <v>0</v>
      </c>
      <c r="R518" s="47">
        <v>0</v>
      </c>
      <c r="S518" s="47">
        <v>0</v>
      </c>
      <c r="T518" s="47">
        <v>0</v>
      </c>
      <c r="U518" s="47">
        <v>0</v>
      </c>
      <c r="V518" s="47">
        <v>0</v>
      </c>
      <c r="W518" s="47">
        <v>0</v>
      </c>
      <c r="X518" s="47">
        <v>0</v>
      </c>
      <c r="Y518" s="180">
        <v>6300479.54</v>
      </c>
      <c r="Z518" s="58">
        <v>1676212.91</v>
      </c>
      <c r="AA518" s="50">
        <v>1676212.91</v>
      </c>
      <c r="AB518" s="50">
        <v>0</v>
      </c>
      <c r="AC518" s="50">
        <v>6204.63</v>
      </c>
      <c r="AD518" s="50">
        <v>42250.06</v>
      </c>
      <c r="AE518" s="50">
        <v>0</v>
      </c>
      <c r="AF518" s="50">
        <v>0</v>
      </c>
      <c r="AG518" s="49">
        <v>1724667.6</v>
      </c>
      <c r="AH518" s="51" t="s">
        <v>104</v>
      </c>
      <c r="AI518" s="51" t="s">
        <v>74</v>
      </c>
      <c r="AJ518" s="51" t="s">
        <v>650</v>
      </c>
      <c r="AK518" s="51" t="s">
        <v>651</v>
      </c>
      <c r="AL518" s="51" t="s">
        <v>74</v>
      </c>
      <c r="AM518" s="51" t="s">
        <v>74</v>
      </c>
      <c r="AN518" s="52">
        <v>0</v>
      </c>
      <c r="AO518" s="52">
        <v>0</v>
      </c>
      <c r="AP518" s="52">
        <v>0</v>
      </c>
      <c r="AQ518" s="52">
        <v>1676212.91</v>
      </c>
      <c r="AR518" s="52">
        <v>0</v>
      </c>
      <c r="AS518" s="52">
        <v>1676212.91</v>
      </c>
      <c r="AT518" s="51" t="s">
        <v>652</v>
      </c>
      <c r="AU518" s="52">
        <v>0</v>
      </c>
      <c r="AV518" s="52"/>
      <c r="AW518" s="52">
        <v>0</v>
      </c>
      <c r="AX518" s="52"/>
      <c r="AY518" s="52"/>
      <c r="AZ518" s="52">
        <v>0</v>
      </c>
      <c r="BA518" s="52">
        <v>0</v>
      </c>
      <c r="BB518" s="54" t="s">
        <v>74</v>
      </c>
      <c r="BC518" s="53" t="s">
        <v>74</v>
      </c>
      <c r="BD518" s="55" t="s">
        <v>74</v>
      </c>
      <c r="BE518" s="55" t="s">
        <v>74</v>
      </c>
      <c r="BF518" s="55" t="s">
        <v>74</v>
      </c>
      <c r="BG518" s="55" t="s">
        <v>74</v>
      </c>
      <c r="BH518" s="52">
        <v>1676212.91</v>
      </c>
      <c r="BI518" s="52">
        <v>6252024.8499999996</v>
      </c>
      <c r="BJ518" s="52">
        <v>6252024.8499999996</v>
      </c>
      <c r="BK518" s="56">
        <v>43070</v>
      </c>
      <c r="BL518" s="57">
        <v>6252024.8499999996</v>
      </c>
      <c r="BM518" s="47">
        <v>0</v>
      </c>
      <c r="BN518" s="9"/>
      <c r="BO518" s="9"/>
      <c r="BP518" s="9"/>
      <c r="BQ518" s="9"/>
      <c r="BR518" s="9"/>
      <c r="BS518" s="9"/>
      <c r="BT518" s="9"/>
      <c r="BU518" s="9"/>
      <c r="BV518" s="9"/>
      <c r="BW518" s="9"/>
    </row>
    <row r="519" spans="1:75" ht="90" hidden="1" outlineLevel="2" x14ac:dyDescent="0.25">
      <c r="A519" s="43" t="s">
        <v>640</v>
      </c>
      <c r="B519" s="110" t="s">
        <v>641</v>
      </c>
      <c r="C519" s="45">
        <v>2018</v>
      </c>
      <c r="D519" s="110" t="s">
        <v>73</v>
      </c>
      <c r="E519" s="47">
        <v>0</v>
      </c>
      <c r="F519" s="47">
        <v>0</v>
      </c>
      <c r="G519" s="47">
        <v>0</v>
      </c>
      <c r="H519" s="47">
        <v>0</v>
      </c>
      <c r="I519" s="47">
        <v>0</v>
      </c>
      <c r="J519" s="47">
        <v>0</v>
      </c>
      <c r="K519" s="47">
        <v>0</v>
      </c>
      <c r="L519" s="47">
        <v>0</v>
      </c>
      <c r="M519" s="47">
        <v>0</v>
      </c>
      <c r="N519" s="47">
        <v>0</v>
      </c>
      <c r="O519" s="47">
        <v>6300479.54</v>
      </c>
      <c r="P519" s="47">
        <v>0</v>
      </c>
      <c r="Q519" s="47">
        <v>0</v>
      </c>
      <c r="R519" s="47">
        <v>0</v>
      </c>
      <c r="S519" s="47">
        <v>0</v>
      </c>
      <c r="T519" s="47">
        <v>0</v>
      </c>
      <c r="U519" s="47">
        <v>0</v>
      </c>
      <c r="V519" s="47">
        <v>0</v>
      </c>
      <c r="W519" s="47">
        <v>0</v>
      </c>
      <c r="X519" s="47">
        <v>0</v>
      </c>
      <c r="Y519" s="180">
        <v>6300479.54</v>
      </c>
      <c r="Z519" s="58">
        <v>1843556.09</v>
      </c>
      <c r="AA519" s="50">
        <v>1843556.09</v>
      </c>
      <c r="AB519" s="50">
        <v>0</v>
      </c>
      <c r="AC519" s="50">
        <v>6593.56</v>
      </c>
      <c r="AD519" s="50">
        <v>39055.370000000003</v>
      </c>
      <c r="AE519" s="50">
        <v>0</v>
      </c>
      <c r="AF519" s="50">
        <v>0</v>
      </c>
      <c r="AG519" s="49">
        <v>1889205.02</v>
      </c>
      <c r="AH519" s="51" t="s">
        <v>104</v>
      </c>
      <c r="AI519" s="51" t="s">
        <v>74</v>
      </c>
      <c r="AJ519" s="51" t="s">
        <v>96</v>
      </c>
      <c r="AK519" s="51" t="s">
        <v>97</v>
      </c>
      <c r="AL519" s="51" t="s">
        <v>74</v>
      </c>
      <c r="AM519" s="51" t="s">
        <v>74</v>
      </c>
      <c r="AN519" s="52">
        <v>0</v>
      </c>
      <c r="AO519" s="52">
        <v>0</v>
      </c>
      <c r="AP519" s="52">
        <v>0</v>
      </c>
      <c r="AQ519" s="52">
        <v>672236.05</v>
      </c>
      <c r="AR519" s="52">
        <v>0</v>
      </c>
      <c r="AS519" s="52">
        <v>672236.05</v>
      </c>
      <c r="AT519" s="51" t="s">
        <v>653</v>
      </c>
      <c r="AU519" s="52">
        <v>0</v>
      </c>
      <c r="AV519" s="52"/>
      <c r="AW519" s="52">
        <v>0</v>
      </c>
      <c r="AX519" s="52"/>
      <c r="AY519" s="52"/>
      <c r="AZ519" s="52">
        <v>0</v>
      </c>
      <c r="BA519" s="52">
        <v>0</v>
      </c>
      <c r="BB519" s="54" t="s">
        <v>74</v>
      </c>
      <c r="BC519" s="53" t="s">
        <v>74</v>
      </c>
      <c r="BD519" s="55" t="s">
        <v>74</v>
      </c>
      <c r="BE519" s="55" t="s">
        <v>74</v>
      </c>
      <c r="BF519" s="55" t="s">
        <v>74</v>
      </c>
      <c r="BG519" s="55" t="s">
        <v>74</v>
      </c>
      <c r="BH519" s="52">
        <v>672236.05</v>
      </c>
      <c r="BI519" s="52">
        <v>5083510.57</v>
      </c>
      <c r="BJ519" s="52">
        <v>5083510.57</v>
      </c>
      <c r="BK519" s="56">
        <v>43101</v>
      </c>
      <c r="BL519" s="57">
        <v>5083510.57</v>
      </c>
      <c r="BM519" s="47">
        <v>0</v>
      </c>
      <c r="BN519" s="9"/>
      <c r="BO519" s="9"/>
      <c r="BP519" s="9"/>
      <c r="BQ519" s="9"/>
      <c r="BR519" s="9"/>
      <c r="BS519" s="9"/>
      <c r="BT519" s="9"/>
      <c r="BU519" s="9"/>
      <c r="BV519" s="9"/>
      <c r="BW519" s="9"/>
    </row>
    <row r="520" spans="1:75" ht="26.25" hidden="1" outlineLevel="2" x14ac:dyDescent="0.25">
      <c r="A520" s="43" t="s">
        <v>640</v>
      </c>
      <c r="B520" s="110" t="s">
        <v>641</v>
      </c>
      <c r="C520" s="45">
        <v>2018</v>
      </c>
      <c r="D520" s="110" t="s">
        <v>75</v>
      </c>
      <c r="E520" s="47">
        <v>0</v>
      </c>
      <c r="F520" s="47">
        <v>0</v>
      </c>
      <c r="G520" s="47">
        <v>0</v>
      </c>
      <c r="H520" s="47">
        <v>0</v>
      </c>
      <c r="I520" s="47">
        <v>0</v>
      </c>
      <c r="J520" s="47">
        <v>0</v>
      </c>
      <c r="K520" s="47">
        <v>0</v>
      </c>
      <c r="L520" s="47">
        <v>0</v>
      </c>
      <c r="M520" s="47">
        <v>0</v>
      </c>
      <c r="N520" s="47">
        <v>0</v>
      </c>
      <c r="O520" s="47">
        <v>6300479.54</v>
      </c>
      <c r="P520" s="47">
        <v>0</v>
      </c>
      <c r="Q520" s="47">
        <v>0</v>
      </c>
      <c r="R520" s="47">
        <v>0</v>
      </c>
      <c r="S520" s="47">
        <v>0</v>
      </c>
      <c r="T520" s="47">
        <v>0</v>
      </c>
      <c r="U520" s="47">
        <v>0</v>
      </c>
      <c r="V520" s="47">
        <v>0</v>
      </c>
      <c r="W520" s="47">
        <v>0</v>
      </c>
      <c r="X520" s="47">
        <v>0</v>
      </c>
      <c r="Y520" s="180">
        <v>6300479.54</v>
      </c>
      <c r="Z520" s="58">
        <v>1773292.52</v>
      </c>
      <c r="AA520" s="50">
        <v>1773292.52</v>
      </c>
      <c r="AB520" s="50">
        <v>0</v>
      </c>
      <c r="AC520" s="50">
        <v>6030.8</v>
      </c>
      <c r="AD520" s="50">
        <v>42887.75</v>
      </c>
      <c r="AE520" s="50">
        <v>0</v>
      </c>
      <c r="AF520" s="50">
        <v>0</v>
      </c>
      <c r="AG520" s="49">
        <v>1822211.07</v>
      </c>
      <c r="AH520" s="51" t="s">
        <v>104</v>
      </c>
      <c r="AI520" s="51" t="s">
        <v>74</v>
      </c>
      <c r="AJ520" s="51" t="s">
        <v>654</v>
      </c>
      <c r="AK520" s="51" t="s">
        <v>99</v>
      </c>
      <c r="AL520" s="51" t="s">
        <v>74</v>
      </c>
      <c r="AM520" s="51" t="s">
        <v>74</v>
      </c>
      <c r="AN520" s="52">
        <v>0</v>
      </c>
      <c r="AO520" s="52">
        <v>0</v>
      </c>
      <c r="AP520" s="52">
        <v>0</v>
      </c>
      <c r="AQ520" s="52">
        <v>0</v>
      </c>
      <c r="AR520" s="52">
        <v>0</v>
      </c>
      <c r="AS520" s="52">
        <v>0</v>
      </c>
      <c r="AT520" s="53" t="s">
        <v>74</v>
      </c>
      <c r="AU520" s="52">
        <v>0</v>
      </c>
      <c r="AV520" s="52"/>
      <c r="AW520" s="52">
        <v>0</v>
      </c>
      <c r="AX520" s="52"/>
      <c r="AY520" s="52"/>
      <c r="AZ520" s="52">
        <v>0</v>
      </c>
      <c r="BA520" s="52">
        <v>0</v>
      </c>
      <c r="BB520" s="54" t="s">
        <v>74</v>
      </c>
      <c r="BC520" s="53" t="s">
        <v>74</v>
      </c>
      <c r="BD520" s="55" t="s">
        <v>74</v>
      </c>
      <c r="BE520" s="55" t="s">
        <v>74</v>
      </c>
      <c r="BF520" s="55" t="s">
        <v>74</v>
      </c>
      <c r="BG520" s="55" t="s">
        <v>74</v>
      </c>
      <c r="BH520" s="52">
        <v>0</v>
      </c>
      <c r="BI520" s="52">
        <v>4478268.47</v>
      </c>
      <c r="BJ520" s="52">
        <v>4478268.47</v>
      </c>
      <c r="BK520" s="56">
        <v>43132</v>
      </c>
      <c r="BL520" s="57">
        <v>4478268.47</v>
      </c>
      <c r="BM520" s="47">
        <v>0</v>
      </c>
      <c r="BN520" s="9"/>
      <c r="BO520" s="9"/>
      <c r="BP520" s="9"/>
      <c r="BQ520" s="9"/>
      <c r="BR520" s="9"/>
      <c r="BS520" s="9"/>
      <c r="BT520" s="9"/>
      <c r="BU520" s="9"/>
      <c r="BV520" s="9"/>
      <c r="BW520" s="9"/>
    </row>
    <row r="521" spans="1:75" ht="64.5" hidden="1" outlineLevel="2" x14ac:dyDescent="0.25">
      <c r="A521" s="43" t="s">
        <v>640</v>
      </c>
      <c r="B521" s="110" t="s">
        <v>641</v>
      </c>
      <c r="C521" s="45">
        <v>2018</v>
      </c>
      <c r="D521" s="110" t="s">
        <v>77</v>
      </c>
      <c r="E521" s="47">
        <v>0</v>
      </c>
      <c r="F521" s="47">
        <v>0</v>
      </c>
      <c r="G521" s="47">
        <v>0</v>
      </c>
      <c r="H521" s="47">
        <v>0</v>
      </c>
      <c r="I521" s="47">
        <v>0</v>
      </c>
      <c r="J521" s="47">
        <v>0</v>
      </c>
      <c r="K521" s="47">
        <v>0</v>
      </c>
      <c r="L521" s="47">
        <v>0</v>
      </c>
      <c r="M521" s="47">
        <v>0</v>
      </c>
      <c r="N521" s="47">
        <v>0</v>
      </c>
      <c r="O521" s="47">
        <v>6300479.54</v>
      </c>
      <c r="P521" s="47">
        <v>0</v>
      </c>
      <c r="Q521" s="47">
        <v>0</v>
      </c>
      <c r="R521" s="47">
        <v>0</v>
      </c>
      <c r="S521" s="47">
        <v>0</v>
      </c>
      <c r="T521" s="47">
        <v>0</v>
      </c>
      <c r="U521" s="47">
        <v>0</v>
      </c>
      <c r="V521" s="47">
        <v>0</v>
      </c>
      <c r="W521" s="47">
        <v>0</v>
      </c>
      <c r="X521" s="47">
        <v>0</v>
      </c>
      <c r="Y521" s="180">
        <v>6300479.54</v>
      </c>
      <c r="Z521" s="58">
        <v>1740884.56</v>
      </c>
      <c r="AA521" s="50">
        <v>1740884.56</v>
      </c>
      <c r="AB521" s="50">
        <v>0</v>
      </c>
      <c r="AC521" s="50">
        <v>5817.26</v>
      </c>
      <c r="AD521" s="50">
        <v>79681.2</v>
      </c>
      <c r="AE521" s="50">
        <v>0</v>
      </c>
      <c r="AF521" s="50">
        <v>0</v>
      </c>
      <c r="AG521" s="49">
        <v>1826383.02</v>
      </c>
      <c r="AH521" s="51" t="s">
        <v>104</v>
      </c>
      <c r="AI521" s="51" t="s">
        <v>74</v>
      </c>
      <c r="AJ521" s="51" t="s">
        <v>101</v>
      </c>
      <c r="AK521" s="51" t="s">
        <v>102</v>
      </c>
      <c r="AL521" s="51" t="s">
        <v>74</v>
      </c>
      <c r="AM521" s="51" t="s">
        <v>74</v>
      </c>
      <c r="AN521" s="52">
        <v>0</v>
      </c>
      <c r="AO521" s="52">
        <v>0</v>
      </c>
      <c r="AP521" s="52">
        <v>0</v>
      </c>
      <c r="AQ521" s="52">
        <v>0</v>
      </c>
      <c r="AR521" s="52">
        <v>0</v>
      </c>
      <c r="AS521" s="52">
        <v>0</v>
      </c>
      <c r="AT521" s="53" t="s">
        <v>74</v>
      </c>
      <c r="AU521" s="52">
        <v>0</v>
      </c>
      <c r="AV521" s="52"/>
      <c r="AW521" s="52">
        <v>400000</v>
      </c>
      <c r="AX521" s="52"/>
      <c r="AY521" s="52"/>
      <c r="AZ521" s="52">
        <v>0</v>
      </c>
      <c r="BA521" s="52">
        <v>400000</v>
      </c>
      <c r="BB521" s="54" t="s">
        <v>74</v>
      </c>
      <c r="BC521" s="53" t="s">
        <v>74</v>
      </c>
      <c r="BD521" s="55" t="s">
        <v>655</v>
      </c>
      <c r="BE521" s="55" t="s">
        <v>74</v>
      </c>
      <c r="BF521" s="55" t="s">
        <v>74</v>
      </c>
      <c r="BG521" s="55" t="s">
        <v>74</v>
      </c>
      <c r="BH521" s="52">
        <v>400000</v>
      </c>
      <c r="BI521" s="52">
        <v>4874096.5199999996</v>
      </c>
      <c r="BJ521" s="52">
        <v>4474096.5199999996</v>
      </c>
      <c r="BK521" s="56">
        <v>43160</v>
      </c>
      <c r="BL521" s="57">
        <v>4874096.5199999996</v>
      </c>
      <c r="BM521" s="47">
        <v>0</v>
      </c>
      <c r="BN521" s="9"/>
      <c r="BO521" s="9"/>
      <c r="BP521" s="9"/>
      <c r="BQ521" s="9"/>
      <c r="BR521" s="9"/>
      <c r="BS521" s="9"/>
      <c r="BT521" s="9"/>
      <c r="BU521" s="9"/>
      <c r="BV521" s="9"/>
      <c r="BW521" s="9"/>
    </row>
    <row r="522" spans="1:75" ht="26.25" hidden="1" outlineLevel="2" x14ac:dyDescent="0.25">
      <c r="A522" s="43" t="s">
        <v>640</v>
      </c>
      <c r="B522" s="110" t="s">
        <v>641</v>
      </c>
      <c r="C522" s="45">
        <v>2018</v>
      </c>
      <c r="D522" s="110" t="s">
        <v>79</v>
      </c>
      <c r="E522" s="47">
        <v>0</v>
      </c>
      <c r="F522" s="47">
        <v>0</v>
      </c>
      <c r="G522" s="47">
        <v>0</v>
      </c>
      <c r="H522" s="47">
        <v>0</v>
      </c>
      <c r="I522" s="47">
        <v>0</v>
      </c>
      <c r="J522" s="47">
        <v>0</v>
      </c>
      <c r="K522" s="47">
        <v>0</v>
      </c>
      <c r="L522" s="47">
        <v>0</v>
      </c>
      <c r="M522" s="47">
        <v>0</v>
      </c>
      <c r="N522" s="47">
        <v>0</v>
      </c>
      <c r="O522" s="47">
        <v>6300479.54</v>
      </c>
      <c r="P522" s="47">
        <v>0</v>
      </c>
      <c r="Q522" s="47">
        <v>0</v>
      </c>
      <c r="R522" s="47">
        <v>0</v>
      </c>
      <c r="S522" s="47">
        <v>0</v>
      </c>
      <c r="T522" s="47">
        <v>0</v>
      </c>
      <c r="U522" s="47">
        <v>0</v>
      </c>
      <c r="V522" s="47">
        <v>0</v>
      </c>
      <c r="W522" s="47">
        <v>0</v>
      </c>
      <c r="X522" s="47">
        <v>0</v>
      </c>
      <c r="Y522" s="180">
        <v>6300479.54</v>
      </c>
      <c r="Z522" s="58">
        <v>1860833.25</v>
      </c>
      <c r="AA522" s="50">
        <v>1860833.25</v>
      </c>
      <c r="AB522" s="50">
        <v>0</v>
      </c>
      <c r="AC522" s="50">
        <v>6140.07</v>
      </c>
      <c r="AD522" s="50">
        <v>226535.52</v>
      </c>
      <c r="AE522" s="50">
        <v>0</v>
      </c>
      <c r="AF522" s="50">
        <v>0</v>
      </c>
      <c r="AG522" s="49">
        <v>2093508.84</v>
      </c>
      <c r="AH522" s="51" t="s">
        <v>104</v>
      </c>
      <c r="AI522" s="51" t="s">
        <v>74</v>
      </c>
      <c r="AJ522" s="51" t="s">
        <v>105</v>
      </c>
      <c r="AK522" s="51" t="s">
        <v>656</v>
      </c>
      <c r="AL522" s="51" t="s">
        <v>74</v>
      </c>
      <c r="AM522" s="51" t="s">
        <v>74</v>
      </c>
      <c r="AN522" s="52">
        <v>0</v>
      </c>
      <c r="AO522" s="52">
        <v>0</v>
      </c>
      <c r="AP522" s="52">
        <v>0</v>
      </c>
      <c r="AQ522" s="52">
        <v>0</v>
      </c>
      <c r="AR522" s="52">
        <v>0</v>
      </c>
      <c r="AS522" s="52">
        <v>0</v>
      </c>
      <c r="AT522" s="53" t="s">
        <v>74</v>
      </c>
      <c r="AU522" s="52">
        <v>0</v>
      </c>
      <c r="AV522" s="52"/>
      <c r="AW522" s="52">
        <v>0</v>
      </c>
      <c r="AX522" s="52"/>
      <c r="AY522" s="52"/>
      <c r="AZ522" s="52">
        <v>0</v>
      </c>
      <c r="BA522" s="52">
        <v>0</v>
      </c>
      <c r="BB522" s="54" t="s">
        <v>74</v>
      </c>
      <c r="BC522" s="53" t="s">
        <v>74</v>
      </c>
      <c r="BD522" s="55" t="s">
        <v>74</v>
      </c>
      <c r="BE522" s="55" t="s">
        <v>74</v>
      </c>
      <c r="BF522" s="55" t="s">
        <v>74</v>
      </c>
      <c r="BG522" s="55" t="s">
        <v>74</v>
      </c>
      <c r="BH522" s="52">
        <v>0</v>
      </c>
      <c r="BI522" s="52">
        <v>4206970.7</v>
      </c>
      <c r="BJ522" s="52">
        <v>4206970.7</v>
      </c>
      <c r="BK522" s="56">
        <v>43191</v>
      </c>
      <c r="BL522" s="57">
        <v>4206970.7</v>
      </c>
      <c r="BM522" s="47">
        <v>0</v>
      </c>
      <c r="BN522" s="9"/>
      <c r="BO522" s="9"/>
      <c r="BP522" s="9"/>
      <c r="BQ522" s="9"/>
      <c r="BR522" s="9"/>
      <c r="BS522" s="9"/>
      <c r="BT522" s="9"/>
      <c r="BU522" s="9"/>
      <c r="BV522" s="9"/>
      <c r="BW522" s="9"/>
    </row>
    <row r="523" spans="1:75" ht="26.25" hidden="1" outlineLevel="2" x14ac:dyDescent="0.25">
      <c r="A523" s="43" t="s">
        <v>640</v>
      </c>
      <c r="B523" s="110" t="s">
        <v>641</v>
      </c>
      <c r="C523" s="45">
        <v>2018</v>
      </c>
      <c r="D523" s="110" t="s">
        <v>81</v>
      </c>
      <c r="E523" s="47">
        <v>0</v>
      </c>
      <c r="F523" s="47">
        <v>0</v>
      </c>
      <c r="G523" s="47">
        <v>0</v>
      </c>
      <c r="H523" s="47">
        <v>0</v>
      </c>
      <c r="I523" s="47">
        <v>0</v>
      </c>
      <c r="J523" s="47">
        <v>0</v>
      </c>
      <c r="K523" s="47">
        <v>0</v>
      </c>
      <c r="L523" s="47">
        <v>0</v>
      </c>
      <c r="M523" s="47">
        <v>0</v>
      </c>
      <c r="N523" s="47">
        <v>0</v>
      </c>
      <c r="O523" s="47">
        <v>6300479.54</v>
      </c>
      <c r="P523" s="47">
        <v>0</v>
      </c>
      <c r="Q523" s="47">
        <v>0</v>
      </c>
      <c r="R523" s="47">
        <v>0</v>
      </c>
      <c r="S523" s="47">
        <v>0</v>
      </c>
      <c r="T523" s="47">
        <v>0</v>
      </c>
      <c r="U523" s="47">
        <v>0</v>
      </c>
      <c r="V523" s="47">
        <v>0</v>
      </c>
      <c r="W523" s="47">
        <v>0</v>
      </c>
      <c r="X523" s="47">
        <v>0</v>
      </c>
      <c r="Y523" s="180">
        <v>6300479.54</v>
      </c>
      <c r="Z523" s="58">
        <v>1810765.54</v>
      </c>
      <c r="AA523" s="50">
        <v>1810765.54</v>
      </c>
      <c r="AB523" s="50">
        <v>0</v>
      </c>
      <c r="AC523" s="50">
        <v>6517.16</v>
      </c>
      <c r="AD523" s="50">
        <v>38662.43</v>
      </c>
      <c r="AE523" s="50">
        <v>0</v>
      </c>
      <c r="AF523" s="50">
        <v>0</v>
      </c>
      <c r="AG523" s="49">
        <v>1855945.13</v>
      </c>
      <c r="AH523" s="51" t="s">
        <v>104</v>
      </c>
      <c r="AI523" s="51" t="s">
        <v>74</v>
      </c>
      <c r="AJ523" s="51" t="s">
        <v>429</v>
      </c>
      <c r="AK523" s="51" t="s">
        <v>197</v>
      </c>
      <c r="AL523" s="51" t="s">
        <v>74</v>
      </c>
      <c r="AM523" s="51" t="s">
        <v>74</v>
      </c>
      <c r="AN523" s="52">
        <v>0</v>
      </c>
      <c r="AO523" s="52">
        <v>0</v>
      </c>
      <c r="AP523" s="52">
        <v>0</v>
      </c>
      <c r="AQ523" s="52">
        <v>0</v>
      </c>
      <c r="AR523" s="52">
        <v>0</v>
      </c>
      <c r="AS523" s="52">
        <v>0</v>
      </c>
      <c r="AT523" s="53" t="s">
        <v>74</v>
      </c>
      <c r="AU523" s="52">
        <v>0</v>
      </c>
      <c r="AV523" s="52"/>
      <c r="AW523" s="52">
        <v>0</v>
      </c>
      <c r="AX523" s="52"/>
      <c r="AY523" s="52"/>
      <c r="AZ523" s="52">
        <v>0</v>
      </c>
      <c r="BA523" s="52">
        <v>0</v>
      </c>
      <c r="BB523" s="54" t="s">
        <v>74</v>
      </c>
      <c r="BC523" s="53" t="s">
        <v>74</v>
      </c>
      <c r="BD523" s="55" t="s">
        <v>74</v>
      </c>
      <c r="BE523" s="55" t="s">
        <v>74</v>
      </c>
      <c r="BF523" s="55" t="s">
        <v>74</v>
      </c>
      <c r="BG523" s="55" t="s">
        <v>74</v>
      </c>
      <c r="BH523" s="52">
        <v>0</v>
      </c>
      <c r="BI523" s="52">
        <v>4444534.41</v>
      </c>
      <c r="BJ523" s="52">
        <v>4444534.41</v>
      </c>
      <c r="BK523" s="56">
        <v>43221</v>
      </c>
      <c r="BL523" s="57">
        <v>4444534.41</v>
      </c>
      <c r="BM523" s="47">
        <v>0</v>
      </c>
      <c r="BN523" s="9"/>
      <c r="BO523" s="9"/>
      <c r="BP523" s="9"/>
      <c r="BQ523" s="9"/>
      <c r="BR523" s="9"/>
      <c r="BS523" s="9"/>
      <c r="BT523" s="9"/>
      <c r="BU523" s="9"/>
      <c r="BV523" s="9"/>
      <c r="BW523" s="9"/>
    </row>
    <row r="524" spans="1:75" ht="26.25" hidden="1" outlineLevel="2" x14ac:dyDescent="0.25">
      <c r="A524" s="43" t="s">
        <v>640</v>
      </c>
      <c r="B524" s="110" t="s">
        <v>641</v>
      </c>
      <c r="C524" s="45">
        <v>2018</v>
      </c>
      <c r="D524" s="46" t="s">
        <v>83</v>
      </c>
      <c r="E524" s="47">
        <v>0</v>
      </c>
      <c r="F524" s="47">
        <v>0</v>
      </c>
      <c r="G524" s="47">
        <v>0</v>
      </c>
      <c r="H524" s="47">
        <v>0</v>
      </c>
      <c r="I524" s="47">
        <v>0</v>
      </c>
      <c r="J524" s="47">
        <v>0</v>
      </c>
      <c r="K524" s="47">
        <v>0</v>
      </c>
      <c r="L524" s="47">
        <v>0</v>
      </c>
      <c r="M524" s="47">
        <v>0</v>
      </c>
      <c r="N524" s="47">
        <v>0</v>
      </c>
      <c r="O524" s="47">
        <v>5670431.5860000001</v>
      </c>
      <c r="P524" s="47">
        <v>918225.77</v>
      </c>
      <c r="Q524" s="47">
        <v>0</v>
      </c>
      <c r="R524" s="47">
        <v>0</v>
      </c>
      <c r="S524" s="47">
        <v>0</v>
      </c>
      <c r="T524" s="47">
        <v>0</v>
      </c>
      <c r="U524" s="47">
        <v>0</v>
      </c>
      <c r="V524" s="47">
        <v>0</v>
      </c>
      <c r="W524" s="47">
        <v>0</v>
      </c>
      <c r="X524" s="47">
        <v>0</v>
      </c>
      <c r="Y524" s="180">
        <v>6588657.3559999997</v>
      </c>
      <c r="Z524" s="58">
        <v>1705144.89</v>
      </c>
      <c r="AA524" s="50">
        <v>1705144.89</v>
      </c>
      <c r="AB524" s="50">
        <v>0</v>
      </c>
      <c r="AC524" s="50">
        <v>6270.75</v>
      </c>
      <c r="AD524" s="50">
        <v>71262</v>
      </c>
      <c r="AE524" s="50">
        <v>0</v>
      </c>
      <c r="AF524" s="50">
        <v>0</v>
      </c>
      <c r="AG524" s="49">
        <v>1782677.64</v>
      </c>
      <c r="AH524" s="51" t="s">
        <v>104</v>
      </c>
      <c r="AI524" s="51" t="s">
        <v>74</v>
      </c>
      <c r="AJ524" s="51" t="s">
        <v>111</v>
      </c>
      <c r="AK524" s="51" t="s">
        <v>112</v>
      </c>
      <c r="AL524" s="51" t="s">
        <v>74</v>
      </c>
      <c r="AM524" s="51" t="s">
        <v>74</v>
      </c>
      <c r="AN524" s="52">
        <v>0</v>
      </c>
      <c r="AO524" s="52">
        <v>0</v>
      </c>
      <c r="AP524" s="52"/>
      <c r="AQ524" s="52">
        <v>0</v>
      </c>
      <c r="AR524" s="52">
        <v>0</v>
      </c>
      <c r="AS524" s="52">
        <v>0</v>
      </c>
      <c r="AT524" s="53" t="s">
        <v>74</v>
      </c>
      <c r="AU524" s="52">
        <v>579270.78</v>
      </c>
      <c r="AV524" s="52"/>
      <c r="AW524" s="52">
        <v>0</v>
      </c>
      <c r="AX524" s="52"/>
      <c r="AY524" s="52"/>
      <c r="AZ524" s="52">
        <v>0</v>
      </c>
      <c r="BA524" s="52">
        <v>579270.78</v>
      </c>
      <c r="BB524" s="55" t="s">
        <v>657</v>
      </c>
      <c r="BC524" s="51" t="s">
        <v>74</v>
      </c>
      <c r="BD524" s="54" t="s">
        <v>74</v>
      </c>
      <c r="BE524" s="54" t="s">
        <v>74</v>
      </c>
      <c r="BF524" s="54" t="s">
        <v>74</v>
      </c>
      <c r="BG524" s="54" t="s">
        <v>74</v>
      </c>
      <c r="BH524" s="52">
        <v>579270.78</v>
      </c>
      <c r="BI524" s="52">
        <v>5385250.4960000003</v>
      </c>
      <c r="BJ524" s="52">
        <v>4805979.716</v>
      </c>
      <c r="BK524" s="56">
        <v>43252</v>
      </c>
      <c r="BL524" s="57">
        <v>5385250.5</v>
      </c>
      <c r="BM524" s="47">
        <v>0</v>
      </c>
      <c r="BN524" s="9"/>
      <c r="BO524" s="9"/>
      <c r="BP524" s="9"/>
      <c r="BQ524" s="9"/>
      <c r="BR524" s="9"/>
      <c r="BS524" s="9"/>
      <c r="BT524" s="9"/>
      <c r="BU524" s="9"/>
      <c r="BV524" s="9"/>
      <c r="BW524" s="9"/>
    </row>
    <row r="525" spans="1:75" ht="39" hidden="1" outlineLevel="2" x14ac:dyDescent="0.25">
      <c r="A525" s="43" t="s">
        <v>640</v>
      </c>
      <c r="B525" s="110" t="s">
        <v>641</v>
      </c>
      <c r="C525" s="45">
        <v>2018</v>
      </c>
      <c r="D525" s="110" t="s">
        <v>84</v>
      </c>
      <c r="E525" s="47">
        <v>0</v>
      </c>
      <c r="F525" s="47">
        <v>0</v>
      </c>
      <c r="G525" s="47">
        <v>0</v>
      </c>
      <c r="H525" s="47">
        <v>0</v>
      </c>
      <c r="I525" s="47">
        <v>0</v>
      </c>
      <c r="J525" s="47">
        <v>0</v>
      </c>
      <c r="K525" s="47">
        <v>0</v>
      </c>
      <c r="L525" s="47">
        <v>0</v>
      </c>
      <c r="M525" s="47">
        <v>0</v>
      </c>
      <c r="N525" s="47">
        <v>0</v>
      </c>
      <c r="O525" s="47">
        <v>0</v>
      </c>
      <c r="P525" s="47">
        <v>13855647.08</v>
      </c>
      <c r="Q525" s="47">
        <v>0</v>
      </c>
      <c r="R525" s="47">
        <v>0</v>
      </c>
      <c r="S525" s="47">
        <v>0</v>
      </c>
      <c r="T525" s="47">
        <v>0</v>
      </c>
      <c r="U525" s="47">
        <v>0</v>
      </c>
      <c r="V525" s="47">
        <v>0</v>
      </c>
      <c r="W525" s="47">
        <v>0</v>
      </c>
      <c r="X525" s="47">
        <v>0</v>
      </c>
      <c r="Y525" s="48">
        <v>13855647.08</v>
      </c>
      <c r="Z525" s="58">
        <v>1725423.28</v>
      </c>
      <c r="AA525" s="50">
        <v>1725423.28</v>
      </c>
      <c r="AB525" s="50">
        <v>0</v>
      </c>
      <c r="AC525" s="50">
        <v>6191.94</v>
      </c>
      <c r="AD525" s="50">
        <v>44407.89</v>
      </c>
      <c r="AE525" s="50">
        <v>120302.12</v>
      </c>
      <c r="AF525" s="50">
        <v>0</v>
      </c>
      <c r="AG525" s="49">
        <v>1896325.23</v>
      </c>
      <c r="AH525" s="51" t="s">
        <v>104</v>
      </c>
      <c r="AI525" s="51" t="s">
        <v>74</v>
      </c>
      <c r="AJ525" s="51" t="s">
        <v>114</v>
      </c>
      <c r="AK525" s="51" t="s">
        <v>115</v>
      </c>
      <c r="AL525" s="51" t="s">
        <v>658</v>
      </c>
      <c r="AM525" s="51" t="s">
        <v>74</v>
      </c>
      <c r="AN525" s="52">
        <v>0</v>
      </c>
      <c r="AO525" s="52">
        <v>0</v>
      </c>
      <c r="AP525" s="52">
        <v>0</v>
      </c>
      <c r="AQ525" s="52">
        <v>0</v>
      </c>
      <c r="AR525" s="52">
        <v>0</v>
      </c>
      <c r="AS525" s="52">
        <v>0</v>
      </c>
      <c r="AT525" s="53" t="s">
        <v>74</v>
      </c>
      <c r="AU525" s="52">
        <v>0</v>
      </c>
      <c r="AV525" s="52"/>
      <c r="AW525" s="52">
        <v>0</v>
      </c>
      <c r="AX525" s="52"/>
      <c r="AY525" s="52"/>
      <c r="AZ525" s="52">
        <v>0</v>
      </c>
      <c r="BA525" s="52">
        <v>0</v>
      </c>
      <c r="BB525" s="54" t="s">
        <v>74</v>
      </c>
      <c r="BC525" s="53" t="s">
        <v>74</v>
      </c>
      <c r="BD525" s="55" t="s">
        <v>74</v>
      </c>
      <c r="BE525" s="55" t="s">
        <v>74</v>
      </c>
      <c r="BF525" s="55" t="s">
        <v>74</v>
      </c>
      <c r="BG525" s="55" t="s">
        <v>74</v>
      </c>
      <c r="BH525" s="52">
        <v>0</v>
      </c>
      <c r="BI525" s="52">
        <v>11959321.85</v>
      </c>
      <c r="BJ525" s="52">
        <v>6945531.4500000002</v>
      </c>
      <c r="BK525" s="56">
        <v>43282</v>
      </c>
      <c r="BL525" s="57">
        <v>11959321.85</v>
      </c>
      <c r="BM525" s="47">
        <v>0</v>
      </c>
      <c r="BN525" s="9"/>
      <c r="BO525" s="9"/>
      <c r="BP525" s="9"/>
      <c r="BQ525" s="9"/>
      <c r="BR525" s="9"/>
      <c r="BS525" s="9"/>
      <c r="BT525" s="9"/>
      <c r="BU525" s="9"/>
      <c r="BV525" s="9"/>
      <c r="BW525" s="9"/>
    </row>
    <row r="526" spans="1:75" ht="39" hidden="1" outlineLevel="2" x14ac:dyDescent="0.25">
      <c r="A526" s="43" t="s">
        <v>640</v>
      </c>
      <c r="B526" s="110" t="s">
        <v>641</v>
      </c>
      <c r="C526" s="45">
        <v>2018</v>
      </c>
      <c r="D526" s="110" t="s">
        <v>86</v>
      </c>
      <c r="E526" s="47">
        <v>0</v>
      </c>
      <c r="F526" s="47">
        <v>0</v>
      </c>
      <c r="G526" s="47">
        <v>0</v>
      </c>
      <c r="H526" s="47">
        <v>0</v>
      </c>
      <c r="I526" s="47">
        <v>0</v>
      </c>
      <c r="J526" s="47">
        <v>0</v>
      </c>
      <c r="K526" s="47">
        <v>0</v>
      </c>
      <c r="L526" s="47">
        <v>0</v>
      </c>
      <c r="M526" s="47">
        <v>0</v>
      </c>
      <c r="N526" s="47">
        <v>0</v>
      </c>
      <c r="O526" s="47">
        <v>0</v>
      </c>
      <c r="P526" s="47">
        <v>7042247.4000000004</v>
      </c>
      <c r="Q526" s="47">
        <v>0</v>
      </c>
      <c r="R526" s="47">
        <v>0</v>
      </c>
      <c r="S526" s="47">
        <v>0</v>
      </c>
      <c r="T526" s="47">
        <v>0</v>
      </c>
      <c r="U526" s="47">
        <v>0</v>
      </c>
      <c r="V526" s="47">
        <v>0</v>
      </c>
      <c r="W526" s="47">
        <v>0</v>
      </c>
      <c r="X526" s="47">
        <v>0</v>
      </c>
      <c r="Y526" s="48">
        <v>7042247.4000000004</v>
      </c>
      <c r="Z526" s="58">
        <v>1734216.67</v>
      </c>
      <c r="AA526" s="50">
        <v>1734216.67</v>
      </c>
      <c r="AB526" s="50">
        <v>0</v>
      </c>
      <c r="AC526" s="50">
        <v>6430.24</v>
      </c>
      <c r="AD526" s="50">
        <v>42489.68</v>
      </c>
      <c r="AE526" s="50">
        <v>120302.12</v>
      </c>
      <c r="AF526" s="50">
        <v>0</v>
      </c>
      <c r="AG526" s="49">
        <v>1903438.71</v>
      </c>
      <c r="AH526" s="51" t="s">
        <v>104</v>
      </c>
      <c r="AI526" s="51" t="s">
        <v>74</v>
      </c>
      <c r="AJ526" s="51" t="s">
        <v>117</v>
      </c>
      <c r="AK526" s="51" t="s">
        <v>118</v>
      </c>
      <c r="AL526" s="51" t="s">
        <v>658</v>
      </c>
      <c r="AM526" s="51" t="s">
        <v>74</v>
      </c>
      <c r="AN526" s="52">
        <v>0</v>
      </c>
      <c r="AO526" s="52">
        <v>0</v>
      </c>
      <c r="AP526" s="52">
        <v>0</v>
      </c>
      <c r="AQ526" s="52">
        <v>0</v>
      </c>
      <c r="AR526" s="52">
        <v>0</v>
      </c>
      <c r="AS526" s="52">
        <v>0</v>
      </c>
      <c r="AT526" s="53" t="s">
        <v>74</v>
      </c>
      <c r="AU526" s="52">
        <v>0</v>
      </c>
      <c r="AV526" s="52"/>
      <c r="AW526" s="52">
        <v>0</v>
      </c>
      <c r="AX526" s="52"/>
      <c r="AY526" s="52"/>
      <c r="AZ526" s="52">
        <v>0</v>
      </c>
      <c r="BA526" s="52">
        <v>0</v>
      </c>
      <c r="BB526" s="54" t="s">
        <v>74</v>
      </c>
      <c r="BC526" s="53" t="s">
        <v>74</v>
      </c>
      <c r="BD526" s="55" t="s">
        <v>74</v>
      </c>
      <c r="BE526" s="55" t="s">
        <v>74</v>
      </c>
      <c r="BF526" s="55" t="s">
        <v>74</v>
      </c>
      <c r="BG526" s="55" t="s">
        <v>74</v>
      </c>
      <c r="BH526" s="52">
        <v>0</v>
      </c>
      <c r="BI526" s="52">
        <v>5138808.6900000004</v>
      </c>
      <c r="BJ526" s="52">
        <v>5138808.6900000004</v>
      </c>
      <c r="BK526" s="56">
        <v>43313</v>
      </c>
      <c r="BL526" s="57">
        <v>5138808.6900000004</v>
      </c>
      <c r="BM526" s="47">
        <v>0</v>
      </c>
      <c r="BN526" s="9"/>
      <c r="BO526" s="9"/>
      <c r="BP526" s="9"/>
      <c r="BQ526" s="9"/>
      <c r="BR526" s="9"/>
      <c r="BS526" s="9"/>
      <c r="BT526" s="9"/>
      <c r="BU526" s="9"/>
      <c r="BV526" s="9"/>
      <c r="BW526" s="9"/>
    </row>
    <row r="527" spans="1:75" ht="39" hidden="1" outlineLevel="2" x14ac:dyDescent="0.25">
      <c r="A527" s="43" t="s">
        <v>640</v>
      </c>
      <c r="B527" s="110" t="s">
        <v>641</v>
      </c>
      <c r="C527" s="45">
        <v>2018</v>
      </c>
      <c r="D527" s="110" t="s">
        <v>88</v>
      </c>
      <c r="E527" s="47">
        <v>0</v>
      </c>
      <c r="F527" s="47">
        <v>0</v>
      </c>
      <c r="G527" s="47">
        <v>0</v>
      </c>
      <c r="H527" s="47">
        <v>0</v>
      </c>
      <c r="I527" s="47">
        <v>0</v>
      </c>
      <c r="J527" s="47">
        <v>0</v>
      </c>
      <c r="K527" s="47">
        <v>0</v>
      </c>
      <c r="L527" s="47">
        <v>0</v>
      </c>
      <c r="M527" s="47">
        <v>0</v>
      </c>
      <c r="N527" s="47">
        <v>0</v>
      </c>
      <c r="O527" s="47">
        <v>0</v>
      </c>
      <c r="P527" s="47">
        <v>7042247.4000000004</v>
      </c>
      <c r="Q527" s="47">
        <v>0</v>
      </c>
      <c r="R527" s="47">
        <v>0</v>
      </c>
      <c r="S527" s="47">
        <v>0</v>
      </c>
      <c r="T527" s="47">
        <v>0</v>
      </c>
      <c r="U527" s="47">
        <v>0</v>
      </c>
      <c r="V527" s="47">
        <v>0</v>
      </c>
      <c r="W527" s="47">
        <v>0</v>
      </c>
      <c r="X527" s="47">
        <v>0</v>
      </c>
      <c r="Y527" s="48">
        <v>7042247.4000000004</v>
      </c>
      <c r="Z527" s="58">
        <v>1687433</v>
      </c>
      <c r="AA527" s="50">
        <v>1687433</v>
      </c>
      <c r="AB527" s="50">
        <v>0</v>
      </c>
      <c r="AC527" s="50">
        <v>6110.24</v>
      </c>
      <c r="AD527" s="50">
        <v>46847.47</v>
      </c>
      <c r="AE527" s="50">
        <v>120302.12</v>
      </c>
      <c r="AF527" s="50">
        <v>0</v>
      </c>
      <c r="AG527" s="49">
        <v>1860692.83</v>
      </c>
      <c r="AH527" s="51" t="s">
        <v>104</v>
      </c>
      <c r="AI527" s="51" t="s">
        <v>74</v>
      </c>
      <c r="AJ527" s="51" t="s">
        <v>120</v>
      </c>
      <c r="AK527" s="51" t="s">
        <v>121</v>
      </c>
      <c r="AL527" s="51" t="s">
        <v>658</v>
      </c>
      <c r="AM527" s="51" t="s">
        <v>74</v>
      </c>
      <c r="AN527" s="52">
        <v>0</v>
      </c>
      <c r="AO527" s="52">
        <v>0</v>
      </c>
      <c r="AP527" s="52">
        <v>0</v>
      </c>
      <c r="AQ527" s="52">
        <v>0</v>
      </c>
      <c r="AR527" s="52">
        <v>0</v>
      </c>
      <c r="AS527" s="52">
        <v>0</v>
      </c>
      <c r="AT527" s="53" t="s">
        <v>74</v>
      </c>
      <c r="AU527" s="52">
        <v>0</v>
      </c>
      <c r="AV527" s="52"/>
      <c r="AW527" s="52">
        <v>0</v>
      </c>
      <c r="AX527" s="52"/>
      <c r="AY527" s="52"/>
      <c r="AZ527" s="52">
        <v>0</v>
      </c>
      <c r="BA527" s="52">
        <v>0</v>
      </c>
      <c r="BB527" s="54" t="s">
        <v>74</v>
      </c>
      <c r="BC527" s="53" t="s">
        <v>74</v>
      </c>
      <c r="BD527" s="55" t="s">
        <v>74</v>
      </c>
      <c r="BE527" s="55" t="s">
        <v>74</v>
      </c>
      <c r="BF527" s="55" t="s">
        <v>74</v>
      </c>
      <c r="BG527" s="55" t="s">
        <v>74</v>
      </c>
      <c r="BH527" s="52">
        <v>0</v>
      </c>
      <c r="BI527" s="52">
        <v>5181554.57</v>
      </c>
      <c r="BJ527" s="52">
        <v>5181554.57</v>
      </c>
      <c r="BK527" s="56">
        <v>43344</v>
      </c>
      <c r="BL527" s="57">
        <v>5181554.57</v>
      </c>
      <c r="BM527" s="47">
        <v>0</v>
      </c>
      <c r="BN527" s="9"/>
      <c r="BO527" s="9"/>
      <c r="BP527" s="9"/>
      <c r="BQ527" s="9"/>
      <c r="BR527" s="9"/>
      <c r="BS527" s="9"/>
      <c r="BT527" s="9"/>
      <c r="BU527" s="9"/>
      <c r="BV527" s="9"/>
      <c r="BW527" s="9"/>
    </row>
    <row r="528" spans="1:75" ht="128.25" hidden="1" outlineLevel="2" x14ac:dyDescent="0.25">
      <c r="A528" s="43" t="s">
        <v>640</v>
      </c>
      <c r="B528" s="110" t="s">
        <v>641</v>
      </c>
      <c r="C528" s="45">
        <v>2018</v>
      </c>
      <c r="D528" s="110" t="s">
        <v>89</v>
      </c>
      <c r="E528" s="47">
        <v>0</v>
      </c>
      <c r="F528" s="47">
        <v>0</v>
      </c>
      <c r="G528" s="47">
        <v>0</v>
      </c>
      <c r="H528" s="47">
        <v>0</v>
      </c>
      <c r="I528" s="47">
        <v>0</v>
      </c>
      <c r="J528" s="47">
        <v>0</v>
      </c>
      <c r="K528" s="47">
        <v>0</v>
      </c>
      <c r="L528" s="47">
        <v>0</v>
      </c>
      <c r="M528" s="47">
        <v>0</v>
      </c>
      <c r="N528" s="47">
        <v>0</v>
      </c>
      <c r="O528" s="47">
        <v>0</v>
      </c>
      <c r="P528" s="47">
        <v>7042247.4000000004</v>
      </c>
      <c r="Q528" s="47">
        <v>0</v>
      </c>
      <c r="R528" s="47">
        <v>0</v>
      </c>
      <c r="S528" s="47">
        <v>0</v>
      </c>
      <c r="T528" s="47">
        <v>0</v>
      </c>
      <c r="U528" s="47">
        <v>0</v>
      </c>
      <c r="V528" s="47">
        <v>0</v>
      </c>
      <c r="W528" s="47">
        <v>0</v>
      </c>
      <c r="X528" s="47">
        <v>0</v>
      </c>
      <c r="Y528" s="48">
        <v>7042247.4000000004</v>
      </c>
      <c r="Z528" s="58">
        <v>1624006.03</v>
      </c>
      <c r="AA528" s="50">
        <v>1624006.03</v>
      </c>
      <c r="AB528" s="50">
        <v>0</v>
      </c>
      <c r="AC528" s="50">
        <v>6061.63</v>
      </c>
      <c r="AD528" s="50">
        <v>50686.21</v>
      </c>
      <c r="AE528" s="50">
        <v>279646.15000000002</v>
      </c>
      <c r="AF528" s="50">
        <v>0</v>
      </c>
      <c r="AG528" s="49">
        <v>1960400.02</v>
      </c>
      <c r="AH528" s="51" t="s">
        <v>104</v>
      </c>
      <c r="AI528" s="51" t="s">
        <v>74</v>
      </c>
      <c r="AJ528" s="51" t="s">
        <v>123</v>
      </c>
      <c r="AK528" s="51" t="s">
        <v>124</v>
      </c>
      <c r="AL528" s="51" t="s">
        <v>659</v>
      </c>
      <c r="AM528" s="51" t="s">
        <v>74</v>
      </c>
      <c r="AN528" s="52">
        <v>0</v>
      </c>
      <c r="AO528" s="52">
        <v>0</v>
      </c>
      <c r="AP528" s="52">
        <v>0</v>
      </c>
      <c r="AQ528" s="52">
        <v>0</v>
      </c>
      <c r="AR528" s="52">
        <v>0</v>
      </c>
      <c r="AS528" s="52">
        <v>0</v>
      </c>
      <c r="AT528" s="53" t="s">
        <v>74</v>
      </c>
      <c r="AU528" s="52">
        <v>0</v>
      </c>
      <c r="AV528" s="52"/>
      <c r="AW528" s="52">
        <v>0</v>
      </c>
      <c r="AX528" s="52"/>
      <c r="AY528" s="52"/>
      <c r="AZ528" s="52">
        <v>0</v>
      </c>
      <c r="BA528" s="52">
        <v>0</v>
      </c>
      <c r="BB528" s="54" t="s">
        <v>74</v>
      </c>
      <c r="BC528" s="53" t="s">
        <v>74</v>
      </c>
      <c r="BD528" s="55" t="s">
        <v>74</v>
      </c>
      <c r="BE528" s="55" t="s">
        <v>74</v>
      </c>
      <c r="BF528" s="55" t="s">
        <v>74</v>
      </c>
      <c r="BG528" s="55" t="s">
        <v>74</v>
      </c>
      <c r="BH528" s="52">
        <v>0</v>
      </c>
      <c r="BI528" s="52">
        <v>5081847.38</v>
      </c>
      <c r="BJ528" s="52">
        <v>5081847.38</v>
      </c>
      <c r="BK528" s="56">
        <v>43374</v>
      </c>
      <c r="BL528" s="57">
        <v>5081847.38</v>
      </c>
      <c r="BM528" s="47">
        <v>0</v>
      </c>
      <c r="BN528" s="9"/>
      <c r="BO528" s="9"/>
      <c r="BP528" s="9"/>
      <c r="BQ528" s="9"/>
      <c r="BR528" s="9"/>
      <c r="BS528" s="9"/>
      <c r="BT528" s="9"/>
      <c r="BU528" s="9"/>
      <c r="BV528" s="9"/>
      <c r="BW528" s="9"/>
    </row>
    <row r="529" spans="1:75" ht="192" hidden="1" outlineLevel="2" x14ac:dyDescent="0.25">
      <c r="A529" s="43" t="s">
        <v>640</v>
      </c>
      <c r="B529" s="110" t="s">
        <v>641</v>
      </c>
      <c r="C529" s="45">
        <v>2018</v>
      </c>
      <c r="D529" s="110" t="s">
        <v>90</v>
      </c>
      <c r="E529" s="47">
        <v>0</v>
      </c>
      <c r="F529" s="47">
        <v>0</v>
      </c>
      <c r="G529" s="47">
        <v>0</v>
      </c>
      <c r="H529" s="47">
        <v>0</v>
      </c>
      <c r="I529" s="47">
        <v>0</v>
      </c>
      <c r="J529" s="47">
        <v>0</v>
      </c>
      <c r="K529" s="47">
        <v>0</v>
      </c>
      <c r="L529" s="47">
        <v>0</v>
      </c>
      <c r="M529" s="47">
        <v>0</v>
      </c>
      <c r="N529" s="47">
        <v>0</v>
      </c>
      <c r="O529" s="47">
        <v>0</v>
      </c>
      <c r="P529" s="47">
        <v>7042247.4000000004</v>
      </c>
      <c r="Q529" s="47">
        <v>0</v>
      </c>
      <c r="R529" s="47">
        <v>0</v>
      </c>
      <c r="S529" s="47">
        <v>0</v>
      </c>
      <c r="T529" s="47">
        <v>0</v>
      </c>
      <c r="U529" s="47">
        <v>0</v>
      </c>
      <c r="V529" s="47">
        <v>0</v>
      </c>
      <c r="W529" s="47">
        <v>0</v>
      </c>
      <c r="X529" s="47">
        <v>0</v>
      </c>
      <c r="Y529" s="48">
        <v>7042247.4000000004</v>
      </c>
      <c r="Z529" s="58">
        <v>1645703.08</v>
      </c>
      <c r="AA529" s="50">
        <v>1645703.08</v>
      </c>
      <c r="AB529" s="50">
        <v>0</v>
      </c>
      <c r="AC529" s="50">
        <v>6071.68</v>
      </c>
      <c r="AD529" s="50">
        <v>57780.11</v>
      </c>
      <c r="AE529" s="50">
        <v>886929.26</v>
      </c>
      <c r="AF529" s="50">
        <v>0</v>
      </c>
      <c r="AG529" s="49">
        <v>2596484.13</v>
      </c>
      <c r="AH529" s="51" t="s">
        <v>104</v>
      </c>
      <c r="AI529" s="51" t="s">
        <v>74</v>
      </c>
      <c r="AJ529" s="51" t="s">
        <v>125</v>
      </c>
      <c r="AK529" s="51" t="s">
        <v>126</v>
      </c>
      <c r="AL529" s="51" t="s">
        <v>660</v>
      </c>
      <c r="AM529" s="51" t="s">
        <v>74</v>
      </c>
      <c r="AN529" s="52">
        <v>0</v>
      </c>
      <c r="AO529" s="52">
        <v>0</v>
      </c>
      <c r="AP529" s="52">
        <v>28801</v>
      </c>
      <c r="AQ529" s="52">
        <v>0</v>
      </c>
      <c r="AR529" s="52">
        <v>0</v>
      </c>
      <c r="AS529" s="52">
        <v>28801</v>
      </c>
      <c r="AT529" s="51" t="s">
        <v>561</v>
      </c>
      <c r="AU529" s="52">
        <v>0</v>
      </c>
      <c r="AV529" s="52"/>
      <c r="AW529" s="52">
        <v>0</v>
      </c>
      <c r="AX529" s="52"/>
      <c r="AY529" s="52"/>
      <c r="AZ529" s="52">
        <v>0</v>
      </c>
      <c r="BA529" s="52">
        <v>0</v>
      </c>
      <c r="BB529" s="54" t="s">
        <v>74</v>
      </c>
      <c r="BC529" s="53" t="s">
        <v>74</v>
      </c>
      <c r="BD529" s="55" t="s">
        <v>74</v>
      </c>
      <c r="BE529" s="55" t="s">
        <v>74</v>
      </c>
      <c r="BF529" s="55" t="s">
        <v>74</v>
      </c>
      <c r="BG529" s="55" t="s">
        <v>74</v>
      </c>
      <c r="BH529" s="52">
        <v>28801</v>
      </c>
      <c r="BI529" s="52">
        <v>4474564.2699999996</v>
      </c>
      <c r="BJ529" s="52">
        <v>4474564.2699999996</v>
      </c>
      <c r="BK529" s="56">
        <v>43405</v>
      </c>
      <c r="BL529" s="57">
        <v>4474564.2699999996</v>
      </c>
      <c r="BM529" s="47">
        <v>0</v>
      </c>
      <c r="BN529" s="9"/>
      <c r="BO529" s="9"/>
      <c r="BP529" s="9"/>
      <c r="BQ529" s="9"/>
      <c r="BR529" s="9"/>
      <c r="BS529" s="9"/>
      <c r="BT529" s="9"/>
      <c r="BU529" s="9"/>
      <c r="BV529" s="9"/>
      <c r="BW529" s="9"/>
    </row>
    <row r="530" spans="1:75" ht="409.6" hidden="1" outlineLevel="2" x14ac:dyDescent="0.25">
      <c r="A530" s="43" t="s">
        <v>640</v>
      </c>
      <c r="B530" s="110" t="s">
        <v>641</v>
      </c>
      <c r="C530" s="45">
        <v>2018</v>
      </c>
      <c r="D530" s="110" t="s">
        <v>93</v>
      </c>
      <c r="E530" s="47">
        <v>0</v>
      </c>
      <c r="F530" s="47">
        <v>0</v>
      </c>
      <c r="G530" s="47">
        <v>0</v>
      </c>
      <c r="H530" s="47">
        <v>0</v>
      </c>
      <c r="I530" s="47">
        <v>0</v>
      </c>
      <c r="J530" s="47">
        <v>0</v>
      </c>
      <c r="K530" s="47">
        <v>0</v>
      </c>
      <c r="L530" s="47">
        <v>0</v>
      </c>
      <c r="M530" s="47">
        <v>0</v>
      </c>
      <c r="N530" s="47">
        <v>0</v>
      </c>
      <c r="O530" s="47">
        <v>0</v>
      </c>
      <c r="P530" s="47">
        <v>7042247.4000000004</v>
      </c>
      <c r="Q530" s="47">
        <v>0</v>
      </c>
      <c r="R530" s="47">
        <v>0</v>
      </c>
      <c r="S530" s="47">
        <v>0</v>
      </c>
      <c r="T530" s="47">
        <v>0</v>
      </c>
      <c r="U530" s="47">
        <v>0</v>
      </c>
      <c r="V530" s="47">
        <v>0</v>
      </c>
      <c r="W530" s="47">
        <v>0</v>
      </c>
      <c r="X530" s="47">
        <v>0</v>
      </c>
      <c r="Y530" s="48">
        <v>7042247.4000000004</v>
      </c>
      <c r="Z530" s="58">
        <v>1624897.58</v>
      </c>
      <c r="AA530" s="50">
        <v>1624897.58</v>
      </c>
      <c r="AB530" s="50">
        <v>0</v>
      </c>
      <c r="AC530" s="50">
        <v>6278.47</v>
      </c>
      <c r="AD530" s="50">
        <v>62832.83</v>
      </c>
      <c r="AE530" s="50">
        <v>1433801.91</v>
      </c>
      <c r="AF530" s="50">
        <v>0</v>
      </c>
      <c r="AG530" s="49">
        <v>3127810.79</v>
      </c>
      <c r="AH530" s="51" t="s">
        <v>104</v>
      </c>
      <c r="AI530" s="51" t="s">
        <v>74</v>
      </c>
      <c r="AJ530" s="51" t="s">
        <v>127</v>
      </c>
      <c r="AK530" s="51" t="s">
        <v>128</v>
      </c>
      <c r="AL530" s="51" t="s">
        <v>661</v>
      </c>
      <c r="AM530" s="51" t="s">
        <v>74</v>
      </c>
      <c r="AN530" s="52">
        <v>0</v>
      </c>
      <c r="AO530" s="52">
        <v>0</v>
      </c>
      <c r="AP530" s="52">
        <v>0</v>
      </c>
      <c r="AQ530" s="52">
        <v>0</v>
      </c>
      <c r="AR530" s="52">
        <v>0</v>
      </c>
      <c r="AS530" s="52">
        <v>0</v>
      </c>
      <c r="AT530" s="53" t="s">
        <v>74</v>
      </c>
      <c r="AU530" s="52">
        <v>0</v>
      </c>
      <c r="AV530" s="52"/>
      <c r="AW530" s="52">
        <v>0</v>
      </c>
      <c r="AX530" s="52"/>
      <c r="AY530" s="52"/>
      <c r="AZ530" s="52">
        <v>0</v>
      </c>
      <c r="BA530" s="52">
        <v>0</v>
      </c>
      <c r="BB530" s="54" t="s">
        <v>74</v>
      </c>
      <c r="BC530" s="53" t="s">
        <v>74</v>
      </c>
      <c r="BD530" s="55" t="s">
        <v>74</v>
      </c>
      <c r="BE530" s="55" t="s">
        <v>74</v>
      </c>
      <c r="BF530" s="55" t="s">
        <v>74</v>
      </c>
      <c r="BG530" s="55" t="s">
        <v>74</v>
      </c>
      <c r="BH530" s="52">
        <v>0</v>
      </c>
      <c r="BI530" s="52">
        <v>3914436.61</v>
      </c>
      <c r="BJ530" s="52">
        <v>3914436.61</v>
      </c>
      <c r="BK530" s="56">
        <v>43435</v>
      </c>
      <c r="BL530" s="57">
        <v>3914436.61</v>
      </c>
      <c r="BM530" s="47">
        <v>0</v>
      </c>
      <c r="BN530" s="9"/>
      <c r="BO530" s="9"/>
      <c r="BP530" s="9"/>
      <c r="BQ530" s="9"/>
      <c r="BR530" s="9"/>
      <c r="BS530" s="9"/>
      <c r="BT530" s="9"/>
      <c r="BU530" s="9"/>
      <c r="BV530" s="9"/>
      <c r="BW530" s="9"/>
    </row>
    <row r="531" spans="1:75" ht="26.25" hidden="1" outlineLevel="2" x14ac:dyDescent="0.25">
      <c r="A531" s="43" t="s">
        <v>640</v>
      </c>
      <c r="B531" s="110" t="s">
        <v>641</v>
      </c>
      <c r="C531" s="45">
        <v>2019</v>
      </c>
      <c r="D531" s="110" t="s">
        <v>73</v>
      </c>
      <c r="E531" s="47">
        <v>0</v>
      </c>
      <c r="F531" s="47">
        <v>0</v>
      </c>
      <c r="G531" s="47">
        <v>0</v>
      </c>
      <c r="H531" s="47">
        <v>0</v>
      </c>
      <c r="I531" s="47">
        <v>0</v>
      </c>
      <c r="J531" s="47">
        <v>0</v>
      </c>
      <c r="K531" s="47">
        <v>0</v>
      </c>
      <c r="L531" s="47">
        <v>0</v>
      </c>
      <c r="M531" s="47">
        <v>0</v>
      </c>
      <c r="N531" s="47">
        <v>0</v>
      </c>
      <c r="O531" s="47">
        <v>0</v>
      </c>
      <c r="P531" s="47">
        <v>6868733.0300000003</v>
      </c>
      <c r="Q531" s="47">
        <v>0</v>
      </c>
      <c r="R531" s="47">
        <v>0</v>
      </c>
      <c r="S531" s="47">
        <v>0</v>
      </c>
      <c r="T531" s="47">
        <v>0</v>
      </c>
      <c r="U531" s="47">
        <v>0</v>
      </c>
      <c r="V531" s="47">
        <v>0</v>
      </c>
      <c r="W531" s="47">
        <v>0</v>
      </c>
      <c r="X531" s="47">
        <v>0</v>
      </c>
      <c r="Y531" s="48">
        <v>6868733.0300000003</v>
      </c>
      <c r="Z531" s="58">
        <v>1668037.81</v>
      </c>
      <c r="AA531" s="50">
        <v>1668037.81</v>
      </c>
      <c r="AB531" s="50">
        <v>0</v>
      </c>
      <c r="AC531" s="50">
        <v>5689.66</v>
      </c>
      <c r="AD531" s="50">
        <v>60124.51</v>
      </c>
      <c r="AE531" s="50">
        <v>0</v>
      </c>
      <c r="AF531" s="50">
        <v>0</v>
      </c>
      <c r="AG531" s="49">
        <v>1733851.98</v>
      </c>
      <c r="AH531" s="51" t="s">
        <v>104</v>
      </c>
      <c r="AI531" s="51" t="s">
        <v>74</v>
      </c>
      <c r="AJ531" s="51" t="s">
        <v>96</v>
      </c>
      <c r="AK531" s="51" t="s">
        <v>613</v>
      </c>
      <c r="AL531" s="51" t="s">
        <v>74</v>
      </c>
      <c r="AM531" s="51" t="s">
        <v>74</v>
      </c>
      <c r="AN531" s="52">
        <v>0</v>
      </c>
      <c r="AO531" s="52">
        <v>0</v>
      </c>
      <c r="AP531" s="52">
        <v>0</v>
      </c>
      <c r="AQ531" s="52">
        <v>0</v>
      </c>
      <c r="AR531" s="52">
        <v>0</v>
      </c>
      <c r="AS531" s="52">
        <v>0</v>
      </c>
      <c r="AT531" s="53" t="s">
        <v>74</v>
      </c>
      <c r="AU531" s="52">
        <v>0</v>
      </c>
      <c r="AV531" s="52"/>
      <c r="AW531" s="52">
        <v>0</v>
      </c>
      <c r="AX531" s="52"/>
      <c r="AY531" s="52"/>
      <c r="AZ531" s="52">
        <v>0</v>
      </c>
      <c r="BA531" s="52">
        <v>0</v>
      </c>
      <c r="BB531" s="54" t="s">
        <v>74</v>
      </c>
      <c r="BC531" s="53" t="s">
        <v>74</v>
      </c>
      <c r="BD531" s="55" t="s">
        <v>74</v>
      </c>
      <c r="BE531" s="55" t="s">
        <v>74</v>
      </c>
      <c r="BF531" s="55" t="s">
        <v>74</v>
      </c>
      <c r="BG531" s="55" t="s">
        <v>74</v>
      </c>
      <c r="BH531" s="52">
        <v>0</v>
      </c>
      <c r="BI531" s="52">
        <v>5134881.05</v>
      </c>
      <c r="BJ531" s="52">
        <v>5134881.05</v>
      </c>
      <c r="BK531" s="56">
        <v>43466</v>
      </c>
      <c r="BL531" s="57">
        <v>5134881.05</v>
      </c>
      <c r="BM531" s="47">
        <v>0</v>
      </c>
      <c r="BN531" s="9"/>
      <c r="BO531" s="9"/>
      <c r="BP531" s="9"/>
      <c r="BQ531" s="9"/>
      <c r="BR531" s="9"/>
      <c r="BS531" s="9"/>
      <c r="BT531" s="9"/>
      <c r="BU531" s="9"/>
      <c r="BV531" s="9"/>
      <c r="BW531" s="9"/>
    </row>
    <row r="532" spans="1:75" ht="26.25" hidden="1" outlineLevel="2" x14ac:dyDescent="0.25">
      <c r="A532" s="43" t="s">
        <v>640</v>
      </c>
      <c r="B532" s="110" t="s">
        <v>641</v>
      </c>
      <c r="C532" s="45">
        <v>2019</v>
      </c>
      <c r="D532" s="110" t="s">
        <v>75</v>
      </c>
      <c r="E532" s="47">
        <v>0</v>
      </c>
      <c r="F532" s="47">
        <v>0</v>
      </c>
      <c r="G532" s="47">
        <v>0</v>
      </c>
      <c r="H532" s="47">
        <v>0</v>
      </c>
      <c r="I532" s="47">
        <v>0</v>
      </c>
      <c r="J532" s="47">
        <v>0</v>
      </c>
      <c r="K532" s="47">
        <v>0</v>
      </c>
      <c r="L532" s="47">
        <v>0</v>
      </c>
      <c r="M532" s="47">
        <v>0</v>
      </c>
      <c r="N532" s="47">
        <v>0</v>
      </c>
      <c r="O532" s="47">
        <v>0</v>
      </c>
      <c r="P532" s="47">
        <v>6868733.0300000003</v>
      </c>
      <c r="Q532" s="47">
        <v>0</v>
      </c>
      <c r="R532" s="47">
        <v>0</v>
      </c>
      <c r="S532" s="47">
        <v>0</v>
      </c>
      <c r="T532" s="47">
        <v>0</v>
      </c>
      <c r="U532" s="47">
        <v>0</v>
      </c>
      <c r="V532" s="47">
        <v>0</v>
      </c>
      <c r="W532" s="47">
        <v>0</v>
      </c>
      <c r="X532" s="47">
        <v>0</v>
      </c>
      <c r="Y532" s="48">
        <v>6868733.0300000003</v>
      </c>
      <c r="Z532" s="58">
        <v>1671296.23</v>
      </c>
      <c r="AA532" s="50">
        <v>1671296.23</v>
      </c>
      <c r="AB532" s="50">
        <v>0</v>
      </c>
      <c r="AC532" s="50">
        <v>0</v>
      </c>
      <c r="AD532" s="50">
        <v>0</v>
      </c>
      <c r="AE532" s="50">
        <v>0</v>
      </c>
      <c r="AF532" s="50">
        <v>0</v>
      </c>
      <c r="AG532" s="49">
        <v>1671296.23</v>
      </c>
      <c r="AH532" s="51" t="s">
        <v>104</v>
      </c>
      <c r="AI532" s="51" t="s">
        <v>74</v>
      </c>
      <c r="AJ532" s="51" t="s">
        <v>74</v>
      </c>
      <c r="AK532" s="51" t="s">
        <v>74</v>
      </c>
      <c r="AL532" s="51" t="s">
        <v>74</v>
      </c>
      <c r="AM532" s="51" t="s">
        <v>74</v>
      </c>
      <c r="AN532" s="52">
        <v>0</v>
      </c>
      <c r="AO532" s="52">
        <v>0</v>
      </c>
      <c r="AP532" s="52">
        <v>0</v>
      </c>
      <c r="AQ532" s="52">
        <v>0</v>
      </c>
      <c r="AR532" s="52">
        <v>0</v>
      </c>
      <c r="AS532" s="52">
        <v>0</v>
      </c>
      <c r="AT532" s="53" t="s">
        <v>74</v>
      </c>
      <c r="AU532" s="52">
        <v>0</v>
      </c>
      <c r="AV532" s="52"/>
      <c r="AW532" s="52">
        <v>0</v>
      </c>
      <c r="AX532" s="52"/>
      <c r="AY532" s="52"/>
      <c r="AZ532" s="52">
        <v>0</v>
      </c>
      <c r="BA532" s="52">
        <v>0</v>
      </c>
      <c r="BB532" s="54" t="s">
        <v>74</v>
      </c>
      <c r="BC532" s="53" t="s">
        <v>74</v>
      </c>
      <c r="BD532" s="55" t="s">
        <v>74</v>
      </c>
      <c r="BE532" s="55" t="s">
        <v>74</v>
      </c>
      <c r="BF532" s="55" t="s">
        <v>74</v>
      </c>
      <c r="BG532" s="55" t="s">
        <v>74</v>
      </c>
      <c r="BH532" s="52">
        <v>0</v>
      </c>
      <c r="BI532" s="52">
        <v>5197436.8</v>
      </c>
      <c r="BJ532" s="52">
        <v>5197436.8</v>
      </c>
      <c r="BK532" s="56">
        <v>43497</v>
      </c>
      <c r="BL532" s="57">
        <v>5197436.8</v>
      </c>
      <c r="BM532" s="47">
        <v>0</v>
      </c>
      <c r="BN532" s="9"/>
      <c r="BO532" s="9"/>
      <c r="BP532" s="9"/>
      <c r="BQ532" s="9"/>
      <c r="BR532" s="9"/>
      <c r="BS532" s="9"/>
      <c r="BT532" s="9"/>
      <c r="BU532" s="9"/>
      <c r="BV532" s="9"/>
      <c r="BW532" s="9"/>
    </row>
    <row r="533" spans="1:75" ht="26.25" hidden="1" outlineLevel="2" x14ac:dyDescent="0.25">
      <c r="A533" s="43" t="s">
        <v>640</v>
      </c>
      <c r="B533" s="110" t="s">
        <v>641</v>
      </c>
      <c r="C533" s="45">
        <v>2019</v>
      </c>
      <c r="D533" s="110" t="s">
        <v>77</v>
      </c>
      <c r="E533" s="47">
        <v>0</v>
      </c>
      <c r="F533" s="47">
        <v>0</v>
      </c>
      <c r="G533" s="47">
        <v>0</v>
      </c>
      <c r="H533" s="47">
        <v>0</v>
      </c>
      <c r="I533" s="47">
        <v>0</v>
      </c>
      <c r="J533" s="47">
        <v>0</v>
      </c>
      <c r="K533" s="47">
        <v>0</v>
      </c>
      <c r="L533" s="47">
        <v>0</v>
      </c>
      <c r="M533" s="47">
        <v>0</v>
      </c>
      <c r="N533" s="47">
        <v>0</v>
      </c>
      <c r="O533" s="47">
        <v>0</v>
      </c>
      <c r="P533" s="47">
        <v>6868733.0300000003</v>
      </c>
      <c r="Q533" s="47">
        <v>0</v>
      </c>
      <c r="R533" s="47">
        <v>0</v>
      </c>
      <c r="S533" s="47">
        <v>0</v>
      </c>
      <c r="T533" s="47">
        <v>0</v>
      </c>
      <c r="U533" s="47">
        <v>0</v>
      </c>
      <c r="V533" s="47">
        <v>0</v>
      </c>
      <c r="W533" s="47">
        <v>0</v>
      </c>
      <c r="X533" s="47">
        <v>0</v>
      </c>
      <c r="Y533" s="48">
        <v>6868733.0300000003</v>
      </c>
      <c r="Z533" s="58">
        <v>1534534.65</v>
      </c>
      <c r="AA533" s="50">
        <v>1534534.65</v>
      </c>
      <c r="AB533" s="50">
        <v>0</v>
      </c>
      <c r="AC533" s="50">
        <v>5614.36</v>
      </c>
      <c r="AD533" s="50">
        <v>66046.8</v>
      </c>
      <c r="AE533" s="50">
        <v>0</v>
      </c>
      <c r="AF533" s="50">
        <v>0</v>
      </c>
      <c r="AG533" s="49">
        <v>1606195.81</v>
      </c>
      <c r="AH533" s="51" t="s">
        <v>104</v>
      </c>
      <c r="AI533" s="51" t="s">
        <v>74</v>
      </c>
      <c r="AJ533" s="51" t="s">
        <v>133</v>
      </c>
      <c r="AK533" s="51" t="s">
        <v>134</v>
      </c>
      <c r="AL533" s="51" t="s">
        <v>74</v>
      </c>
      <c r="AM533" s="51" t="s">
        <v>74</v>
      </c>
      <c r="AN533" s="52">
        <v>0</v>
      </c>
      <c r="AO533" s="52">
        <v>0</v>
      </c>
      <c r="AP533" s="52">
        <v>0</v>
      </c>
      <c r="AQ533" s="52">
        <v>0</v>
      </c>
      <c r="AR533" s="52">
        <v>0</v>
      </c>
      <c r="AS533" s="52">
        <v>0</v>
      </c>
      <c r="AT533" s="53" t="s">
        <v>74</v>
      </c>
      <c r="AU533" s="52">
        <v>0</v>
      </c>
      <c r="AV533" s="52"/>
      <c r="AW533" s="52">
        <v>0</v>
      </c>
      <c r="AX533" s="52"/>
      <c r="AY533" s="52"/>
      <c r="AZ533" s="52">
        <v>0</v>
      </c>
      <c r="BA533" s="52">
        <v>0</v>
      </c>
      <c r="BB533" s="54" t="s">
        <v>74</v>
      </c>
      <c r="BC533" s="53" t="s">
        <v>74</v>
      </c>
      <c r="BD533" s="55" t="s">
        <v>74</v>
      </c>
      <c r="BE533" s="55" t="s">
        <v>74</v>
      </c>
      <c r="BF533" s="55" t="s">
        <v>74</v>
      </c>
      <c r="BG533" s="55" t="s">
        <v>74</v>
      </c>
      <c r="BH533" s="52">
        <v>0</v>
      </c>
      <c r="BI533" s="52">
        <v>5262537.22</v>
      </c>
      <c r="BJ533" s="52">
        <v>5262537.22</v>
      </c>
      <c r="BK533" s="56">
        <v>43525</v>
      </c>
      <c r="BL533" s="57">
        <v>5262537.22</v>
      </c>
      <c r="BM533" s="47">
        <v>0</v>
      </c>
      <c r="BN533" s="9"/>
      <c r="BO533" s="9"/>
      <c r="BP533" s="9"/>
      <c r="BQ533" s="9"/>
      <c r="BR533" s="9"/>
      <c r="BS533" s="9"/>
      <c r="BT533" s="9"/>
      <c r="BU533" s="9"/>
      <c r="BV533" s="9"/>
      <c r="BW533" s="9"/>
    </row>
    <row r="534" spans="1:75" ht="26.25" hidden="1" outlineLevel="2" x14ac:dyDescent="0.25">
      <c r="A534" s="43" t="s">
        <v>640</v>
      </c>
      <c r="B534" s="110" t="s">
        <v>641</v>
      </c>
      <c r="C534" s="45">
        <v>2019</v>
      </c>
      <c r="D534" s="110" t="s">
        <v>79</v>
      </c>
      <c r="E534" s="47">
        <v>0</v>
      </c>
      <c r="F534" s="47">
        <v>0</v>
      </c>
      <c r="G534" s="47">
        <v>0</v>
      </c>
      <c r="H534" s="47">
        <v>0</v>
      </c>
      <c r="I534" s="47">
        <v>0</v>
      </c>
      <c r="J534" s="47">
        <v>0</v>
      </c>
      <c r="K534" s="47">
        <v>0</v>
      </c>
      <c r="L534" s="47">
        <v>0</v>
      </c>
      <c r="M534" s="47">
        <v>0</v>
      </c>
      <c r="N534" s="47">
        <v>0</v>
      </c>
      <c r="O534" s="47">
        <v>0</v>
      </c>
      <c r="P534" s="47">
        <v>6868733.0300000003</v>
      </c>
      <c r="Q534" s="47">
        <v>0</v>
      </c>
      <c r="R534" s="47">
        <v>0</v>
      </c>
      <c r="S534" s="47">
        <v>0</v>
      </c>
      <c r="T534" s="47">
        <v>0</v>
      </c>
      <c r="U534" s="47">
        <v>0</v>
      </c>
      <c r="V534" s="47">
        <v>0</v>
      </c>
      <c r="W534" s="47">
        <v>0</v>
      </c>
      <c r="X534" s="47">
        <v>0</v>
      </c>
      <c r="Y534" s="48">
        <v>6868733.0300000003</v>
      </c>
      <c r="Z534" s="58">
        <v>1792704.2</v>
      </c>
      <c r="AA534" s="50">
        <v>1792704.2</v>
      </c>
      <c r="AB534" s="50">
        <v>0</v>
      </c>
      <c r="AC534" s="50">
        <v>6372.14</v>
      </c>
      <c r="AD534" s="50">
        <v>56065.440000000002</v>
      </c>
      <c r="AE534" s="50">
        <v>0</v>
      </c>
      <c r="AF534" s="50">
        <v>0</v>
      </c>
      <c r="AG534" s="49">
        <v>1855141.78</v>
      </c>
      <c r="AH534" s="51" t="s">
        <v>104</v>
      </c>
      <c r="AI534" s="51" t="s">
        <v>74</v>
      </c>
      <c r="AJ534" s="51" t="s">
        <v>436</v>
      </c>
      <c r="AK534" s="51" t="s">
        <v>259</v>
      </c>
      <c r="AL534" s="51" t="s">
        <v>74</v>
      </c>
      <c r="AM534" s="51" t="s">
        <v>74</v>
      </c>
      <c r="AN534" s="52">
        <v>0</v>
      </c>
      <c r="AO534" s="52">
        <v>0</v>
      </c>
      <c r="AP534" s="52">
        <v>0</v>
      </c>
      <c r="AQ534" s="52">
        <v>0</v>
      </c>
      <c r="AR534" s="52">
        <v>0</v>
      </c>
      <c r="AS534" s="52">
        <v>0</v>
      </c>
      <c r="AT534" s="53" t="s">
        <v>74</v>
      </c>
      <c r="AU534" s="52">
        <v>0</v>
      </c>
      <c r="AV534" s="52"/>
      <c r="AW534" s="52">
        <v>0</v>
      </c>
      <c r="AX534" s="52"/>
      <c r="AY534" s="52"/>
      <c r="AZ534" s="52">
        <v>0</v>
      </c>
      <c r="BA534" s="52">
        <v>0</v>
      </c>
      <c r="BB534" s="54" t="s">
        <v>74</v>
      </c>
      <c r="BC534" s="53" t="s">
        <v>74</v>
      </c>
      <c r="BD534" s="55" t="s">
        <v>74</v>
      </c>
      <c r="BE534" s="55" t="s">
        <v>74</v>
      </c>
      <c r="BF534" s="55" t="s">
        <v>74</v>
      </c>
      <c r="BG534" s="55" t="s">
        <v>74</v>
      </c>
      <c r="BH534" s="52">
        <v>0</v>
      </c>
      <c r="BI534" s="52">
        <v>5013591.25</v>
      </c>
      <c r="BJ534" s="52">
        <v>5013591.25</v>
      </c>
      <c r="BK534" s="56">
        <v>43556</v>
      </c>
      <c r="BL534" s="57">
        <v>5013591.25</v>
      </c>
      <c r="BM534" s="47">
        <v>0</v>
      </c>
      <c r="BN534" s="9"/>
      <c r="BO534" s="9"/>
      <c r="BP534" s="9"/>
      <c r="BQ534" s="9"/>
      <c r="BR534" s="9"/>
      <c r="BS534" s="9"/>
      <c r="BT534" s="9"/>
      <c r="BU534" s="9"/>
      <c r="BV534" s="9"/>
      <c r="BW534" s="9"/>
    </row>
    <row r="535" spans="1:75" ht="26.25" hidden="1" outlineLevel="2" x14ac:dyDescent="0.25">
      <c r="A535" s="43" t="s">
        <v>640</v>
      </c>
      <c r="B535" s="110" t="s">
        <v>641</v>
      </c>
      <c r="C535" s="45">
        <v>2019</v>
      </c>
      <c r="D535" s="110" t="s">
        <v>81</v>
      </c>
      <c r="E535" s="47">
        <v>0</v>
      </c>
      <c r="F535" s="47">
        <v>0</v>
      </c>
      <c r="G535" s="47">
        <v>0</v>
      </c>
      <c r="H535" s="47">
        <v>0</v>
      </c>
      <c r="I535" s="47">
        <v>0</v>
      </c>
      <c r="J535" s="47">
        <v>0</v>
      </c>
      <c r="K535" s="47">
        <v>0</v>
      </c>
      <c r="L535" s="47">
        <v>0</v>
      </c>
      <c r="M535" s="47">
        <v>0</v>
      </c>
      <c r="N535" s="47">
        <v>0</v>
      </c>
      <c r="O535" s="47">
        <v>0</v>
      </c>
      <c r="P535" s="47">
        <v>6868733.0300000003</v>
      </c>
      <c r="Q535" s="47">
        <v>0</v>
      </c>
      <c r="R535" s="47">
        <v>0</v>
      </c>
      <c r="S535" s="47">
        <v>0</v>
      </c>
      <c r="T535" s="47">
        <v>0</v>
      </c>
      <c r="U535" s="47">
        <v>0</v>
      </c>
      <c r="V535" s="47">
        <v>0</v>
      </c>
      <c r="W535" s="47">
        <v>0</v>
      </c>
      <c r="X535" s="47">
        <v>0</v>
      </c>
      <c r="Y535" s="48">
        <v>6868733.0300000003</v>
      </c>
      <c r="Z535" s="58">
        <v>1665075.17</v>
      </c>
      <c r="AA535" s="50">
        <v>1665075.17</v>
      </c>
      <c r="AB535" s="50">
        <v>0</v>
      </c>
      <c r="AC535" s="50">
        <v>6173.5</v>
      </c>
      <c r="AD535" s="50">
        <v>50809.51</v>
      </c>
      <c r="AE535" s="50">
        <v>0</v>
      </c>
      <c r="AF535" s="50">
        <v>0</v>
      </c>
      <c r="AG535" s="49">
        <v>1722058.18</v>
      </c>
      <c r="AH535" s="51" t="s">
        <v>104</v>
      </c>
      <c r="AI535" s="51" t="s">
        <v>74</v>
      </c>
      <c r="AJ535" s="51" t="s">
        <v>437</v>
      </c>
      <c r="AK535" s="51" t="s">
        <v>136</v>
      </c>
      <c r="AL535" s="51" t="s">
        <v>74</v>
      </c>
      <c r="AM535" s="51" t="s">
        <v>74</v>
      </c>
      <c r="AN535" s="52">
        <v>0</v>
      </c>
      <c r="AO535" s="52">
        <v>0</v>
      </c>
      <c r="AP535" s="52">
        <v>0</v>
      </c>
      <c r="AQ535" s="52">
        <v>0</v>
      </c>
      <c r="AR535" s="52">
        <v>0</v>
      </c>
      <c r="AS535" s="52">
        <v>0</v>
      </c>
      <c r="AT535" s="53" t="s">
        <v>74</v>
      </c>
      <c r="AU535" s="52">
        <v>0</v>
      </c>
      <c r="AV535" s="52"/>
      <c r="AW535" s="52">
        <v>0</v>
      </c>
      <c r="AX535" s="52"/>
      <c r="AY535" s="52"/>
      <c r="AZ535" s="52">
        <v>0</v>
      </c>
      <c r="BA535" s="52">
        <v>0</v>
      </c>
      <c r="BB535" s="54" t="s">
        <v>74</v>
      </c>
      <c r="BC535" s="53" t="s">
        <v>74</v>
      </c>
      <c r="BD535" s="55" t="s">
        <v>74</v>
      </c>
      <c r="BE535" s="55" t="s">
        <v>74</v>
      </c>
      <c r="BF535" s="55" t="s">
        <v>74</v>
      </c>
      <c r="BG535" s="55" t="s">
        <v>74</v>
      </c>
      <c r="BH535" s="52">
        <v>0</v>
      </c>
      <c r="BI535" s="52">
        <v>5146674.8499999996</v>
      </c>
      <c r="BJ535" s="52">
        <v>5146674.8499999996</v>
      </c>
      <c r="BK535" s="56">
        <v>43586</v>
      </c>
      <c r="BL535" s="57">
        <v>5146674.8499999996</v>
      </c>
      <c r="BM535" s="47">
        <v>0</v>
      </c>
      <c r="BN535" s="9"/>
      <c r="BO535" s="9"/>
      <c r="BP535" s="9"/>
      <c r="BQ535" s="9"/>
      <c r="BR535" s="9"/>
      <c r="BS535" s="9"/>
      <c r="BT535" s="9"/>
      <c r="BU535" s="9"/>
      <c r="BV535" s="9"/>
      <c r="BW535" s="9"/>
    </row>
    <row r="536" spans="1:75" ht="64.5" hidden="1" outlineLevel="2" x14ac:dyDescent="0.25">
      <c r="A536" s="43" t="s">
        <v>640</v>
      </c>
      <c r="B536" s="110" t="s">
        <v>641</v>
      </c>
      <c r="C536" s="45">
        <v>2019</v>
      </c>
      <c r="D536" s="46" t="s">
        <v>83</v>
      </c>
      <c r="E536" s="47">
        <v>0</v>
      </c>
      <c r="F536" s="47">
        <v>0</v>
      </c>
      <c r="G536" s="47">
        <v>0</v>
      </c>
      <c r="H536" s="47">
        <v>0</v>
      </c>
      <c r="I536" s="47">
        <v>0</v>
      </c>
      <c r="J536" s="47">
        <v>0</v>
      </c>
      <c r="K536" s="47">
        <v>0</v>
      </c>
      <c r="L536" s="47">
        <v>0</v>
      </c>
      <c r="M536" s="47">
        <v>0</v>
      </c>
      <c r="N536" s="47">
        <v>0</v>
      </c>
      <c r="O536" s="47">
        <v>0</v>
      </c>
      <c r="P536" s="47">
        <v>6181859.7300000004</v>
      </c>
      <c r="Q536" s="47">
        <v>0</v>
      </c>
      <c r="R536" s="47">
        <v>619279.42000000004</v>
      </c>
      <c r="S536" s="47">
        <v>0</v>
      </c>
      <c r="T536" s="47">
        <v>0</v>
      </c>
      <c r="U536" s="47">
        <v>0</v>
      </c>
      <c r="V536" s="47">
        <v>0</v>
      </c>
      <c r="W536" s="47">
        <v>0</v>
      </c>
      <c r="X536" s="47">
        <v>0</v>
      </c>
      <c r="Y536" s="48">
        <v>6801139.1500000004</v>
      </c>
      <c r="Z536" s="58">
        <v>1623154.9</v>
      </c>
      <c r="AA536" s="50">
        <v>1623154.9</v>
      </c>
      <c r="AB536" s="50">
        <v>0</v>
      </c>
      <c r="AC536" s="50">
        <v>13057.51</v>
      </c>
      <c r="AD536" s="50">
        <v>98290.73</v>
      </c>
      <c r="AE536" s="50">
        <v>0</v>
      </c>
      <c r="AF536" s="50">
        <v>0</v>
      </c>
      <c r="AG536" s="49">
        <v>1734503.14</v>
      </c>
      <c r="AH536" s="51" t="s">
        <v>104</v>
      </c>
      <c r="AI536" s="51" t="s">
        <v>74</v>
      </c>
      <c r="AJ536" s="51" t="s">
        <v>662</v>
      </c>
      <c r="AK536" s="51" t="s">
        <v>663</v>
      </c>
      <c r="AL536" s="51" t="s">
        <v>74</v>
      </c>
      <c r="AM536" s="51" t="s">
        <v>74</v>
      </c>
      <c r="AN536" s="52">
        <v>0</v>
      </c>
      <c r="AO536" s="52">
        <v>0</v>
      </c>
      <c r="AP536" s="52">
        <v>0</v>
      </c>
      <c r="AQ536" s="52">
        <v>0</v>
      </c>
      <c r="AR536" s="52">
        <v>0</v>
      </c>
      <c r="AS536" s="52">
        <v>0</v>
      </c>
      <c r="AT536" s="53" t="s">
        <v>74</v>
      </c>
      <c r="AU536" s="52">
        <v>0</v>
      </c>
      <c r="AV536" s="52"/>
      <c r="AW536" s="52">
        <v>0</v>
      </c>
      <c r="AX536" s="52"/>
      <c r="AY536" s="52"/>
      <c r="AZ536" s="52">
        <v>0</v>
      </c>
      <c r="BA536" s="52">
        <v>0</v>
      </c>
      <c r="BB536" s="54" t="s">
        <v>74</v>
      </c>
      <c r="BC536" s="53" t="s">
        <v>74</v>
      </c>
      <c r="BD536" s="55" t="s">
        <v>74</v>
      </c>
      <c r="BE536" s="55" t="s">
        <v>74</v>
      </c>
      <c r="BF536" s="55" t="s">
        <v>74</v>
      </c>
      <c r="BG536" s="55" t="s">
        <v>74</v>
      </c>
      <c r="BH536" s="52">
        <v>0</v>
      </c>
      <c r="BI536" s="52">
        <v>5066636.01</v>
      </c>
      <c r="BJ536" s="52">
        <v>5066636.01</v>
      </c>
      <c r="BK536" s="56">
        <v>43617</v>
      </c>
      <c r="BL536" s="57">
        <v>5066636.01</v>
      </c>
      <c r="BM536" s="47">
        <v>0</v>
      </c>
      <c r="BN536" s="9"/>
      <c r="BO536" s="9"/>
      <c r="BP536" s="9"/>
      <c r="BQ536" s="9"/>
      <c r="BR536" s="9"/>
      <c r="BS536" s="9"/>
      <c r="BT536" s="9"/>
      <c r="BU536" s="9"/>
      <c r="BV536" s="9"/>
      <c r="BW536" s="9"/>
    </row>
    <row r="537" spans="1:75" ht="64.5" hidden="1" outlineLevel="2" x14ac:dyDescent="0.25">
      <c r="A537" s="43" t="s">
        <v>640</v>
      </c>
      <c r="B537" s="110" t="s">
        <v>641</v>
      </c>
      <c r="C537" s="45">
        <v>2019</v>
      </c>
      <c r="D537" s="110" t="s">
        <v>84</v>
      </c>
      <c r="E537" s="47">
        <v>0</v>
      </c>
      <c r="F537" s="47">
        <v>0</v>
      </c>
      <c r="G537" s="47">
        <v>0</v>
      </c>
      <c r="H537" s="47">
        <v>0</v>
      </c>
      <c r="I537" s="47">
        <v>0</v>
      </c>
      <c r="J537" s="47">
        <v>0</v>
      </c>
      <c r="K537" s="47">
        <v>0</v>
      </c>
      <c r="L537" s="47">
        <v>0</v>
      </c>
      <c r="M537" s="47">
        <v>0</v>
      </c>
      <c r="N537" s="47">
        <v>0</v>
      </c>
      <c r="O537" s="47">
        <v>0</v>
      </c>
      <c r="P537" s="47">
        <v>0</v>
      </c>
      <c r="Q537" s="47">
        <v>0</v>
      </c>
      <c r="R537" s="47">
        <v>6871836.9299999997</v>
      </c>
      <c r="S537" s="47">
        <v>0</v>
      </c>
      <c r="T537" s="47">
        <v>0</v>
      </c>
      <c r="U537" s="47">
        <v>0</v>
      </c>
      <c r="V537" s="47">
        <v>0</v>
      </c>
      <c r="W537" s="47">
        <v>0</v>
      </c>
      <c r="X537" s="47">
        <v>0</v>
      </c>
      <c r="Y537" s="48">
        <v>6871836.9299999997</v>
      </c>
      <c r="Z537" s="49">
        <v>1525278.88</v>
      </c>
      <c r="AA537" s="50">
        <v>1525278.88</v>
      </c>
      <c r="AB537" s="50">
        <v>0</v>
      </c>
      <c r="AC537" s="50">
        <v>6938.09</v>
      </c>
      <c r="AD537" s="50">
        <v>40358.86</v>
      </c>
      <c r="AE537" s="50">
        <v>0</v>
      </c>
      <c r="AF537" s="50">
        <v>0</v>
      </c>
      <c r="AG537" s="49">
        <v>1572575.83</v>
      </c>
      <c r="AH537" s="51" t="s">
        <v>104</v>
      </c>
      <c r="AI537" s="51" t="s">
        <v>74</v>
      </c>
      <c r="AJ537" s="51" t="s">
        <v>664</v>
      </c>
      <c r="AK537" s="51" t="s">
        <v>665</v>
      </c>
      <c r="AL537" s="51" t="s">
        <v>74</v>
      </c>
      <c r="AM537" s="51" t="s">
        <v>74</v>
      </c>
      <c r="AN537" s="52">
        <v>0</v>
      </c>
      <c r="AO537" s="52">
        <v>0</v>
      </c>
      <c r="AP537" s="52">
        <v>0</v>
      </c>
      <c r="AQ537" s="52">
        <v>0</v>
      </c>
      <c r="AR537" s="52">
        <v>0</v>
      </c>
      <c r="AS537" s="52">
        <v>0</v>
      </c>
      <c r="AT537" s="53" t="s">
        <v>74</v>
      </c>
      <c r="AU537" s="52">
        <v>0</v>
      </c>
      <c r="AV537" s="52"/>
      <c r="AW537" s="52">
        <v>0</v>
      </c>
      <c r="AX537" s="52"/>
      <c r="AY537" s="52"/>
      <c r="AZ537" s="52">
        <v>0</v>
      </c>
      <c r="BA537" s="52">
        <v>0</v>
      </c>
      <c r="BB537" s="54" t="s">
        <v>74</v>
      </c>
      <c r="BC537" s="53" t="s">
        <v>74</v>
      </c>
      <c r="BD537" s="55" t="s">
        <v>74</v>
      </c>
      <c r="BE537" s="55" t="s">
        <v>74</v>
      </c>
      <c r="BF537" s="55" t="s">
        <v>74</v>
      </c>
      <c r="BG537" s="55" t="s">
        <v>74</v>
      </c>
      <c r="BH537" s="52">
        <v>0</v>
      </c>
      <c r="BI537" s="52">
        <v>5299261.0999999996</v>
      </c>
      <c r="BJ537" s="52">
        <v>5299261.0999999996</v>
      </c>
      <c r="BK537" s="56">
        <v>43647</v>
      </c>
      <c r="BL537" s="57">
        <v>5299261.0999999996</v>
      </c>
      <c r="BM537" s="47">
        <v>0</v>
      </c>
      <c r="BN537" s="9"/>
      <c r="BO537" s="9"/>
      <c r="BP537" s="9"/>
      <c r="BQ537" s="9"/>
      <c r="BR537" s="9"/>
      <c r="BS537" s="9"/>
      <c r="BT537" s="9"/>
      <c r="BU537" s="9"/>
      <c r="BV537" s="9"/>
      <c r="BW537" s="9"/>
    </row>
    <row r="538" spans="1:75" ht="26.25" hidden="1" outlineLevel="2" x14ac:dyDescent="0.25">
      <c r="A538" s="43" t="s">
        <v>640</v>
      </c>
      <c r="B538" s="110" t="s">
        <v>641</v>
      </c>
      <c r="C538" s="45">
        <v>2019</v>
      </c>
      <c r="D538" s="110" t="s">
        <v>86</v>
      </c>
      <c r="E538" s="47">
        <v>0</v>
      </c>
      <c r="F538" s="47">
        <v>0</v>
      </c>
      <c r="G538" s="47">
        <v>0</v>
      </c>
      <c r="H538" s="47">
        <v>0</v>
      </c>
      <c r="I538" s="47">
        <v>0</v>
      </c>
      <c r="J538" s="47">
        <v>0</v>
      </c>
      <c r="K538" s="47">
        <v>0</v>
      </c>
      <c r="L538" s="47">
        <v>0</v>
      </c>
      <c r="M538" s="47">
        <v>0</v>
      </c>
      <c r="N538" s="47">
        <v>0</v>
      </c>
      <c r="O538" s="47">
        <v>0</v>
      </c>
      <c r="P538" s="47">
        <v>0</v>
      </c>
      <c r="Q538" s="47">
        <v>0</v>
      </c>
      <c r="R538" s="47">
        <v>6871836.9299999997</v>
      </c>
      <c r="S538" s="47">
        <v>0</v>
      </c>
      <c r="T538" s="47">
        <v>0</v>
      </c>
      <c r="U538" s="47">
        <v>0</v>
      </c>
      <c r="V538" s="47">
        <v>0</v>
      </c>
      <c r="W538" s="47">
        <v>0</v>
      </c>
      <c r="X538" s="47">
        <v>0</v>
      </c>
      <c r="Y538" s="48">
        <v>6871836.9299999997</v>
      </c>
      <c r="Z538" s="58">
        <v>1564177.12</v>
      </c>
      <c r="AA538" s="50">
        <v>1564177.12</v>
      </c>
      <c r="AB538" s="50">
        <v>0</v>
      </c>
      <c r="AC538" s="50">
        <v>0</v>
      </c>
      <c r="AD538" s="50">
        <v>0</v>
      </c>
      <c r="AE538" s="50">
        <v>0</v>
      </c>
      <c r="AF538" s="50">
        <v>0</v>
      </c>
      <c r="AG538" s="49">
        <v>1564177.12</v>
      </c>
      <c r="AH538" s="51" t="s">
        <v>104</v>
      </c>
      <c r="AI538" s="51" t="s">
        <v>74</v>
      </c>
      <c r="AJ538" s="51" t="s">
        <v>74</v>
      </c>
      <c r="AK538" s="51" t="s">
        <v>74</v>
      </c>
      <c r="AL538" s="51" t="s">
        <v>74</v>
      </c>
      <c r="AM538" s="51" t="s">
        <v>74</v>
      </c>
      <c r="AN538" s="52">
        <v>0</v>
      </c>
      <c r="AO538" s="52">
        <v>0</v>
      </c>
      <c r="AP538" s="52">
        <v>0</v>
      </c>
      <c r="AQ538" s="52">
        <v>0</v>
      </c>
      <c r="AR538" s="52">
        <v>0</v>
      </c>
      <c r="AS538" s="52">
        <v>0</v>
      </c>
      <c r="AT538" s="53" t="s">
        <v>74</v>
      </c>
      <c r="AU538" s="52">
        <v>0</v>
      </c>
      <c r="AV538" s="52"/>
      <c r="AW538" s="52">
        <v>0</v>
      </c>
      <c r="AX538" s="52"/>
      <c r="AY538" s="52"/>
      <c r="AZ538" s="52">
        <v>0</v>
      </c>
      <c r="BA538" s="52">
        <v>0</v>
      </c>
      <c r="BB538" s="54" t="s">
        <v>74</v>
      </c>
      <c r="BC538" s="53" t="s">
        <v>74</v>
      </c>
      <c r="BD538" s="55" t="s">
        <v>74</v>
      </c>
      <c r="BE538" s="55" t="s">
        <v>74</v>
      </c>
      <c r="BF538" s="55" t="s">
        <v>74</v>
      </c>
      <c r="BG538" s="55" t="s">
        <v>74</v>
      </c>
      <c r="BH538" s="52">
        <v>0</v>
      </c>
      <c r="BI538" s="52">
        <v>5307659.8099999996</v>
      </c>
      <c r="BJ538" s="52">
        <v>5307659.8099999996</v>
      </c>
      <c r="BK538" s="56">
        <v>43678</v>
      </c>
      <c r="BL538" s="57">
        <v>5307659.8099999996</v>
      </c>
      <c r="BM538" s="47">
        <v>0</v>
      </c>
      <c r="BN538" s="9"/>
      <c r="BO538" s="9"/>
      <c r="BP538" s="9"/>
      <c r="BQ538" s="9"/>
      <c r="BR538" s="9"/>
      <c r="BS538" s="9"/>
      <c r="BT538" s="9"/>
      <c r="BU538" s="9"/>
      <c r="BV538" s="9"/>
      <c r="BW538" s="9"/>
    </row>
    <row r="539" spans="1:75" ht="64.5" hidden="1" outlineLevel="2" x14ac:dyDescent="0.25">
      <c r="A539" s="43" t="s">
        <v>640</v>
      </c>
      <c r="B539" s="110" t="s">
        <v>641</v>
      </c>
      <c r="C539" s="45">
        <v>2019</v>
      </c>
      <c r="D539" s="110" t="s">
        <v>88</v>
      </c>
      <c r="E539" s="47">
        <v>0</v>
      </c>
      <c r="F539" s="47">
        <v>0</v>
      </c>
      <c r="G539" s="47">
        <v>0</v>
      </c>
      <c r="H539" s="47">
        <v>0</v>
      </c>
      <c r="I539" s="47">
        <v>0</v>
      </c>
      <c r="J539" s="47">
        <v>0</v>
      </c>
      <c r="K539" s="47">
        <v>0</v>
      </c>
      <c r="L539" s="47">
        <v>0</v>
      </c>
      <c r="M539" s="47">
        <v>0</v>
      </c>
      <c r="N539" s="47">
        <v>0</v>
      </c>
      <c r="O539" s="47">
        <v>0</v>
      </c>
      <c r="P539" s="47">
        <v>0</v>
      </c>
      <c r="Q539" s="47">
        <v>0</v>
      </c>
      <c r="R539" s="47">
        <v>6871836.9299999997</v>
      </c>
      <c r="S539" s="47">
        <v>0</v>
      </c>
      <c r="T539" s="47">
        <v>0</v>
      </c>
      <c r="U539" s="47">
        <v>0</v>
      </c>
      <c r="V539" s="47">
        <v>0</v>
      </c>
      <c r="W539" s="47">
        <v>0</v>
      </c>
      <c r="X539" s="47">
        <v>0</v>
      </c>
      <c r="Y539" s="48">
        <v>6871836.9299999997</v>
      </c>
      <c r="Z539" s="58">
        <v>1643077.83</v>
      </c>
      <c r="AA539" s="50">
        <v>1643077.83</v>
      </c>
      <c r="AB539" s="50">
        <v>0</v>
      </c>
      <c r="AC539" s="50">
        <v>13353.61</v>
      </c>
      <c r="AD539" s="50">
        <v>82340.55</v>
      </c>
      <c r="AE539" s="50">
        <v>0</v>
      </c>
      <c r="AF539" s="50">
        <v>0</v>
      </c>
      <c r="AG539" s="49">
        <v>1738771.99</v>
      </c>
      <c r="AH539" s="51" t="s">
        <v>104</v>
      </c>
      <c r="AI539" s="51" t="s">
        <v>74</v>
      </c>
      <c r="AJ539" s="51" t="s">
        <v>666</v>
      </c>
      <c r="AK539" s="51" t="s">
        <v>667</v>
      </c>
      <c r="AL539" s="51" t="s">
        <v>74</v>
      </c>
      <c r="AM539" s="51" t="s">
        <v>74</v>
      </c>
      <c r="AN539" s="52">
        <v>0</v>
      </c>
      <c r="AO539" s="52">
        <v>0</v>
      </c>
      <c r="AP539" s="52">
        <v>0</v>
      </c>
      <c r="AQ539" s="52">
        <v>0</v>
      </c>
      <c r="AR539" s="52">
        <v>0</v>
      </c>
      <c r="AS539" s="52">
        <v>0</v>
      </c>
      <c r="AT539" s="53" t="s">
        <v>74</v>
      </c>
      <c r="AU539" s="52">
        <v>0</v>
      </c>
      <c r="AV539" s="52"/>
      <c r="AW539" s="52">
        <v>0</v>
      </c>
      <c r="AX539" s="52"/>
      <c r="AY539" s="52"/>
      <c r="AZ539" s="52">
        <v>0</v>
      </c>
      <c r="BA539" s="52">
        <v>0</v>
      </c>
      <c r="BB539" s="54" t="s">
        <v>74</v>
      </c>
      <c r="BC539" s="53" t="s">
        <v>74</v>
      </c>
      <c r="BD539" s="55" t="s">
        <v>74</v>
      </c>
      <c r="BE539" s="55" t="s">
        <v>74</v>
      </c>
      <c r="BF539" s="55" t="s">
        <v>74</v>
      </c>
      <c r="BG539" s="55" t="s">
        <v>74</v>
      </c>
      <c r="BH539" s="52">
        <v>0</v>
      </c>
      <c r="BI539" s="52">
        <v>5133064.9400000004</v>
      </c>
      <c r="BJ539" s="52">
        <v>5133064.9400000004</v>
      </c>
      <c r="BK539" s="56">
        <v>43709</v>
      </c>
      <c r="BL539" s="57">
        <v>5133064.9400000004</v>
      </c>
      <c r="BM539" s="47">
        <v>0</v>
      </c>
      <c r="BN539" s="9"/>
      <c r="BO539" s="9"/>
      <c r="BP539" s="9"/>
      <c r="BQ539" s="9"/>
      <c r="BR539" s="9"/>
      <c r="BS539" s="9"/>
      <c r="BT539" s="9"/>
      <c r="BU539" s="9"/>
      <c r="BV539" s="9"/>
      <c r="BW539" s="9"/>
    </row>
    <row r="540" spans="1:75" ht="243" hidden="1" outlineLevel="2" x14ac:dyDescent="0.25">
      <c r="A540" s="43" t="s">
        <v>640</v>
      </c>
      <c r="B540" s="110" t="s">
        <v>641</v>
      </c>
      <c r="C540" s="45">
        <v>2019</v>
      </c>
      <c r="D540" s="110" t="s">
        <v>89</v>
      </c>
      <c r="E540" s="47">
        <v>0</v>
      </c>
      <c r="F540" s="47">
        <v>0</v>
      </c>
      <c r="G540" s="47">
        <v>0</v>
      </c>
      <c r="H540" s="47">
        <v>0</v>
      </c>
      <c r="I540" s="47">
        <v>0</v>
      </c>
      <c r="J540" s="47">
        <v>0</v>
      </c>
      <c r="K540" s="47">
        <v>0</v>
      </c>
      <c r="L540" s="47">
        <v>0</v>
      </c>
      <c r="M540" s="47">
        <v>0</v>
      </c>
      <c r="N540" s="47">
        <v>0</v>
      </c>
      <c r="O540" s="47">
        <v>0</v>
      </c>
      <c r="P540" s="47">
        <v>0</v>
      </c>
      <c r="Q540" s="47">
        <v>0</v>
      </c>
      <c r="R540" s="47">
        <v>6871836.9299999997</v>
      </c>
      <c r="S540" s="47">
        <v>0</v>
      </c>
      <c r="T540" s="47">
        <v>0</v>
      </c>
      <c r="U540" s="47">
        <v>0</v>
      </c>
      <c r="V540" s="47">
        <v>0</v>
      </c>
      <c r="W540" s="47">
        <v>0</v>
      </c>
      <c r="X540" s="47">
        <v>0</v>
      </c>
      <c r="Y540" s="48">
        <v>6871836.9299999997</v>
      </c>
      <c r="Z540" s="58">
        <v>1593895.17</v>
      </c>
      <c r="AA540" s="50">
        <v>1593895.17</v>
      </c>
      <c r="AB540" s="50">
        <v>0</v>
      </c>
      <c r="AC540" s="50">
        <v>0</v>
      </c>
      <c r="AD540" s="50">
        <v>0</v>
      </c>
      <c r="AE540" s="50">
        <v>0</v>
      </c>
      <c r="AF540" s="50">
        <v>0</v>
      </c>
      <c r="AG540" s="49">
        <v>1593895.17</v>
      </c>
      <c r="AH540" s="51" t="s">
        <v>104</v>
      </c>
      <c r="AI540" s="51" t="s">
        <v>74</v>
      </c>
      <c r="AJ540" s="51" t="s">
        <v>74</v>
      </c>
      <c r="AK540" s="51" t="s">
        <v>74</v>
      </c>
      <c r="AL540" s="51" t="s">
        <v>74</v>
      </c>
      <c r="AM540" s="51" t="s">
        <v>74</v>
      </c>
      <c r="AN540" s="52">
        <v>0</v>
      </c>
      <c r="AO540" s="52">
        <v>4367.24</v>
      </c>
      <c r="AP540" s="52">
        <v>0</v>
      </c>
      <c r="AQ540" s="52">
        <v>0</v>
      </c>
      <c r="AR540" s="52">
        <v>0</v>
      </c>
      <c r="AS540" s="52">
        <v>4367.24</v>
      </c>
      <c r="AT540" s="51" t="s">
        <v>668</v>
      </c>
      <c r="AU540" s="52">
        <v>694251.64</v>
      </c>
      <c r="AV540" s="52"/>
      <c r="AW540" s="52">
        <v>0</v>
      </c>
      <c r="AX540" s="52"/>
      <c r="AY540" s="52"/>
      <c r="AZ540" s="52">
        <v>0</v>
      </c>
      <c r="BA540" s="52">
        <v>694251.64</v>
      </c>
      <c r="BB540" s="55" t="s">
        <v>669</v>
      </c>
      <c r="BC540" s="51" t="s">
        <v>74</v>
      </c>
      <c r="BD540" s="54" t="s">
        <v>74</v>
      </c>
      <c r="BE540" s="54" t="s">
        <v>74</v>
      </c>
      <c r="BF540" s="54" t="s">
        <v>74</v>
      </c>
      <c r="BG540" s="54" t="s">
        <v>74</v>
      </c>
      <c r="BH540" s="52">
        <v>698618.88</v>
      </c>
      <c r="BI540" s="52">
        <v>5976560.6399999997</v>
      </c>
      <c r="BJ540" s="52">
        <v>5282309</v>
      </c>
      <c r="BK540" s="56">
        <v>43739</v>
      </c>
      <c r="BL540" s="57">
        <v>5976560.6399999997</v>
      </c>
      <c r="BM540" s="47">
        <v>0</v>
      </c>
      <c r="BN540" s="9"/>
      <c r="BO540" s="9"/>
      <c r="BP540" s="9"/>
      <c r="BQ540" s="9"/>
      <c r="BR540" s="9"/>
      <c r="BS540" s="9"/>
      <c r="BT540" s="9"/>
      <c r="BU540" s="9"/>
      <c r="BV540" s="9"/>
      <c r="BW540" s="9"/>
    </row>
    <row r="541" spans="1:75" ht="26.25" hidden="1" outlineLevel="2" x14ac:dyDescent="0.25">
      <c r="A541" s="43" t="s">
        <v>640</v>
      </c>
      <c r="B541" s="110" t="s">
        <v>641</v>
      </c>
      <c r="C541" s="45">
        <v>2019</v>
      </c>
      <c r="D541" s="110" t="s">
        <v>90</v>
      </c>
      <c r="E541" s="47">
        <v>0</v>
      </c>
      <c r="F541" s="47">
        <v>0</v>
      </c>
      <c r="G541" s="47">
        <v>0</v>
      </c>
      <c r="H541" s="47">
        <v>0</v>
      </c>
      <c r="I541" s="47">
        <v>0</v>
      </c>
      <c r="J541" s="47">
        <v>0</v>
      </c>
      <c r="K541" s="47">
        <v>0</v>
      </c>
      <c r="L541" s="47">
        <v>0</v>
      </c>
      <c r="M541" s="47">
        <v>0</v>
      </c>
      <c r="N541" s="47">
        <v>0</v>
      </c>
      <c r="O541" s="47">
        <v>0</v>
      </c>
      <c r="P541" s="47">
        <v>0</v>
      </c>
      <c r="Q541" s="47">
        <v>0</v>
      </c>
      <c r="R541" s="47">
        <v>6871836.9299999997</v>
      </c>
      <c r="S541" s="47">
        <v>0</v>
      </c>
      <c r="T541" s="47">
        <v>0</v>
      </c>
      <c r="U541" s="47">
        <v>0</v>
      </c>
      <c r="V541" s="47">
        <v>0</v>
      </c>
      <c r="W541" s="47">
        <v>0</v>
      </c>
      <c r="X541" s="47">
        <v>0</v>
      </c>
      <c r="Y541" s="48">
        <v>6871836.9299999997</v>
      </c>
      <c r="Z541" s="58">
        <v>1446789.27</v>
      </c>
      <c r="AA541" s="50">
        <v>1446789.27</v>
      </c>
      <c r="AB541" s="50">
        <v>0</v>
      </c>
      <c r="AC541" s="50">
        <v>6713.84</v>
      </c>
      <c r="AD541" s="50">
        <v>55397.68</v>
      </c>
      <c r="AE541" s="50">
        <v>0</v>
      </c>
      <c r="AF541" s="50">
        <v>0</v>
      </c>
      <c r="AG541" s="49">
        <v>1508900.79</v>
      </c>
      <c r="AH541" s="51" t="s">
        <v>104</v>
      </c>
      <c r="AI541" s="51" t="s">
        <v>74</v>
      </c>
      <c r="AJ541" s="51" t="s">
        <v>149</v>
      </c>
      <c r="AK541" s="51" t="s">
        <v>150</v>
      </c>
      <c r="AL541" s="51" t="s">
        <v>74</v>
      </c>
      <c r="AM541" s="51" t="s">
        <v>74</v>
      </c>
      <c r="AN541" s="52">
        <v>0</v>
      </c>
      <c r="AO541" s="52">
        <v>0</v>
      </c>
      <c r="AP541" s="52">
        <v>0</v>
      </c>
      <c r="AQ541" s="52">
        <v>0</v>
      </c>
      <c r="AR541" s="52">
        <v>0</v>
      </c>
      <c r="AS541" s="52">
        <v>0</v>
      </c>
      <c r="AT541" s="53" t="s">
        <v>74</v>
      </c>
      <c r="AU541" s="52">
        <v>0</v>
      </c>
      <c r="AV541" s="52"/>
      <c r="AW541" s="52">
        <v>0</v>
      </c>
      <c r="AX541" s="52"/>
      <c r="AY541" s="52"/>
      <c r="AZ541" s="52">
        <v>0</v>
      </c>
      <c r="BA541" s="52">
        <v>0</v>
      </c>
      <c r="BB541" s="54" t="s">
        <v>74</v>
      </c>
      <c r="BC541" s="53" t="s">
        <v>74</v>
      </c>
      <c r="BD541" s="55" t="s">
        <v>74</v>
      </c>
      <c r="BE541" s="55" t="s">
        <v>74</v>
      </c>
      <c r="BF541" s="55" t="s">
        <v>74</v>
      </c>
      <c r="BG541" s="55" t="s">
        <v>74</v>
      </c>
      <c r="BH541" s="52">
        <v>0</v>
      </c>
      <c r="BI541" s="52">
        <v>5362936.1399999997</v>
      </c>
      <c r="BJ541" s="52">
        <v>5362936.1399999997</v>
      </c>
      <c r="BK541" s="56">
        <v>43770</v>
      </c>
      <c r="BL541" s="57">
        <v>5362936.1399999997</v>
      </c>
      <c r="BM541" s="47">
        <v>0</v>
      </c>
      <c r="BN541" s="9"/>
      <c r="BO541" s="9"/>
      <c r="BP541" s="9"/>
      <c r="BQ541" s="9"/>
      <c r="BR541" s="9"/>
      <c r="BS541" s="9"/>
      <c r="BT541" s="9"/>
      <c r="BU541" s="9"/>
      <c r="BV541" s="9"/>
      <c r="BW541" s="9"/>
    </row>
    <row r="542" spans="1:75" ht="115.5" hidden="1" outlineLevel="2" x14ac:dyDescent="0.25">
      <c r="A542" s="43" t="s">
        <v>640</v>
      </c>
      <c r="B542" s="110" t="s">
        <v>641</v>
      </c>
      <c r="C542" s="45">
        <v>2019</v>
      </c>
      <c r="D542" s="110" t="s">
        <v>93</v>
      </c>
      <c r="E542" s="47">
        <v>0</v>
      </c>
      <c r="F542" s="47">
        <v>0</v>
      </c>
      <c r="G542" s="47">
        <v>0</v>
      </c>
      <c r="H542" s="47">
        <v>0</v>
      </c>
      <c r="I542" s="47">
        <v>0</v>
      </c>
      <c r="J542" s="47">
        <v>0</v>
      </c>
      <c r="K542" s="47">
        <v>0</v>
      </c>
      <c r="L542" s="47">
        <v>0</v>
      </c>
      <c r="M542" s="47">
        <v>0</v>
      </c>
      <c r="N542" s="47">
        <v>0</v>
      </c>
      <c r="O542" s="47">
        <v>0</v>
      </c>
      <c r="P542" s="47">
        <v>0</v>
      </c>
      <c r="Q542" s="47">
        <v>0</v>
      </c>
      <c r="R542" s="47">
        <v>6252557.5099999998</v>
      </c>
      <c r="S542" s="134">
        <v>1376060.95</v>
      </c>
      <c r="T542" s="47">
        <v>0</v>
      </c>
      <c r="U542" s="47">
        <v>0</v>
      </c>
      <c r="V542" s="47">
        <v>0</v>
      </c>
      <c r="W542" s="47">
        <v>0</v>
      </c>
      <c r="X542" s="47">
        <v>0</v>
      </c>
      <c r="Y542" s="48">
        <v>7628618.46</v>
      </c>
      <c r="Z542" s="58">
        <v>1515796.98</v>
      </c>
      <c r="AA542" s="50">
        <v>1515796.98</v>
      </c>
      <c r="AB542" s="50">
        <v>0</v>
      </c>
      <c r="AC542" s="50">
        <v>12888.18</v>
      </c>
      <c r="AD542" s="50">
        <v>152018.81</v>
      </c>
      <c r="AE542" s="112">
        <v>367275.17</v>
      </c>
      <c r="AF542" s="50">
        <v>0</v>
      </c>
      <c r="AG542" s="49">
        <v>2047979.14</v>
      </c>
      <c r="AH542" s="51" t="s">
        <v>104</v>
      </c>
      <c r="AI542" s="51" t="s">
        <v>74</v>
      </c>
      <c r="AJ542" s="51" t="s">
        <v>670</v>
      </c>
      <c r="AK542" s="51" t="s">
        <v>671</v>
      </c>
      <c r="AL542" s="51" t="s">
        <v>672</v>
      </c>
      <c r="AM542" s="51" t="s">
        <v>74</v>
      </c>
      <c r="AN542" s="52"/>
      <c r="AO542" s="52"/>
      <c r="AP542" s="52"/>
      <c r="AQ542" s="52"/>
      <c r="AR542" s="52"/>
      <c r="AS542" s="52">
        <v>0</v>
      </c>
      <c r="AT542" s="53" t="s">
        <v>74</v>
      </c>
      <c r="AU542" s="52">
        <v>0</v>
      </c>
      <c r="AV542" s="52"/>
      <c r="AW542" s="52">
        <v>441000</v>
      </c>
      <c r="AX542" s="52"/>
      <c r="AY542" s="52"/>
      <c r="AZ542" s="52">
        <v>0</v>
      </c>
      <c r="BA542" s="52">
        <v>441000</v>
      </c>
      <c r="BB542" s="54" t="s">
        <v>74</v>
      </c>
      <c r="BC542" s="53" t="s">
        <v>74</v>
      </c>
      <c r="BD542" s="55" t="s">
        <v>673</v>
      </c>
      <c r="BE542" s="55" t="s">
        <v>74</v>
      </c>
      <c r="BF542" s="55" t="s">
        <v>74</v>
      </c>
      <c r="BG542" s="55" t="s">
        <v>74</v>
      </c>
      <c r="BH542" s="52">
        <v>441000</v>
      </c>
      <c r="BI542" s="52">
        <v>6021639.3200000003</v>
      </c>
      <c r="BJ542" s="52">
        <v>5580639.3200000003</v>
      </c>
      <c r="BK542" s="56">
        <v>43800</v>
      </c>
      <c r="BL542" s="57">
        <v>6021639.3200000003</v>
      </c>
      <c r="BM542" s="47">
        <v>0</v>
      </c>
      <c r="BN542" s="9"/>
      <c r="BO542" s="9"/>
      <c r="BP542" s="9"/>
      <c r="BQ542" s="9"/>
      <c r="BR542" s="9"/>
      <c r="BS542" s="9"/>
      <c r="BT542" s="9"/>
      <c r="BU542" s="9"/>
      <c r="BV542" s="9"/>
      <c r="BW542" s="9"/>
    </row>
    <row r="543" spans="1:75" ht="26.25" hidden="1" outlineLevel="2" x14ac:dyDescent="0.25">
      <c r="A543" s="43" t="s">
        <v>640</v>
      </c>
      <c r="B543" s="110" t="s">
        <v>641</v>
      </c>
      <c r="C543" s="45">
        <v>2020</v>
      </c>
      <c r="D543" s="110" t="s">
        <v>73</v>
      </c>
      <c r="E543" s="47">
        <v>0</v>
      </c>
      <c r="F543" s="47">
        <v>0</v>
      </c>
      <c r="G543" s="47">
        <v>0</v>
      </c>
      <c r="H543" s="47">
        <v>0</v>
      </c>
      <c r="I543" s="47">
        <v>0</v>
      </c>
      <c r="J543" s="47">
        <v>0</v>
      </c>
      <c r="K543" s="47">
        <v>0</v>
      </c>
      <c r="L543" s="47">
        <v>0</v>
      </c>
      <c r="M543" s="47">
        <v>0</v>
      </c>
      <c r="N543" s="47">
        <v>0</v>
      </c>
      <c r="O543" s="47">
        <v>0</v>
      </c>
      <c r="P543" s="47">
        <v>0</v>
      </c>
      <c r="Q543" s="47">
        <v>0</v>
      </c>
      <c r="R543" s="47">
        <v>0</v>
      </c>
      <c r="S543" s="47">
        <v>6880304.75</v>
      </c>
      <c r="T543" s="47">
        <v>0</v>
      </c>
      <c r="U543" s="47">
        <v>0</v>
      </c>
      <c r="V543" s="47">
        <v>0</v>
      </c>
      <c r="W543" s="47">
        <v>0</v>
      </c>
      <c r="X543" s="47">
        <v>0</v>
      </c>
      <c r="Y543" s="48">
        <v>6880304.75</v>
      </c>
      <c r="Z543" s="58">
        <v>1609257.07</v>
      </c>
      <c r="AA543" s="50">
        <v>1609257.07</v>
      </c>
      <c r="AB543" s="50">
        <v>0</v>
      </c>
      <c r="AC543" s="50">
        <v>6721.83</v>
      </c>
      <c r="AD543" s="50">
        <v>0</v>
      </c>
      <c r="AE543" s="50">
        <v>0</v>
      </c>
      <c r="AF543" s="50">
        <v>0</v>
      </c>
      <c r="AG543" s="49">
        <v>1615978.9</v>
      </c>
      <c r="AH543" s="51" t="s">
        <v>104</v>
      </c>
      <c r="AI543" s="51" t="s">
        <v>74</v>
      </c>
      <c r="AJ543" s="51" t="s">
        <v>156</v>
      </c>
      <c r="AK543" s="51" t="s">
        <v>74</v>
      </c>
      <c r="AL543" s="51" t="s">
        <v>74</v>
      </c>
      <c r="AM543" s="51" t="s">
        <v>74</v>
      </c>
      <c r="AN543" s="52">
        <v>0</v>
      </c>
      <c r="AO543" s="52">
        <v>0</v>
      </c>
      <c r="AP543" s="52">
        <v>0</v>
      </c>
      <c r="AQ543" s="52">
        <v>0</v>
      </c>
      <c r="AR543" s="52">
        <v>0</v>
      </c>
      <c r="AS543" s="52">
        <v>0</v>
      </c>
      <c r="AT543" s="53" t="s">
        <v>74</v>
      </c>
      <c r="AU543" s="52">
        <v>0</v>
      </c>
      <c r="AV543" s="52"/>
      <c r="AW543" s="52">
        <v>0</v>
      </c>
      <c r="AX543" s="52"/>
      <c r="AY543" s="52"/>
      <c r="AZ543" s="52">
        <v>0</v>
      </c>
      <c r="BA543" s="52">
        <v>0</v>
      </c>
      <c r="BB543" s="54" t="s">
        <v>74</v>
      </c>
      <c r="BC543" s="53" t="s">
        <v>74</v>
      </c>
      <c r="BD543" s="55" t="s">
        <v>74</v>
      </c>
      <c r="BE543" s="55" t="s">
        <v>74</v>
      </c>
      <c r="BF543" s="55" t="s">
        <v>74</v>
      </c>
      <c r="BG543" s="55" t="s">
        <v>74</v>
      </c>
      <c r="BH543" s="52">
        <v>0</v>
      </c>
      <c r="BI543" s="52">
        <v>5264325.8499999996</v>
      </c>
      <c r="BJ543" s="52">
        <v>5264325.8499999996</v>
      </c>
      <c r="BK543" s="56">
        <v>43831</v>
      </c>
      <c r="BL543" s="57">
        <v>5264325.8499999996</v>
      </c>
      <c r="BM543" s="47">
        <v>0</v>
      </c>
      <c r="BN543" s="9"/>
      <c r="BO543" s="9"/>
      <c r="BP543" s="9"/>
      <c r="BQ543" s="9"/>
      <c r="BR543" s="9"/>
      <c r="BS543" s="9"/>
      <c r="BT543" s="9"/>
      <c r="BU543" s="9"/>
      <c r="BV543" s="9"/>
      <c r="BW543" s="9"/>
    </row>
    <row r="544" spans="1:75" ht="26.25" hidden="1" outlineLevel="2" x14ac:dyDescent="0.25">
      <c r="A544" s="43" t="s">
        <v>640</v>
      </c>
      <c r="B544" s="110" t="s">
        <v>641</v>
      </c>
      <c r="C544" s="45">
        <v>2020</v>
      </c>
      <c r="D544" s="110" t="s">
        <v>75</v>
      </c>
      <c r="E544" s="47">
        <v>0</v>
      </c>
      <c r="F544" s="47">
        <v>0</v>
      </c>
      <c r="G544" s="47">
        <v>0</v>
      </c>
      <c r="H544" s="47">
        <v>0</v>
      </c>
      <c r="I544" s="47">
        <v>0</v>
      </c>
      <c r="J544" s="47">
        <v>0</v>
      </c>
      <c r="K544" s="47">
        <v>0</v>
      </c>
      <c r="L544" s="47">
        <v>0</v>
      </c>
      <c r="M544" s="47">
        <v>0</v>
      </c>
      <c r="N544" s="47">
        <v>0</v>
      </c>
      <c r="O544" s="47">
        <v>0</v>
      </c>
      <c r="P544" s="47">
        <v>0</v>
      </c>
      <c r="Q544" s="47">
        <v>0</v>
      </c>
      <c r="R544" s="47">
        <v>0</v>
      </c>
      <c r="S544" s="47">
        <v>6880304.75</v>
      </c>
      <c r="T544" s="134">
        <v>347274.6</v>
      </c>
      <c r="U544" s="47">
        <v>0</v>
      </c>
      <c r="V544" s="47">
        <v>0</v>
      </c>
      <c r="W544" s="47">
        <v>0</v>
      </c>
      <c r="X544" s="47">
        <v>0</v>
      </c>
      <c r="Y544" s="48">
        <v>7227579.3499999996</v>
      </c>
      <c r="Z544" s="58">
        <v>1599841.76</v>
      </c>
      <c r="AA544" s="50">
        <v>1599841.76</v>
      </c>
      <c r="AB544" s="50">
        <v>0</v>
      </c>
      <c r="AC544" s="50">
        <v>0</v>
      </c>
      <c r="AD544" s="50">
        <v>45356.69</v>
      </c>
      <c r="AE544" s="50">
        <v>0</v>
      </c>
      <c r="AF544" s="50">
        <v>0</v>
      </c>
      <c r="AG544" s="49">
        <v>1645198.45</v>
      </c>
      <c r="AH544" s="51" t="s">
        <v>104</v>
      </c>
      <c r="AI544" s="51" t="s">
        <v>74</v>
      </c>
      <c r="AJ544" s="51" t="s">
        <v>74</v>
      </c>
      <c r="AK544" s="51" t="s">
        <v>219</v>
      </c>
      <c r="AL544" s="51" t="s">
        <v>74</v>
      </c>
      <c r="AM544" s="51" t="s">
        <v>74</v>
      </c>
      <c r="AN544" s="52">
        <v>0</v>
      </c>
      <c r="AO544" s="52">
        <v>0</v>
      </c>
      <c r="AP544" s="52">
        <v>0</v>
      </c>
      <c r="AQ544" s="52">
        <v>0</v>
      </c>
      <c r="AR544" s="52">
        <v>0</v>
      </c>
      <c r="AS544" s="52">
        <v>0</v>
      </c>
      <c r="AT544" s="53" t="s">
        <v>74</v>
      </c>
      <c r="AU544" s="52">
        <v>0</v>
      </c>
      <c r="AV544" s="52"/>
      <c r="AW544" s="52">
        <v>0</v>
      </c>
      <c r="AX544" s="52"/>
      <c r="AY544" s="52"/>
      <c r="AZ544" s="52">
        <v>0</v>
      </c>
      <c r="BA544" s="52">
        <v>0</v>
      </c>
      <c r="BB544" s="54" t="s">
        <v>74</v>
      </c>
      <c r="BC544" s="53" t="s">
        <v>74</v>
      </c>
      <c r="BD544" s="55" t="s">
        <v>74</v>
      </c>
      <c r="BE544" s="55" t="s">
        <v>74</v>
      </c>
      <c r="BF544" s="55" t="s">
        <v>74</v>
      </c>
      <c r="BG544" s="55" t="s">
        <v>74</v>
      </c>
      <c r="BH544" s="52">
        <v>0</v>
      </c>
      <c r="BI544" s="52">
        <v>5582380.9000000004</v>
      </c>
      <c r="BJ544" s="52">
        <v>5197896.1500000004</v>
      </c>
      <c r="BK544" s="56">
        <v>43862</v>
      </c>
      <c r="BL544" s="57">
        <v>5582380.9000000004</v>
      </c>
      <c r="BM544" s="47">
        <v>0</v>
      </c>
      <c r="BN544" s="9"/>
      <c r="BO544" s="9"/>
      <c r="BP544" s="9"/>
      <c r="BQ544" s="9"/>
      <c r="BR544" s="9"/>
      <c r="BS544" s="9"/>
      <c r="BT544" s="9"/>
      <c r="BU544" s="9"/>
      <c r="BV544" s="9"/>
      <c r="BW544" s="9"/>
    </row>
    <row r="545" spans="1:75" ht="396" hidden="1" outlineLevel="2" x14ac:dyDescent="0.25">
      <c r="A545" s="43" t="s">
        <v>640</v>
      </c>
      <c r="B545" s="110" t="s">
        <v>641</v>
      </c>
      <c r="C545" s="45">
        <v>2020</v>
      </c>
      <c r="D545" s="110" t="s">
        <v>77</v>
      </c>
      <c r="E545" s="47">
        <v>0</v>
      </c>
      <c r="F545" s="47">
        <v>0</v>
      </c>
      <c r="G545" s="47">
        <v>0</v>
      </c>
      <c r="H545" s="47">
        <v>0</v>
      </c>
      <c r="I545" s="47">
        <v>0</v>
      </c>
      <c r="J545" s="47">
        <v>0</v>
      </c>
      <c r="K545" s="47">
        <v>0</v>
      </c>
      <c r="L545" s="47">
        <v>0</v>
      </c>
      <c r="M545" s="47">
        <v>0</v>
      </c>
      <c r="N545" s="47">
        <v>0</v>
      </c>
      <c r="O545" s="47">
        <v>0</v>
      </c>
      <c r="P545" s="47">
        <v>0</v>
      </c>
      <c r="Q545" s="47">
        <v>0</v>
      </c>
      <c r="R545" s="47">
        <v>0</v>
      </c>
      <c r="S545" s="47">
        <v>6880304.75</v>
      </c>
      <c r="T545" s="134">
        <v>347274.6</v>
      </c>
      <c r="U545" s="47">
        <v>0</v>
      </c>
      <c r="V545" s="47">
        <v>0</v>
      </c>
      <c r="W545" s="47">
        <v>0</v>
      </c>
      <c r="X545" s="47">
        <v>0</v>
      </c>
      <c r="Y545" s="48">
        <v>7227579.3499999996</v>
      </c>
      <c r="Z545" s="58">
        <v>1587610.95</v>
      </c>
      <c r="AA545" s="50">
        <v>1587610.95</v>
      </c>
      <c r="AB545" s="50">
        <v>0</v>
      </c>
      <c r="AC545" s="50">
        <v>0</v>
      </c>
      <c r="AD545" s="50">
        <v>48144.1</v>
      </c>
      <c r="AE545" s="50">
        <v>0</v>
      </c>
      <c r="AF545" s="50">
        <v>0</v>
      </c>
      <c r="AG545" s="49">
        <v>1635755.05</v>
      </c>
      <c r="AH545" s="51" t="s">
        <v>104</v>
      </c>
      <c r="AI545" s="51" t="s">
        <v>74</v>
      </c>
      <c r="AJ545" s="51" t="s">
        <v>74</v>
      </c>
      <c r="AK545" s="51" t="s">
        <v>313</v>
      </c>
      <c r="AL545" s="51" t="s">
        <v>74</v>
      </c>
      <c r="AM545" s="51" t="s">
        <v>74</v>
      </c>
      <c r="AN545" s="52"/>
      <c r="AO545" s="52"/>
      <c r="AP545" s="52"/>
      <c r="AQ545" s="52"/>
      <c r="AR545" s="52"/>
      <c r="AS545" s="52">
        <v>0</v>
      </c>
      <c r="AT545" s="53" t="s">
        <v>74</v>
      </c>
      <c r="AU545" s="52">
        <v>1093417.8799999999</v>
      </c>
      <c r="AV545" s="52"/>
      <c r="AW545" s="52">
        <v>0</v>
      </c>
      <c r="AX545" s="52"/>
      <c r="AY545" s="52"/>
      <c r="AZ545" s="52">
        <v>0</v>
      </c>
      <c r="BA545" s="52">
        <v>1093417.8799999999</v>
      </c>
      <c r="BB545" s="55" t="s">
        <v>674</v>
      </c>
      <c r="BC545" s="51" t="s">
        <v>74</v>
      </c>
      <c r="BD545" s="54" t="s">
        <v>74</v>
      </c>
      <c r="BE545" s="54" t="s">
        <v>74</v>
      </c>
      <c r="BF545" s="54" t="s">
        <v>74</v>
      </c>
      <c r="BG545" s="54" t="s">
        <v>74</v>
      </c>
      <c r="BH545" s="52">
        <v>1093417.8799999999</v>
      </c>
      <c r="BI545" s="52">
        <v>6685242.1799999997</v>
      </c>
      <c r="BJ545" s="52">
        <v>5591824.3499999996</v>
      </c>
      <c r="BK545" s="56">
        <v>43891</v>
      </c>
      <c r="BL545" s="57">
        <v>6685242.1799999997</v>
      </c>
      <c r="BM545" s="47">
        <v>0</v>
      </c>
      <c r="BN545" s="9"/>
      <c r="BO545" s="9"/>
      <c r="BP545" s="9"/>
      <c r="BQ545" s="9"/>
      <c r="BR545" s="9"/>
      <c r="BS545" s="9"/>
      <c r="BT545" s="9"/>
      <c r="BU545" s="9"/>
      <c r="BV545" s="9"/>
      <c r="BW545" s="9"/>
    </row>
    <row r="546" spans="1:75" ht="26.25" hidden="1" outlineLevel="2" x14ac:dyDescent="0.25">
      <c r="A546" s="43" t="s">
        <v>640</v>
      </c>
      <c r="B546" s="110" t="s">
        <v>641</v>
      </c>
      <c r="C546" s="45">
        <v>2020</v>
      </c>
      <c r="D546" s="110" t="s">
        <v>79</v>
      </c>
      <c r="E546" s="47">
        <v>0</v>
      </c>
      <c r="F546" s="47">
        <v>0</v>
      </c>
      <c r="G546" s="47">
        <v>0</v>
      </c>
      <c r="H546" s="47">
        <v>0</v>
      </c>
      <c r="I546" s="47">
        <v>0</v>
      </c>
      <c r="J546" s="47">
        <v>0</v>
      </c>
      <c r="K546" s="47">
        <v>0</v>
      </c>
      <c r="L546" s="47">
        <v>0</v>
      </c>
      <c r="M546" s="47">
        <v>0</v>
      </c>
      <c r="N546" s="47">
        <v>0</v>
      </c>
      <c r="O546" s="47">
        <v>0</v>
      </c>
      <c r="P546" s="47">
        <v>0</v>
      </c>
      <c r="Q546" s="47">
        <v>0</v>
      </c>
      <c r="R546" s="47">
        <v>0</v>
      </c>
      <c r="S546" s="47">
        <v>6880304.75</v>
      </c>
      <c r="T546" s="134">
        <v>347274.6</v>
      </c>
      <c r="U546" s="47">
        <v>0</v>
      </c>
      <c r="V546" s="47">
        <v>0</v>
      </c>
      <c r="W546" s="47">
        <v>0</v>
      </c>
      <c r="X546" s="47">
        <v>0</v>
      </c>
      <c r="Y546" s="48">
        <v>7227579.3499999996</v>
      </c>
      <c r="Z546" s="58">
        <v>1588167.36</v>
      </c>
      <c r="AA546" s="50">
        <v>1588167.36</v>
      </c>
      <c r="AB546" s="50">
        <v>0</v>
      </c>
      <c r="AC546" s="50">
        <v>0</v>
      </c>
      <c r="AD546" s="50">
        <v>46618.74</v>
      </c>
      <c r="AE546" s="50">
        <v>0</v>
      </c>
      <c r="AF546" s="50">
        <v>0</v>
      </c>
      <c r="AG546" s="49">
        <v>1634786.1</v>
      </c>
      <c r="AH546" s="51" t="s">
        <v>104</v>
      </c>
      <c r="AI546" s="51" t="s">
        <v>74</v>
      </c>
      <c r="AJ546" s="51" t="s">
        <v>74</v>
      </c>
      <c r="AK546" s="51" t="s">
        <v>315</v>
      </c>
      <c r="AL546" s="51" t="s">
        <v>74</v>
      </c>
      <c r="AM546" s="51" t="s">
        <v>74</v>
      </c>
      <c r="AN546" s="52">
        <v>0</v>
      </c>
      <c r="AO546" s="52">
        <v>0</v>
      </c>
      <c r="AP546" s="52">
        <v>0</v>
      </c>
      <c r="AQ546" s="52">
        <v>0</v>
      </c>
      <c r="AR546" s="52">
        <v>0</v>
      </c>
      <c r="AS546" s="52">
        <v>0</v>
      </c>
      <c r="AT546" s="53" t="s">
        <v>74</v>
      </c>
      <c r="AU546" s="52">
        <v>0</v>
      </c>
      <c r="AV546" s="52"/>
      <c r="AW546" s="52">
        <v>0</v>
      </c>
      <c r="AX546" s="52"/>
      <c r="AY546" s="52"/>
      <c r="AZ546" s="52">
        <v>0</v>
      </c>
      <c r="BA546" s="52">
        <v>0</v>
      </c>
      <c r="BB546" s="54" t="s">
        <v>74</v>
      </c>
      <c r="BC546" s="53" t="s">
        <v>74</v>
      </c>
      <c r="BD546" s="55" t="s">
        <v>74</v>
      </c>
      <c r="BE546" s="55" t="s">
        <v>74</v>
      </c>
      <c r="BF546" s="55" t="s">
        <v>74</v>
      </c>
      <c r="BG546" s="55" t="s">
        <v>74</v>
      </c>
      <c r="BH546" s="52">
        <v>0</v>
      </c>
      <c r="BI546" s="52">
        <v>5592793.25</v>
      </c>
      <c r="BJ546" s="52">
        <v>5592793.25</v>
      </c>
      <c r="BK546" s="56">
        <v>43922</v>
      </c>
      <c r="BL546" s="57">
        <v>5592793.25</v>
      </c>
      <c r="BM546" s="47">
        <v>0</v>
      </c>
      <c r="BN546" s="9"/>
      <c r="BO546" s="9"/>
      <c r="BP546" s="9"/>
      <c r="BQ546" s="9"/>
      <c r="BR546" s="9"/>
      <c r="BS546" s="9"/>
      <c r="BT546" s="9"/>
      <c r="BU546" s="9"/>
      <c r="BV546" s="9"/>
      <c r="BW546" s="9"/>
    </row>
    <row r="547" spans="1:75" ht="64.5" hidden="1" outlineLevel="2" x14ac:dyDescent="0.25">
      <c r="A547" s="43" t="s">
        <v>640</v>
      </c>
      <c r="B547" s="110" t="s">
        <v>641</v>
      </c>
      <c r="C547" s="45">
        <v>2020</v>
      </c>
      <c r="D547" s="110" t="s">
        <v>81</v>
      </c>
      <c r="E547" s="47">
        <v>0</v>
      </c>
      <c r="F547" s="47">
        <v>0</v>
      </c>
      <c r="G547" s="47">
        <v>0</v>
      </c>
      <c r="H547" s="47">
        <v>0</v>
      </c>
      <c r="I547" s="47">
        <v>0</v>
      </c>
      <c r="J547" s="47">
        <v>0</v>
      </c>
      <c r="K547" s="47">
        <v>0</v>
      </c>
      <c r="L547" s="47">
        <v>0</v>
      </c>
      <c r="M547" s="47">
        <v>0</v>
      </c>
      <c r="N547" s="47">
        <v>0</v>
      </c>
      <c r="O547" s="47">
        <v>0</v>
      </c>
      <c r="P547" s="47">
        <v>0</v>
      </c>
      <c r="Q547" s="47">
        <v>0</v>
      </c>
      <c r="R547" s="47">
        <v>0</v>
      </c>
      <c r="S547" s="47">
        <v>6880304.75</v>
      </c>
      <c r="T547" s="134">
        <v>347274.6</v>
      </c>
      <c r="U547" s="47">
        <v>0</v>
      </c>
      <c r="V547" s="47">
        <v>0</v>
      </c>
      <c r="W547" s="47">
        <v>0</v>
      </c>
      <c r="X547" s="47">
        <v>0</v>
      </c>
      <c r="Y547" s="48">
        <v>7227579.3499999996</v>
      </c>
      <c r="Z547" s="58">
        <v>1638989.43</v>
      </c>
      <c r="AA547" s="50">
        <v>1638989.43</v>
      </c>
      <c r="AB547" s="50">
        <v>0</v>
      </c>
      <c r="AC547" s="50">
        <v>0</v>
      </c>
      <c r="AD547" s="50">
        <v>45467.68</v>
      </c>
      <c r="AE547" s="50">
        <v>0</v>
      </c>
      <c r="AF547" s="50">
        <v>0</v>
      </c>
      <c r="AG547" s="49">
        <v>1684457.11</v>
      </c>
      <c r="AH547" s="51" t="s">
        <v>104</v>
      </c>
      <c r="AI547" s="51" t="s">
        <v>74</v>
      </c>
      <c r="AJ547" s="51" t="s">
        <v>74</v>
      </c>
      <c r="AK547" s="51" t="s">
        <v>162</v>
      </c>
      <c r="AL547" s="51" t="s">
        <v>74</v>
      </c>
      <c r="AM547" s="51" t="s">
        <v>74</v>
      </c>
      <c r="AN547" s="52"/>
      <c r="AO547" s="52"/>
      <c r="AP547" s="52"/>
      <c r="AQ547" s="52"/>
      <c r="AR547" s="52"/>
      <c r="AS547" s="52">
        <v>0</v>
      </c>
      <c r="AT547" s="53" t="s">
        <v>74</v>
      </c>
      <c r="AU547" s="52">
        <v>0</v>
      </c>
      <c r="AV547" s="52"/>
      <c r="AW547" s="52">
        <v>980000</v>
      </c>
      <c r="AX547" s="52"/>
      <c r="AY547" s="52"/>
      <c r="AZ547" s="52">
        <v>0</v>
      </c>
      <c r="BA547" s="52">
        <v>980000</v>
      </c>
      <c r="BB547" s="54" t="s">
        <v>74</v>
      </c>
      <c r="BC547" s="53" t="s">
        <v>74</v>
      </c>
      <c r="BD547" s="55" t="s">
        <v>675</v>
      </c>
      <c r="BE547" s="55" t="s">
        <v>74</v>
      </c>
      <c r="BF547" s="55" t="s">
        <v>74</v>
      </c>
      <c r="BG547" s="55" t="s">
        <v>74</v>
      </c>
      <c r="BH547" s="52">
        <v>980000</v>
      </c>
      <c r="BI547" s="52">
        <v>6523122.2400000002</v>
      </c>
      <c r="BJ547" s="52">
        <v>5543122.2400000002</v>
      </c>
      <c r="BK547" s="56">
        <v>43952</v>
      </c>
      <c r="BL547" s="57">
        <v>6523122.2400000002</v>
      </c>
      <c r="BM547" s="47">
        <v>0</v>
      </c>
      <c r="BN547" s="9"/>
      <c r="BO547" s="9"/>
      <c r="BP547" s="9"/>
      <c r="BQ547" s="9"/>
      <c r="BR547" s="9"/>
      <c r="BS547" s="9"/>
      <c r="BT547" s="9"/>
      <c r="BU547" s="9"/>
      <c r="BV547" s="9"/>
      <c r="BW547" s="9"/>
    </row>
    <row r="548" spans="1:75" ht="115.5" hidden="1" outlineLevel="2" x14ac:dyDescent="0.25">
      <c r="A548" s="43" t="s">
        <v>640</v>
      </c>
      <c r="B548" s="110" t="s">
        <v>641</v>
      </c>
      <c r="C548" s="45">
        <v>2020</v>
      </c>
      <c r="D548" s="46" t="s">
        <v>83</v>
      </c>
      <c r="E548" s="47">
        <v>0</v>
      </c>
      <c r="F548" s="47">
        <v>0</v>
      </c>
      <c r="G548" s="47">
        <v>0</v>
      </c>
      <c r="H548" s="47">
        <v>0</v>
      </c>
      <c r="I548" s="47">
        <v>0</v>
      </c>
      <c r="J548" s="47">
        <v>0</v>
      </c>
      <c r="K548" s="47">
        <v>0</v>
      </c>
      <c r="L548" s="47">
        <v>0</v>
      </c>
      <c r="M548" s="47">
        <v>0</v>
      </c>
      <c r="N548" s="47">
        <v>0</v>
      </c>
      <c r="O548" s="47">
        <v>0</v>
      </c>
      <c r="P548" s="47">
        <v>0</v>
      </c>
      <c r="Q548" s="47">
        <v>0</v>
      </c>
      <c r="R548" s="47">
        <v>0</v>
      </c>
      <c r="S548" s="134">
        <v>5504243.7999999998</v>
      </c>
      <c r="T548" s="134">
        <v>277819.68</v>
      </c>
      <c r="U548" s="47">
        <v>1604272.04</v>
      </c>
      <c r="V548" s="47">
        <v>0</v>
      </c>
      <c r="W548" s="47">
        <v>0</v>
      </c>
      <c r="X548" s="47">
        <v>0</v>
      </c>
      <c r="Y548" s="48">
        <v>7386335.5199999996</v>
      </c>
      <c r="Z548" s="58">
        <v>1454960.12</v>
      </c>
      <c r="AA548" s="50">
        <v>1454960.12</v>
      </c>
      <c r="AB548" s="50">
        <v>0</v>
      </c>
      <c r="AC548" s="50">
        <v>0</v>
      </c>
      <c r="AD548" s="62">
        <v>37160.21</v>
      </c>
      <c r="AE548" s="50">
        <v>0</v>
      </c>
      <c r="AF548" s="50">
        <v>0</v>
      </c>
      <c r="AG548" s="49">
        <v>1492120.33</v>
      </c>
      <c r="AH548" s="51" t="s">
        <v>104</v>
      </c>
      <c r="AI548" s="51" t="s">
        <v>74</v>
      </c>
      <c r="AJ548" s="51" t="s">
        <v>74</v>
      </c>
      <c r="AK548" s="51" t="s">
        <v>163</v>
      </c>
      <c r="AL548" s="51" t="s">
        <v>74</v>
      </c>
      <c r="AM548" s="51" t="s">
        <v>74</v>
      </c>
      <c r="AN548" s="52">
        <v>0</v>
      </c>
      <c r="AO548" s="52">
        <v>98074.99</v>
      </c>
      <c r="AP548" s="52">
        <v>0</v>
      </c>
      <c r="AQ548" s="52">
        <v>0</v>
      </c>
      <c r="AR548" s="52">
        <v>0</v>
      </c>
      <c r="AS548" s="52">
        <v>98074.99</v>
      </c>
      <c r="AT548" s="51" t="s">
        <v>676</v>
      </c>
      <c r="AU548" s="52">
        <v>0</v>
      </c>
      <c r="AV548" s="52"/>
      <c r="AW548" s="52">
        <v>0</v>
      </c>
      <c r="AX548" s="52"/>
      <c r="AY548" s="52"/>
      <c r="AZ548" s="52">
        <v>0</v>
      </c>
      <c r="BA548" s="52">
        <v>0</v>
      </c>
      <c r="BB548" s="54" t="s">
        <v>74</v>
      </c>
      <c r="BC548" s="53" t="s">
        <v>74</v>
      </c>
      <c r="BD548" s="55" t="s">
        <v>74</v>
      </c>
      <c r="BE548" s="55" t="s">
        <v>74</v>
      </c>
      <c r="BF548" s="55" t="s">
        <v>74</v>
      </c>
      <c r="BG548" s="55" t="s">
        <v>74</v>
      </c>
      <c r="BH548" s="52">
        <v>98074.99</v>
      </c>
      <c r="BI548" s="52">
        <v>5992290.1799999997</v>
      </c>
      <c r="BJ548" s="52">
        <v>5992290.1799999997</v>
      </c>
      <c r="BK548" s="56">
        <v>43983</v>
      </c>
      <c r="BL548" s="57">
        <v>5992290.1799999997</v>
      </c>
      <c r="BM548" s="47">
        <v>0</v>
      </c>
      <c r="BN548" s="9"/>
      <c r="BO548" s="9"/>
      <c r="BP548" s="9"/>
      <c r="BQ548" s="9"/>
      <c r="BR548" s="9"/>
      <c r="BS548" s="9"/>
      <c r="BT548" s="9"/>
      <c r="BU548" s="9"/>
      <c r="BV548" s="9"/>
      <c r="BW548" s="9"/>
    </row>
    <row r="549" spans="1:75" ht="77.25" hidden="1" outlineLevel="2" x14ac:dyDescent="0.25">
      <c r="A549" s="43" t="s">
        <v>640</v>
      </c>
      <c r="B549" s="110" t="s">
        <v>641</v>
      </c>
      <c r="C549" s="45">
        <v>2020</v>
      </c>
      <c r="D549" s="110" t="s">
        <v>84</v>
      </c>
      <c r="E549" s="47">
        <v>0</v>
      </c>
      <c r="F549" s="47">
        <v>0</v>
      </c>
      <c r="G549" s="47">
        <v>0</v>
      </c>
      <c r="H549" s="47">
        <v>0</v>
      </c>
      <c r="I549" s="47">
        <v>0</v>
      </c>
      <c r="J549" s="47">
        <v>0</v>
      </c>
      <c r="K549" s="47">
        <v>0</v>
      </c>
      <c r="L549" s="47">
        <v>0</v>
      </c>
      <c r="M549" s="47">
        <v>0</v>
      </c>
      <c r="N549" s="47">
        <v>0</v>
      </c>
      <c r="O549" s="47">
        <v>0</v>
      </c>
      <c r="P549" s="47">
        <v>0</v>
      </c>
      <c r="Q549" s="47">
        <v>0</v>
      </c>
      <c r="R549" s="47">
        <v>0</v>
      </c>
      <c r="S549" s="47">
        <v>0</v>
      </c>
      <c r="T549" s="47">
        <v>0</v>
      </c>
      <c r="U549" s="47">
        <v>8021360.1799999997</v>
      </c>
      <c r="V549" s="47">
        <v>0</v>
      </c>
      <c r="W549" s="47">
        <v>0</v>
      </c>
      <c r="X549" s="47">
        <v>0</v>
      </c>
      <c r="Y549" s="48">
        <v>8021360.1799999997</v>
      </c>
      <c r="Z549" s="49">
        <v>1435756.95</v>
      </c>
      <c r="AA549" s="50">
        <v>1435756.95</v>
      </c>
      <c r="AB549" s="50">
        <v>0</v>
      </c>
      <c r="AC549" s="50">
        <v>7445.2</v>
      </c>
      <c r="AD549" s="62">
        <v>35766.39</v>
      </c>
      <c r="AE549" s="50">
        <v>0</v>
      </c>
      <c r="AF549" s="50">
        <v>0</v>
      </c>
      <c r="AG549" s="49">
        <v>1478968.54</v>
      </c>
      <c r="AH549" s="51" t="s">
        <v>104</v>
      </c>
      <c r="AI549" s="51" t="s">
        <v>74</v>
      </c>
      <c r="AJ549" s="51" t="s">
        <v>164</v>
      </c>
      <c r="AK549" s="51" t="s">
        <v>165</v>
      </c>
      <c r="AL549" s="51" t="s">
        <v>74</v>
      </c>
      <c r="AM549" s="51" t="s">
        <v>74</v>
      </c>
      <c r="AN549" s="52"/>
      <c r="AO549" s="52"/>
      <c r="AP549" s="52"/>
      <c r="AQ549" s="52"/>
      <c r="AR549" s="52"/>
      <c r="AS549" s="52">
        <v>0</v>
      </c>
      <c r="AT549" s="53" t="s">
        <v>74</v>
      </c>
      <c r="AU549" s="59">
        <v>443912.49</v>
      </c>
      <c r="AV549" s="52"/>
      <c r="AW549" s="114">
        <v>1351.8</v>
      </c>
      <c r="AX549" s="52"/>
      <c r="AY549" s="52"/>
      <c r="AZ549" s="52">
        <v>0</v>
      </c>
      <c r="BA549" s="52">
        <v>445264.29</v>
      </c>
      <c r="BB549" s="53" t="s">
        <v>677</v>
      </c>
      <c r="BC549" s="53" t="s">
        <v>74</v>
      </c>
      <c r="BD549" s="55" t="s">
        <v>678</v>
      </c>
      <c r="BE549" s="55" t="s">
        <v>74</v>
      </c>
      <c r="BF549" s="55" t="s">
        <v>74</v>
      </c>
      <c r="BG549" s="55" t="s">
        <v>74</v>
      </c>
      <c r="BH549" s="52">
        <v>445264.29</v>
      </c>
      <c r="BI549" s="52">
        <v>6987655.9299999997</v>
      </c>
      <c r="BJ549" s="52">
        <v>6542391.6399999997</v>
      </c>
      <c r="BK549" s="56">
        <v>44013</v>
      </c>
      <c r="BL549" s="57">
        <v>6987655.9299999997</v>
      </c>
      <c r="BM549" s="47">
        <v>0</v>
      </c>
      <c r="BN549" s="9"/>
      <c r="BO549" s="9"/>
      <c r="BP549" s="9"/>
      <c r="BQ549" s="9"/>
      <c r="BR549" s="9"/>
      <c r="BS549" s="9"/>
      <c r="BT549" s="9"/>
      <c r="BU549" s="9"/>
      <c r="BV549" s="9"/>
      <c r="BW549" s="9"/>
    </row>
    <row r="550" spans="1:75" ht="39" hidden="1" outlineLevel="2" x14ac:dyDescent="0.25">
      <c r="A550" s="43" t="s">
        <v>640</v>
      </c>
      <c r="B550" s="110" t="s">
        <v>641</v>
      </c>
      <c r="C550" s="45">
        <v>2020</v>
      </c>
      <c r="D550" s="110" t="s">
        <v>86</v>
      </c>
      <c r="E550" s="47">
        <v>0</v>
      </c>
      <c r="F550" s="47">
        <v>0</v>
      </c>
      <c r="G550" s="47">
        <v>0</v>
      </c>
      <c r="H550" s="47">
        <v>0</v>
      </c>
      <c r="I550" s="47">
        <v>0</v>
      </c>
      <c r="J550" s="47">
        <v>0</v>
      </c>
      <c r="K550" s="47">
        <v>0</v>
      </c>
      <c r="L550" s="47">
        <v>0</v>
      </c>
      <c r="M550" s="47">
        <v>0</v>
      </c>
      <c r="N550" s="47">
        <v>0</v>
      </c>
      <c r="O550" s="47">
        <v>0</v>
      </c>
      <c r="P550" s="47">
        <v>0</v>
      </c>
      <c r="Q550" s="47">
        <v>0</v>
      </c>
      <c r="R550" s="47">
        <v>0</v>
      </c>
      <c r="S550" s="47">
        <v>0</v>
      </c>
      <c r="T550" s="47">
        <v>0</v>
      </c>
      <c r="U550" s="47">
        <v>8021360.1799999997</v>
      </c>
      <c r="V550" s="47">
        <v>0</v>
      </c>
      <c r="W550" s="47">
        <v>0</v>
      </c>
      <c r="X550" s="47">
        <v>0</v>
      </c>
      <c r="Y550" s="48">
        <v>8021360.1799999997</v>
      </c>
      <c r="Z550" s="65">
        <v>1467304.88</v>
      </c>
      <c r="AA550" s="61">
        <v>1467304.88</v>
      </c>
      <c r="AB550" s="50">
        <v>0</v>
      </c>
      <c r="AC550" s="62">
        <v>7991.73</v>
      </c>
      <c r="AD550" s="62">
        <v>39300.76</v>
      </c>
      <c r="AE550" s="50">
        <v>0</v>
      </c>
      <c r="AF550" s="50">
        <v>0</v>
      </c>
      <c r="AG550" s="49">
        <v>1514597.37</v>
      </c>
      <c r="AH550" s="51" t="s">
        <v>104</v>
      </c>
      <c r="AI550" s="51" t="s">
        <v>74</v>
      </c>
      <c r="AJ550" s="51" t="s">
        <v>167</v>
      </c>
      <c r="AK550" s="51" t="s">
        <v>168</v>
      </c>
      <c r="AL550" s="51" t="s">
        <v>74</v>
      </c>
      <c r="AM550" s="51" t="s">
        <v>74</v>
      </c>
      <c r="AN550" s="52"/>
      <c r="AO550" s="52">
        <v>0</v>
      </c>
      <c r="AP550" s="52"/>
      <c r="AQ550" s="52"/>
      <c r="AR550" s="52"/>
      <c r="AS550" s="52">
        <v>0</v>
      </c>
      <c r="AT550" s="53" t="s">
        <v>74</v>
      </c>
      <c r="AU550" s="52">
        <v>0</v>
      </c>
      <c r="AV550" s="52"/>
      <c r="AW550" s="59">
        <v>858123</v>
      </c>
      <c r="AX550" s="52"/>
      <c r="AY550" s="52"/>
      <c r="AZ550" s="52">
        <v>0</v>
      </c>
      <c r="BA550" s="52">
        <v>858123</v>
      </c>
      <c r="BB550" s="54" t="s">
        <v>74</v>
      </c>
      <c r="BC550" s="53" t="s">
        <v>74</v>
      </c>
      <c r="BD550" s="55" t="s">
        <v>679</v>
      </c>
      <c r="BE550" s="55" t="s">
        <v>74</v>
      </c>
      <c r="BF550" s="55" t="s">
        <v>74</v>
      </c>
      <c r="BG550" s="55" t="s">
        <v>74</v>
      </c>
      <c r="BH550" s="52">
        <v>858123</v>
      </c>
      <c r="BI550" s="52">
        <v>7364885.8099999996</v>
      </c>
      <c r="BJ550" s="52">
        <v>6506762.8099999996</v>
      </c>
      <c r="BK550" s="56">
        <v>44044</v>
      </c>
      <c r="BL550" s="63">
        <v>7364885.8099999996</v>
      </c>
      <c r="BM550" s="47">
        <v>0</v>
      </c>
      <c r="BN550" s="9"/>
      <c r="BO550" s="9"/>
      <c r="BP550" s="9"/>
      <c r="BQ550" s="9"/>
      <c r="BR550" s="9"/>
      <c r="BS550" s="9"/>
      <c r="BT550" s="9"/>
      <c r="BU550" s="9"/>
      <c r="BV550" s="9"/>
      <c r="BW550" s="9"/>
    </row>
    <row r="551" spans="1:75" ht="77.25" hidden="1" outlineLevel="2" x14ac:dyDescent="0.25">
      <c r="A551" s="43" t="s">
        <v>640</v>
      </c>
      <c r="B551" s="110" t="s">
        <v>641</v>
      </c>
      <c r="C551" s="45">
        <v>2020</v>
      </c>
      <c r="D551" s="110" t="s">
        <v>88</v>
      </c>
      <c r="E551" s="47">
        <v>0</v>
      </c>
      <c r="F551" s="47">
        <v>0</v>
      </c>
      <c r="G551" s="47">
        <v>0</v>
      </c>
      <c r="H551" s="47">
        <v>0</v>
      </c>
      <c r="I551" s="47">
        <v>0</v>
      </c>
      <c r="J551" s="47">
        <v>0</v>
      </c>
      <c r="K551" s="47">
        <v>0</v>
      </c>
      <c r="L551" s="47">
        <v>0</v>
      </c>
      <c r="M551" s="47">
        <v>0</v>
      </c>
      <c r="N551" s="47">
        <v>0</v>
      </c>
      <c r="O551" s="47">
        <v>0</v>
      </c>
      <c r="P551" s="47">
        <v>0</v>
      </c>
      <c r="Q551" s="47">
        <v>0</v>
      </c>
      <c r="R551" s="47">
        <v>0</v>
      </c>
      <c r="S551" s="47">
        <v>0</v>
      </c>
      <c r="T551" s="47">
        <v>0</v>
      </c>
      <c r="U551" s="47">
        <v>8021360.1799999997</v>
      </c>
      <c r="V551" s="47">
        <v>0</v>
      </c>
      <c r="W551" s="47">
        <v>0</v>
      </c>
      <c r="X551" s="47">
        <v>0</v>
      </c>
      <c r="Y551" s="48">
        <v>8021360.1799999997</v>
      </c>
      <c r="Z551" s="66">
        <v>1536490.34</v>
      </c>
      <c r="AA551" s="62">
        <v>1536490.34</v>
      </c>
      <c r="AB551" s="50">
        <v>0</v>
      </c>
      <c r="AC551" s="62">
        <v>7851.13</v>
      </c>
      <c r="AD551" s="62">
        <v>44003.24</v>
      </c>
      <c r="AE551" s="50">
        <v>22959.77</v>
      </c>
      <c r="AF551" s="50">
        <v>0</v>
      </c>
      <c r="AG551" s="49">
        <v>1611304.48</v>
      </c>
      <c r="AH551" s="51" t="s">
        <v>104</v>
      </c>
      <c r="AI551" s="51" t="s">
        <v>74</v>
      </c>
      <c r="AJ551" s="51" t="s">
        <v>169</v>
      </c>
      <c r="AK551" s="51" t="s">
        <v>170</v>
      </c>
      <c r="AL551" s="51" t="s">
        <v>680</v>
      </c>
      <c r="AM551" s="51" t="s">
        <v>74</v>
      </c>
      <c r="AN551" s="52"/>
      <c r="AO551" s="52"/>
      <c r="AP551" s="52"/>
      <c r="AQ551" s="52"/>
      <c r="AR551" s="52"/>
      <c r="AS551" s="52">
        <v>0</v>
      </c>
      <c r="AT551" s="53" t="s">
        <v>74</v>
      </c>
      <c r="AU551" s="52">
        <v>0</v>
      </c>
      <c r="AV551" s="52"/>
      <c r="AW551" s="59">
        <v>6140.48</v>
      </c>
      <c r="AX551" s="52"/>
      <c r="AY551" s="52"/>
      <c r="AZ551" s="52">
        <v>0</v>
      </c>
      <c r="BA551" s="52">
        <v>6140.48</v>
      </c>
      <c r="BB551" s="54" t="s">
        <v>74</v>
      </c>
      <c r="BC551" s="53" t="s">
        <v>74</v>
      </c>
      <c r="BD551" s="55" t="s">
        <v>681</v>
      </c>
      <c r="BE551" s="55" t="s">
        <v>74</v>
      </c>
      <c r="BF551" s="55" t="s">
        <v>74</v>
      </c>
      <c r="BG551" s="55" t="s">
        <v>74</v>
      </c>
      <c r="BH551" s="52">
        <v>6140.48</v>
      </c>
      <c r="BI551" s="52">
        <v>6416196.1799999997</v>
      </c>
      <c r="BJ551" s="52">
        <v>6410055.7000000002</v>
      </c>
      <c r="BK551" s="56">
        <v>44075</v>
      </c>
      <c r="BL551" s="63">
        <v>6416196.1799999997</v>
      </c>
      <c r="BM551" s="47">
        <v>0</v>
      </c>
      <c r="BN551" s="9"/>
      <c r="BO551" s="9"/>
      <c r="BP551" s="9"/>
      <c r="BQ551" s="9"/>
      <c r="BR551" s="9"/>
      <c r="BS551" s="9"/>
      <c r="BT551" s="9"/>
      <c r="BU551" s="9"/>
      <c r="BV551" s="9"/>
      <c r="BW551" s="9"/>
    </row>
    <row r="552" spans="1:75" ht="51.75" hidden="1" outlineLevel="2" x14ac:dyDescent="0.25">
      <c r="A552" s="43" t="s">
        <v>640</v>
      </c>
      <c r="B552" s="110" t="s">
        <v>641</v>
      </c>
      <c r="C552" s="45">
        <v>2020</v>
      </c>
      <c r="D552" s="110" t="s">
        <v>89</v>
      </c>
      <c r="E552" s="47">
        <v>0</v>
      </c>
      <c r="F552" s="47">
        <v>0</v>
      </c>
      <c r="G552" s="47">
        <v>0</v>
      </c>
      <c r="H552" s="47">
        <v>0</v>
      </c>
      <c r="I552" s="47">
        <v>0</v>
      </c>
      <c r="J552" s="47">
        <v>0</v>
      </c>
      <c r="K552" s="47">
        <v>0</v>
      </c>
      <c r="L552" s="47">
        <v>0</v>
      </c>
      <c r="M552" s="47">
        <v>0</v>
      </c>
      <c r="N552" s="47">
        <v>0</v>
      </c>
      <c r="O552" s="47">
        <v>0</v>
      </c>
      <c r="P552" s="47">
        <v>0</v>
      </c>
      <c r="Q552" s="47">
        <v>0</v>
      </c>
      <c r="R552" s="47">
        <v>0</v>
      </c>
      <c r="S552" s="47">
        <v>0</v>
      </c>
      <c r="T552" s="47">
        <v>0</v>
      </c>
      <c r="U552" s="47">
        <v>8021360.1799999997</v>
      </c>
      <c r="V552" s="47">
        <v>0</v>
      </c>
      <c r="W552" s="47">
        <v>0</v>
      </c>
      <c r="X552" s="47">
        <v>0</v>
      </c>
      <c r="Y552" s="48">
        <v>8021360.1799999997</v>
      </c>
      <c r="Z552" s="66">
        <v>1452417.82</v>
      </c>
      <c r="AA552" s="62">
        <v>1452417.82</v>
      </c>
      <c r="AB552" s="50">
        <v>0</v>
      </c>
      <c r="AC552" s="62">
        <v>41104.9</v>
      </c>
      <c r="AD552" s="62">
        <v>50672.36</v>
      </c>
      <c r="AE552" s="50">
        <v>0</v>
      </c>
      <c r="AF552" s="50">
        <v>0</v>
      </c>
      <c r="AG552" s="49">
        <v>1544195.08</v>
      </c>
      <c r="AH552" s="51" t="s">
        <v>104</v>
      </c>
      <c r="AI552" s="51" t="s">
        <v>74</v>
      </c>
      <c r="AJ552" s="51" t="s">
        <v>171</v>
      </c>
      <c r="AK552" s="51" t="s">
        <v>172</v>
      </c>
      <c r="AL552" s="51" t="s">
        <v>74</v>
      </c>
      <c r="AM552" s="51" t="s">
        <v>74</v>
      </c>
      <c r="AN552" s="52">
        <v>0</v>
      </c>
      <c r="AO552" s="52">
        <v>0</v>
      </c>
      <c r="AP552" s="52">
        <v>0</v>
      </c>
      <c r="AQ552" s="52">
        <v>0</v>
      </c>
      <c r="AR552" s="52">
        <v>0</v>
      </c>
      <c r="AS552" s="52">
        <v>0</v>
      </c>
      <c r="AT552" s="53" t="s">
        <v>74</v>
      </c>
      <c r="AU552" s="52">
        <v>0</v>
      </c>
      <c r="AV552" s="52"/>
      <c r="AW552" s="52">
        <v>0</v>
      </c>
      <c r="AX552" s="52"/>
      <c r="AY552" s="52"/>
      <c r="AZ552" s="52">
        <v>0</v>
      </c>
      <c r="BA552" s="52">
        <v>0</v>
      </c>
      <c r="BB552" s="54" t="s">
        <v>74</v>
      </c>
      <c r="BC552" s="53" t="s">
        <v>74</v>
      </c>
      <c r="BD552" s="55" t="s">
        <v>74</v>
      </c>
      <c r="BE552" s="55" t="s">
        <v>74</v>
      </c>
      <c r="BF552" s="55" t="s">
        <v>74</v>
      </c>
      <c r="BG552" s="55" t="s">
        <v>74</v>
      </c>
      <c r="BH552" s="52">
        <v>0</v>
      </c>
      <c r="BI552" s="52">
        <v>6477165.0999999996</v>
      </c>
      <c r="BJ552" s="52">
        <v>6477165.0999999996</v>
      </c>
      <c r="BK552" s="56">
        <v>44105</v>
      </c>
      <c r="BL552" s="63">
        <v>6477165.0999999996</v>
      </c>
      <c r="BM552" s="47">
        <v>0</v>
      </c>
      <c r="BN552" s="9"/>
      <c r="BO552" s="9"/>
      <c r="BP552" s="9"/>
      <c r="BQ552" s="9"/>
      <c r="BR552" s="9"/>
      <c r="BS552" s="9"/>
      <c r="BT552" s="9"/>
      <c r="BU552" s="9"/>
      <c r="BV552" s="9"/>
      <c r="BW552" s="9"/>
    </row>
    <row r="553" spans="1:75" hidden="1" outlineLevel="2" x14ac:dyDescent="0.25">
      <c r="A553" s="43" t="s">
        <v>640</v>
      </c>
      <c r="B553" s="110" t="s">
        <v>641</v>
      </c>
      <c r="C553" s="45">
        <v>2020</v>
      </c>
      <c r="D553" s="110" t="s">
        <v>90</v>
      </c>
      <c r="E553" s="47">
        <v>0</v>
      </c>
      <c r="F553" s="47">
        <v>0</v>
      </c>
      <c r="G553" s="47">
        <v>0</v>
      </c>
      <c r="H553" s="47">
        <v>0</v>
      </c>
      <c r="I553" s="47">
        <v>0</v>
      </c>
      <c r="J553" s="47">
        <v>0</v>
      </c>
      <c r="K553" s="47">
        <v>0</v>
      </c>
      <c r="L553" s="47">
        <v>0</v>
      </c>
      <c r="M553" s="47">
        <v>0</v>
      </c>
      <c r="N553" s="47">
        <v>0</v>
      </c>
      <c r="O553" s="47">
        <v>0</v>
      </c>
      <c r="P553" s="47">
        <v>0</v>
      </c>
      <c r="Q553" s="47">
        <v>0</v>
      </c>
      <c r="R553" s="47">
        <v>0</v>
      </c>
      <c r="S553" s="47">
        <v>0</v>
      </c>
      <c r="T553" s="47">
        <v>0</v>
      </c>
      <c r="U553" s="47">
        <v>8021360.1799999997</v>
      </c>
      <c r="V553" s="47">
        <v>0</v>
      </c>
      <c r="W553" s="47">
        <v>0</v>
      </c>
      <c r="X553" s="47">
        <v>0</v>
      </c>
      <c r="Y553" s="48">
        <v>8021360.1799999997</v>
      </c>
      <c r="Z553" s="66">
        <v>1481191.98</v>
      </c>
      <c r="AA553" s="62">
        <v>1481191.98</v>
      </c>
      <c r="AB553" s="50">
        <v>0</v>
      </c>
      <c r="AC553" s="62">
        <v>7032.14</v>
      </c>
      <c r="AD553" s="62">
        <v>63589.919999999998</v>
      </c>
      <c r="AE553" s="50">
        <v>0</v>
      </c>
      <c r="AF553" s="50">
        <v>0</v>
      </c>
      <c r="AG553" s="49">
        <v>1551814.04</v>
      </c>
      <c r="AH553" s="51" t="s">
        <v>173</v>
      </c>
      <c r="AI553" s="51" t="s">
        <v>74</v>
      </c>
      <c r="AJ553" s="51" t="s">
        <v>174</v>
      </c>
      <c r="AK553" s="51" t="s">
        <v>175</v>
      </c>
      <c r="AL553" s="51" t="s">
        <v>74</v>
      </c>
      <c r="AM553" s="51" t="s">
        <v>74</v>
      </c>
      <c r="AN553" s="52">
        <v>0</v>
      </c>
      <c r="AO553" s="52">
        <v>0</v>
      </c>
      <c r="AP553" s="52">
        <v>0</v>
      </c>
      <c r="AQ553" s="52">
        <v>0</v>
      </c>
      <c r="AR553" s="52">
        <v>0</v>
      </c>
      <c r="AS553" s="52">
        <v>0</v>
      </c>
      <c r="AT553" s="53" t="s">
        <v>74</v>
      </c>
      <c r="AU553" s="52">
        <v>0</v>
      </c>
      <c r="AV553" s="52"/>
      <c r="AW553" s="52">
        <v>0</v>
      </c>
      <c r="AX553" s="52"/>
      <c r="AY553" s="52"/>
      <c r="AZ553" s="52">
        <v>0</v>
      </c>
      <c r="BA553" s="52">
        <v>0</v>
      </c>
      <c r="BB553" s="54" t="s">
        <v>74</v>
      </c>
      <c r="BC553" s="53" t="s">
        <v>74</v>
      </c>
      <c r="BD553" s="55" t="s">
        <v>74</v>
      </c>
      <c r="BE553" s="55" t="s">
        <v>74</v>
      </c>
      <c r="BF553" s="55" t="s">
        <v>74</v>
      </c>
      <c r="BG553" s="55" t="s">
        <v>74</v>
      </c>
      <c r="BH553" s="52">
        <v>0</v>
      </c>
      <c r="BI553" s="52">
        <v>6469546.1399999997</v>
      </c>
      <c r="BJ553" s="52">
        <v>6469546.1399999997</v>
      </c>
      <c r="BK553" s="56">
        <v>44136</v>
      </c>
      <c r="BL553" s="63">
        <v>6469546.1399999997</v>
      </c>
      <c r="BM553" s="47">
        <v>0</v>
      </c>
      <c r="BN553" s="9"/>
      <c r="BO553" s="9"/>
      <c r="BP553" s="9"/>
      <c r="BQ553" s="9"/>
      <c r="BR553" s="9"/>
      <c r="BS553" s="9"/>
      <c r="BT553" s="9"/>
      <c r="BU553" s="9"/>
      <c r="BV553" s="9"/>
      <c r="BW553" s="9"/>
    </row>
    <row r="554" spans="1:75" ht="77.25" hidden="1" outlineLevel="2" x14ac:dyDescent="0.25">
      <c r="A554" s="43" t="s">
        <v>640</v>
      </c>
      <c r="B554" s="110" t="s">
        <v>641</v>
      </c>
      <c r="C554" s="45">
        <v>2020</v>
      </c>
      <c r="D554" s="110" t="s">
        <v>93</v>
      </c>
      <c r="E554" s="47">
        <v>0</v>
      </c>
      <c r="F554" s="47">
        <v>0</v>
      </c>
      <c r="G554" s="47">
        <v>0</v>
      </c>
      <c r="H554" s="47">
        <v>0</v>
      </c>
      <c r="I554" s="47">
        <v>0</v>
      </c>
      <c r="J554" s="47">
        <v>0</v>
      </c>
      <c r="K554" s="47">
        <v>0</v>
      </c>
      <c r="L554" s="47">
        <v>0</v>
      </c>
      <c r="M554" s="47">
        <v>0</v>
      </c>
      <c r="N554" s="47">
        <v>0</v>
      </c>
      <c r="O554" s="47">
        <v>0</v>
      </c>
      <c r="P554" s="47">
        <v>0</v>
      </c>
      <c r="Q554" s="47">
        <v>0</v>
      </c>
      <c r="R554" s="47">
        <v>0</v>
      </c>
      <c r="S554" s="47">
        <v>0</v>
      </c>
      <c r="T554" s="47">
        <v>0</v>
      </c>
      <c r="U554" s="47">
        <v>7913027.7000000002</v>
      </c>
      <c r="V554" s="47">
        <v>0</v>
      </c>
      <c r="W554" s="47">
        <v>0</v>
      </c>
      <c r="X554" s="47">
        <v>0</v>
      </c>
      <c r="Y554" s="48">
        <v>7913027.7000000002</v>
      </c>
      <c r="Z554" s="67">
        <v>1508351.67</v>
      </c>
      <c r="AA554" s="62">
        <v>1508351.67</v>
      </c>
      <c r="AB554" s="50">
        <v>0</v>
      </c>
      <c r="AC554" s="62">
        <v>7048.23</v>
      </c>
      <c r="AD554" s="62">
        <v>109154.85</v>
      </c>
      <c r="AE554" s="50">
        <v>0</v>
      </c>
      <c r="AF554" s="50">
        <v>0</v>
      </c>
      <c r="AG554" s="49">
        <v>1624554.75</v>
      </c>
      <c r="AH554" s="51" t="s">
        <v>104</v>
      </c>
      <c r="AI554" s="51" t="s">
        <v>74</v>
      </c>
      <c r="AJ554" s="51" t="s">
        <v>176</v>
      </c>
      <c r="AK554" s="51" t="s">
        <v>177</v>
      </c>
      <c r="AL554" s="51" t="s">
        <v>74</v>
      </c>
      <c r="AM554" s="51" t="s">
        <v>74</v>
      </c>
      <c r="AN554" s="52"/>
      <c r="AO554" s="52"/>
      <c r="AP554" s="52"/>
      <c r="AQ554" s="52"/>
      <c r="AR554" s="52"/>
      <c r="AS554" s="52">
        <v>0</v>
      </c>
      <c r="AT554" s="53" t="s">
        <v>74</v>
      </c>
      <c r="AU554" s="59">
        <v>891248.8</v>
      </c>
      <c r="AV554" s="52"/>
      <c r="AW554" s="52">
        <v>0</v>
      </c>
      <c r="AX554" s="52"/>
      <c r="AY554" s="52"/>
      <c r="AZ554" s="52">
        <v>0</v>
      </c>
      <c r="BA554" s="52">
        <v>891248.8</v>
      </c>
      <c r="BB554" s="53" t="s">
        <v>682</v>
      </c>
      <c r="BC554" s="53" t="s">
        <v>74</v>
      </c>
      <c r="BD554" s="55" t="s">
        <v>74</v>
      </c>
      <c r="BE554" s="55" t="s">
        <v>74</v>
      </c>
      <c r="BF554" s="55" t="s">
        <v>74</v>
      </c>
      <c r="BG554" s="55" t="s">
        <v>74</v>
      </c>
      <c r="BH554" s="52">
        <v>891248.8</v>
      </c>
      <c r="BI554" s="52">
        <v>7179721.75</v>
      </c>
      <c r="BJ554" s="52">
        <v>6288472.9500000002</v>
      </c>
      <c r="BK554" s="56">
        <v>44166</v>
      </c>
      <c r="BL554" s="63">
        <v>7179721.75</v>
      </c>
      <c r="BM554" s="47">
        <v>0</v>
      </c>
      <c r="BN554" s="9"/>
      <c r="BO554" s="9"/>
      <c r="BP554" s="9"/>
      <c r="BQ554" s="9"/>
      <c r="BR554" s="9"/>
      <c r="BS554" s="9"/>
      <c r="BT554" s="9"/>
      <c r="BU554" s="9"/>
      <c r="BV554" s="9"/>
      <c r="BW554" s="9"/>
    </row>
    <row r="555" spans="1:75" ht="192" hidden="1" outlineLevel="2" x14ac:dyDescent="0.25">
      <c r="A555" s="43" t="s">
        <v>640</v>
      </c>
      <c r="B555" s="110" t="s">
        <v>641</v>
      </c>
      <c r="C555" s="45">
        <v>2021</v>
      </c>
      <c r="D555" s="110" t="s">
        <v>73</v>
      </c>
      <c r="E555" s="47">
        <v>0</v>
      </c>
      <c r="F555" s="47">
        <v>0</v>
      </c>
      <c r="G555" s="47">
        <v>0</v>
      </c>
      <c r="H555" s="47">
        <v>0</v>
      </c>
      <c r="I555" s="47">
        <v>0</v>
      </c>
      <c r="J555" s="47">
        <v>0</v>
      </c>
      <c r="K555" s="47">
        <v>0</v>
      </c>
      <c r="L555" s="47">
        <v>0</v>
      </c>
      <c r="M555" s="47">
        <v>0</v>
      </c>
      <c r="N555" s="47">
        <v>0</v>
      </c>
      <c r="O555" s="47">
        <v>0</v>
      </c>
      <c r="P555" s="47">
        <v>0</v>
      </c>
      <c r="Q555" s="47">
        <v>0</v>
      </c>
      <c r="R555" s="47">
        <v>0</v>
      </c>
      <c r="S555" s="47">
        <v>0</v>
      </c>
      <c r="T555" s="47">
        <v>0</v>
      </c>
      <c r="U555" s="47">
        <v>7479697.7999999998</v>
      </c>
      <c r="V555" s="47">
        <v>0</v>
      </c>
      <c r="W555" s="47">
        <v>0</v>
      </c>
      <c r="X555" s="47">
        <v>0</v>
      </c>
      <c r="Y555" s="48">
        <f t="shared" ref="Y555:Y562" si="78">SUM(E555:X555)</f>
        <v>7479697.7999999998</v>
      </c>
      <c r="Z555" s="66">
        <v>1513160.26</v>
      </c>
      <c r="AA555" s="62">
        <v>1513160.26</v>
      </c>
      <c r="AB555" s="50">
        <v>0</v>
      </c>
      <c r="AC555" s="62">
        <v>7039.8</v>
      </c>
      <c r="AD555" s="50">
        <v>0</v>
      </c>
      <c r="AE555" s="50">
        <v>0</v>
      </c>
      <c r="AF555" s="50">
        <v>0</v>
      </c>
      <c r="AG555" s="49">
        <f t="shared" ref="AG555:AG562" si="79">SUM(AA555:AF555)</f>
        <v>1520200.06</v>
      </c>
      <c r="AH555" s="51" t="s">
        <v>104</v>
      </c>
      <c r="AI555" s="51" t="s">
        <v>74</v>
      </c>
      <c r="AJ555" s="51" t="s">
        <v>178</v>
      </c>
      <c r="AK555" s="51" t="s">
        <v>74</v>
      </c>
      <c r="AL555" s="51" t="s">
        <v>74</v>
      </c>
      <c r="AM555" s="51" t="s">
        <v>74</v>
      </c>
      <c r="AN555" s="52">
        <v>0</v>
      </c>
      <c r="AO555" s="52">
        <v>13574.33</v>
      </c>
      <c r="AP555" s="52">
        <v>0</v>
      </c>
      <c r="AQ555" s="52">
        <v>0</v>
      </c>
      <c r="AR555" s="52">
        <v>0</v>
      </c>
      <c r="AS555" s="52">
        <f t="shared" ref="AS555:AS562" si="80">AN555+AO555+AP555+AQ555+AR555</f>
        <v>13574.33</v>
      </c>
      <c r="AT555" s="53" t="s">
        <v>683</v>
      </c>
      <c r="AU555" s="52">
        <v>0</v>
      </c>
      <c r="AV555" s="52"/>
      <c r="AW555" s="52">
        <v>0</v>
      </c>
      <c r="AX555" s="59">
        <v>826827.7</v>
      </c>
      <c r="AY555" s="59"/>
      <c r="AZ555" s="52">
        <v>0</v>
      </c>
      <c r="BA555" s="52">
        <f t="shared" ref="BA555:BA563" si="81">AU555+AW555+AX555+AZ555</f>
        <v>826827.7</v>
      </c>
      <c r="BB555" s="54" t="s">
        <v>74</v>
      </c>
      <c r="BC555" s="53" t="s">
        <v>74</v>
      </c>
      <c r="BD555" s="55" t="s">
        <v>74</v>
      </c>
      <c r="BE555" s="51" t="s">
        <v>684</v>
      </c>
      <c r="BF555" s="55" t="s">
        <v>74</v>
      </c>
      <c r="BG555" s="55" t="s">
        <v>74</v>
      </c>
      <c r="BH555" s="52">
        <f t="shared" ref="BH555:BH563" si="82">AS555+BA555</f>
        <v>840402.02999999991</v>
      </c>
      <c r="BI555" s="52">
        <f t="shared" ref="BI555:BI563" si="83">Y555-AG555+BH555</f>
        <v>6799899.7700000005</v>
      </c>
      <c r="BJ555" s="52">
        <v>6799899.7699999996</v>
      </c>
      <c r="BK555" s="56">
        <v>44197</v>
      </c>
      <c r="BL555" s="63">
        <v>6799899.7699999996</v>
      </c>
      <c r="BM555" s="47">
        <v>0</v>
      </c>
      <c r="BN555" s="9"/>
      <c r="BO555" s="9"/>
      <c r="BP555" s="9"/>
      <c r="BQ555" s="9"/>
      <c r="BR555" s="9"/>
      <c r="BS555" s="9"/>
      <c r="BT555" s="9"/>
      <c r="BU555" s="9"/>
      <c r="BV555" s="9"/>
      <c r="BW555" s="9"/>
    </row>
    <row r="556" spans="1:75" ht="166.5" hidden="1" outlineLevel="2" x14ac:dyDescent="0.25">
      <c r="A556" s="43" t="s">
        <v>640</v>
      </c>
      <c r="B556" s="110" t="s">
        <v>641</v>
      </c>
      <c r="C556" s="45">
        <v>2021</v>
      </c>
      <c r="D556" s="110" t="s">
        <v>75</v>
      </c>
      <c r="E556" s="47">
        <v>0</v>
      </c>
      <c r="F556" s="47">
        <v>0</v>
      </c>
      <c r="G556" s="47">
        <v>0</v>
      </c>
      <c r="H556" s="47">
        <v>0</v>
      </c>
      <c r="I556" s="47">
        <v>0</v>
      </c>
      <c r="J556" s="47">
        <v>0</v>
      </c>
      <c r="K556" s="47">
        <v>0</v>
      </c>
      <c r="L556" s="47">
        <v>0</v>
      </c>
      <c r="M556" s="47">
        <v>0</v>
      </c>
      <c r="N556" s="47">
        <v>0</v>
      </c>
      <c r="O556" s="47">
        <v>0</v>
      </c>
      <c r="P556" s="47">
        <v>0</v>
      </c>
      <c r="Q556" s="47">
        <v>0</v>
      </c>
      <c r="R556" s="47">
        <v>0</v>
      </c>
      <c r="S556" s="47">
        <v>0</v>
      </c>
      <c r="T556" s="47">
        <v>0</v>
      </c>
      <c r="U556" s="47">
        <v>7479697.7999999998</v>
      </c>
      <c r="V556" s="47">
        <v>0</v>
      </c>
      <c r="W556" s="47">
        <v>0</v>
      </c>
      <c r="X556" s="47">
        <v>0</v>
      </c>
      <c r="Y556" s="48">
        <f t="shared" si="78"/>
        <v>7479697.7999999998</v>
      </c>
      <c r="Z556" s="66">
        <v>1486630.63</v>
      </c>
      <c r="AA556" s="62">
        <v>1486630.63</v>
      </c>
      <c r="AB556" s="50">
        <v>0</v>
      </c>
      <c r="AC556" s="62">
        <v>6477.09</v>
      </c>
      <c r="AD556" s="62">
        <v>49960.3</v>
      </c>
      <c r="AE556" s="50">
        <v>0</v>
      </c>
      <c r="AF556" s="50">
        <v>0</v>
      </c>
      <c r="AG556" s="49">
        <f t="shared" si="79"/>
        <v>1543068.02</v>
      </c>
      <c r="AH556" s="51" t="s">
        <v>104</v>
      </c>
      <c r="AI556" s="51" t="s">
        <v>74</v>
      </c>
      <c r="AJ556" s="51" t="s">
        <v>578</v>
      </c>
      <c r="AK556" s="51" t="s">
        <v>180</v>
      </c>
      <c r="AL556" s="51" t="s">
        <v>74</v>
      </c>
      <c r="AM556" s="51" t="s">
        <v>74</v>
      </c>
      <c r="AN556" s="52">
        <v>0</v>
      </c>
      <c r="AO556" s="52">
        <v>0</v>
      </c>
      <c r="AP556" s="52">
        <v>0</v>
      </c>
      <c r="AQ556" s="52">
        <v>0</v>
      </c>
      <c r="AR556" s="52">
        <v>0</v>
      </c>
      <c r="AS556" s="52">
        <f t="shared" si="80"/>
        <v>0</v>
      </c>
      <c r="AT556" s="53" t="s">
        <v>74</v>
      </c>
      <c r="AU556" s="59">
        <v>641714.91</v>
      </c>
      <c r="AV556" s="52"/>
      <c r="AW556" s="52">
        <v>0</v>
      </c>
      <c r="AX556" s="59">
        <v>1096997.22</v>
      </c>
      <c r="AY556" s="59"/>
      <c r="AZ556" s="52">
        <v>0</v>
      </c>
      <c r="BA556" s="52">
        <f t="shared" si="81"/>
        <v>1738712.13</v>
      </c>
      <c r="BB556" s="53" t="s">
        <v>685</v>
      </c>
      <c r="BC556" s="53" t="s">
        <v>74</v>
      </c>
      <c r="BD556" s="55" t="s">
        <v>74</v>
      </c>
      <c r="BE556" s="51" t="s">
        <v>686</v>
      </c>
      <c r="BF556" s="55" t="s">
        <v>74</v>
      </c>
      <c r="BG556" s="55" t="s">
        <v>74</v>
      </c>
      <c r="BH556" s="52">
        <f t="shared" si="82"/>
        <v>1738712.13</v>
      </c>
      <c r="BI556" s="52">
        <f t="shared" si="83"/>
        <v>7675341.9099999992</v>
      </c>
      <c r="BJ556" s="52">
        <v>7033627</v>
      </c>
      <c r="BK556" s="56">
        <v>44228</v>
      </c>
      <c r="BL556" s="57">
        <v>7675341.9100000001</v>
      </c>
      <c r="BM556" s="47">
        <v>0</v>
      </c>
      <c r="BN556" s="9"/>
      <c r="BO556" s="9"/>
      <c r="BP556" s="9"/>
      <c r="BQ556" s="9"/>
      <c r="BR556" s="9"/>
      <c r="BS556" s="9"/>
      <c r="BT556" s="9"/>
      <c r="BU556" s="9"/>
      <c r="BV556" s="9"/>
      <c r="BW556" s="9"/>
    </row>
    <row r="557" spans="1:75" ht="26.25" hidden="1" outlineLevel="2" x14ac:dyDescent="0.25">
      <c r="A557" s="43" t="s">
        <v>640</v>
      </c>
      <c r="B557" s="110" t="s">
        <v>641</v>
      </c>
      <c r="C557" s="45">
        <v>2021</v>
      </c>
      <c r="D557" s="110" t="s">
        <v>77</v>
      </c>
      <c r="E557" s="47">
        <v>0</v>
      </c>
      <c r="F557" s="47">
        <v>0</v>
      </c>
      <c r="G557" s="47">
        <v>0</v>
      </c>
      <c r="H557" s="47">
        <v>0</v>
      </c>
      <c r="I557" s="47">
        <v>0</v>
      </c>
      <c r="J557" s="47">
        <v>0</v>
      </c>
      <c r="K557" s="47">
        <v>0</v>
      </c>
      <c r="L557" s="47">
        <v>0</v>
      </c>
      <c r="M557" s="47">
        <v>0</v>
      </c>
      <c r="N557" s="47">
        <v>0</v>
      </c>
      <c r="O557" s="47">
        <v>0</v>
      </c>
      <c r="P557" s="47">
        <v>0</v>
      </c>
      <c r="Q557" s="47">
        <v>0</v>
      </c>
      <c r="R557" s="47">
        <v>0</v>
      </c>
      <c r="S557" s="47">
        <v>0</v>
      </c>
      <c r="T557" s="47">
        <v>0</v>
      </c>
      <c r="U557" s="47">
        <v>7479697.7999999998</v>
      </c>
      <c r="V557" s="134">
        <v>275609.23200000002</v>
      </c>
      <c r="W557" s="47">
        <v>0</v>
      </c>
      <c r="X557" s="47">
        <v>0</v>
      </c>
      <c r="Y557" s="48">
        <f t="shared" si="78"/>
        <v>7755307.0319999997</v>
      </c>
      <c r="Z557" s="66">
        <v>1444706.51</v>
      </c>
      <c r="AA557" s="62">
        <v>1444706.51</v>
      </c>
      <c r="AB557" s="50">
        <v>0</v>
      </c>
      <c r="AC557" s="62">
        <v>7102.35</v>
      </c>
      <c r="AD557" s="62">
        <v>29781.119999999999</v>
      </c>
      <c r="AE557" s="50">
        <v>0</v>
      </c>
      <c r="AF557" s="50">
        <v>0</v>
      </c>
      <c r="AG557" s="49">
        <f t="shared" si="79"/>
        <v>1481589.9800000002</v>
      </c>
      <c r="AH557" s="51" t="s">
        <v>104</v>
      </c>
      <c r="AI557" s="51" t="s">
        <v>74</v>
      </c>
      <c r="AJ557" s="51" t="s">
        <v>687</v>
      </c>
      <c r="AK557" s="51" t="s">
        <v>182</v>
      </c>
      <c r="AL557" s="51" t="s">
        <v>74</v>
      </c>
      <c r="AM557" s="51" t="s">
        <v>74</v>
      </c>
      <c r="AN557" s="52">
        <v>0</v>
      </c>
      <c r="AO557" s="52">
        <v>0</v>
      </c>
      <c r="AP557" s="52">
        <v>0</v>
      </c>
      <c r="AQ557" s="52">
        <v>0</v>
      </c>
      <c r="AR557" s="52">
        <v>0</v>
      </c>
      <c r="AS557" s="52">
        <f t="shared" si="80"/>
        <v>0</v>
      </c>
      <c r="AT557" s="53" t="s">
        <v>74</v>
      </c>
      <c r="AU557" s="52">
        <v>0</v>
      </c>
      <c r="AV557" s="52"/>
      <c r="AW557" s="52">
        <v>0</v>
      </c>
      <c r="AX557" s="52"/>
      <c r="AY557" s="52"/>
      <c r="AZ557" s="52">
        <v>0</v>
      </c>
      <c r="BA557" s="52">
        <f t="shared" si="81"/>
        <v>0</v>
      </c>
      <c r="BB557" s="54" t="s">
        <v>74</v>
      </c>
      <c r="BC557" s="53" t="s">
        <v>74</v>
      </c>
      <c r="BD557" s="55" t="s">
        <v>74</v>
      </c>
      <c r="BE557" s="55" t="s">
        <v>74</v>
      </c>
      <c r="BF557" s="55" t="s">
        <v>74</v>
      </c>
      <c r="BG557" s="55" t="s">
        <v>74</v>
      </c>
      <c r="BH557" s="52">
        <f t="shared" si="82"/>
        <v>0</v>
      </c>
      <c r="BI557" s="52">
        <f t="shared" si="83"/>
        <v>6273717.0519999992</v>
      </c>
      <c r="BJ557" s="52">
        <v>6273717.0520000001</v>
      </c>
      <c r="BK557" s="56">
        <v>44256</v>
      </c>
      <c r="BL557" s="63">
        <v>6273717.0499999998</v>
      </c>
      <c r="BM557" s="47">
        <v>0</v>
      </c>
      <c r="BN557" s="9"/>
      <c r="BO557" s="9"/>
      <c r="BP557" s="9"/>
      <c r="BQ557" s="9"/>
      <c r="BR557" s="9"/>
      <c r="BS557" s="9"/>
      <c r="BT557" s="9"/>
      <c r="BU557" s="9"/>
      <c r="BV557" s="9"/>
      <c r="BW557" s="9"/>
    </row>
    <row r="558" spans="1:75" ht="39" hidden="1" outlineLevel="2" x14ac:dyDescent="0.25">
      <c r="A558" s="43" t="s">
        <v>640</v>
      </c>
      <c r="B558" s="110" t="s">
        <v>641</v>
      </c>
      <c r="C558" s="45">
        <v>2021</v>
      </c>
      <c r="D558" s="110" t="s">
        <v>79</v>
      </c>
      <c r="E558" s="47">
        <v>0</v>
      </c>
      <c r="F558" s="47">
        <v>0</v>
      </c>
      <c r="G558" s="47">
        <v>0</v>
      </c>
      <c r="H558" s="47">
        <v>0</v>
      </c>
      <c r="I558" s="47">
        <v>0</v>
      </c>
      <c r="J558" s="47">
        <v>0</v>
      </c>
      <c r="K558" s="47">
        <v>0</v>
      </c>
      <c r="L558" s="47">
        <v>0</v>
      </c>
      <c r="M558" s="47">
        <v>0</v>
      </c>
      <c r="N558" s="47">
        <v>0</v>
      </c>
      <c r="O558" s="47">
        <v>0</v>
      </c>
      <c r="P558" s="47">
        <v>0</v>
      </c>
      <c r="Q558" s="47">
        <v>0</v>
      </c>
      <c r="R558" s="47">
        <v>0</v>
      </c>
      <c r="S558" s="47">
        <v>0</v>
      </c>
      <c r="T558" s="47">
        <v>0</v>
      </c>
      <c r="U558" s="47">
        <v>7479697.7999999998</v>
      </c>
      <c r="V558" s="113">
        <v>689023.08</v>
      </c>
      <c r="W558" s="47">
        <v>0</v>
      </c>
      <c r="X558" s="47">
        <v>0</v>
      </c>
      <c r="Y558" s="48">
        <f t="shared" si="78"/>
        <v>8168720.8799999999</v>
      </c>
      <c r="Z558" s="66">
        <v>1501540.66</v>
      </c>
      <c r="AA558" s="62">
        <v>1501540.66</v>
      </c>
      <c r="AB558" s="50">
        <v>0</v>
      </c>
      <c r="AC558" s="62">
        <v>6898.1</v>
      </c>
      <c r="AD558" s="62">
        <v>51819.74</v>
      </c>
      <c r="AE558" s="50">
        <v>0</v>
      </c>
      <c r="AF558" s="50">
        <v>0</v>
      </c>
      <c r="AG558" s="49">
        <f t="shared" si="79"/>
        <v>1560258.5</v>
      </c>
      <c r="AH558" s="51" t="s">
        <v>104</v>
      </c>
      <c r="AI558" s="51" t="s">
        <v>74</v>
      </c>
      <c r="AJ558" s="51" t="s">
        <v>463</v>
      </c>
      <c r="AK558" s="51" t="s">
        <v>409</v>
      </c>
      <c r="AL558" s="51" t="s">
        <v>74</v>
      </c>
      <c r="AM558" s="51" t="s">
        <v>74</v>
      </c>
      <c r="AN558" s="52">
        <v>0</v>
      </c>
      <c r="AO558" s="52">
        <v>0</v>
      </c>
      <c r="AP558" s="52">
        <v>0</v>
      </c>
      <c r="AQ558" s="52">
        <v>0</v>
      </c>
      <c r="AR558" s="52">
        <v>0</v>
      </c>
      <c r="AS558" s="52">
        <f t="shared" si="80"/>
        <v>0</v>
      </c>
      <c r="AT558" s="53" t="s">
        <v>74</v>
      </c>
      <c r="AU558" s="52">
        <v>0</v>
      </c>
      <c r="AV558" s="52"/>
      <c r="AW558" s="52">
        <v>0</v>
      </c>
      <c r="AX558" s="52"/>
      <c r="AY558" s="52"/>
      <c r="AZ558" s="52">
        <v>0</v>
      </c>
      <c r="BA558" s="52">
        <f t="shared" si="81"/>
        <v>0</v>
      </c>
      <c r="BB558" s="54" t="s">
        <v>74</v>
      </c>
      <c r="BC558" s="53" t="s">
        <v>74</v>
      </c>
      <c r="BD558" s="55" t="s">
        <v>74</v>
      </c>
      <c r="BE558" s="55" t="s">
        <v>74</v>
      </c>
      <c r="BF558" s="55" t="s">
        <v>74</v>
      </c>
      <c r="BG558" s="55" t="s">
        <v>74</v>
      </c>
      <c r="BH558" s="52">
        <f t="shared" si="82"/>
        <v>0</v>
      </c>
      <c r="BI558" s="52">
        <f t="shared" si="83"/>
        <v>6608462.3799999999</v>
      </c>
      <c r="BJ558" s="52">
        <v>6608462.3799999999</v>
      </c>
      <c r="BK558" s="56">
        <v>44287</v>
      </c>
      <c r="BL558" s="63">
        <v>6608462.3799999999</v>
      </c>
      <c r="BM558" s="47">
        <v>0</v>
      </c>
      <c r="BN558" s="9"/>
      <c r="BO558" s="9"/>
      <c r="BP558" s="9"/>
      <c r="BQ558" s="9"/>
      <c r="BR558" s="9"/>
      <c r="BS558" s="9"/>
      <c r="BT558" s="9"/>
      <c r="BU558" s="9"/>
      <c r="BV558" s="9"/>
      <c r="BW558" s="9"/>
    </row>
    <row r="559" spans="1:75" ht="26.25" hidden="1" outlineLevel="2" x14ac:dyDescent="0.25">
      <c r="A559" s="43" t="s">
        <v>640</v>
      </c>
      <c r="B559" s="110" t="s">
        <v>641</v>
      </c>
      <c r="C559" s="45">
        <v>2021</v>
      </c>
      <c r="D559" s="110" t="s">
        <v>81</v>
      </c>
      <c r="E559" s="47">
        <v>0</v>
      </c>
      <c r="F559" s="47">
        <v>0</v>
      </c>
      <c r="G559" s="47">
        <v>0</v>
      </c>
      <c r="H559" s="47">
        <v>0</v>
      </c>
      <c r="I559" s="47">
        <v>0</v>
      </c>
      <c r="J559" s="47">
        <v>0</v>
      </c>
      <c r="K559" s="47">
        <v>0</v>
      </c>
      <c r="L559" s="47">
        <v>0</v>
      </c>
      <c r="M559" s="47">
        <v>0</v>
      </c>
      <c r="N559" s="47">
        <v>0</v>
      </c>
      <c r="O559" s="47">
        <v>0</v>
      </c>
      <c r="P559" s="47">
        <v>0</v>
      </c>
      <c r="Q559" s="47">
        <v>0</v>
      </c>
      <c r="R559" s="47">
        <v>0</v>
      </c>
      <c r="S559" s="47">
        <v>0</v>
      </c>
      <c r="T559" s="47">
        <v>0</v>
      </c>
      <c r="U559" s="47">
        <v>7479697.7999999998</v>
      </c>
      <c r="V559" s="113">
        <v>689023.08</v>
      </c>
      <c r="W559" s="47">
        <v>0</v>
      </c>
      <c r="X559" s="47">
        <v>0</v>
      </c>
      <c r="Y559" s="48">
        <f t="shared" si="78"/>
        <v>8168720.8799999999</v>
      </c>
      <c r="Z559" s="66">
        <v>1473364.27</v>
      </c>
      <c r="AA559" s="62">
        <v>1473364.27</v>
      </c>
      <c r="AB559" s="50">
        <v>0</v>
      </c>
      <c r="AC559" s="62">
        <v>7651.13</v>
      </c>
      <c r="AD559" s="62">
        <v>55951.54</v>
      </c>
      <c r="AE559" s="50">
        <v>0</v>
      </c>
      <c r="AF559" s="50">
        <v>0</v>
      </c>
      <c r="AG559" s="49">
        <f t="shared" si="79"/>
        <v>1536966.94</v>
      </c>
      <c r="AH559" s="51" t="s">
        <v>104</v>
      </c>
      <c r="AI559" s="51" t="s">
        <v>74</v>
      </c>
      <c r="AJ559" s="51" t="s">
        <v>584</v>
      </c>
      <c r="AK559" s="51" t="s">
        <v>411</v>
      </c>
      <c r="AL559" s="51" t="s">
        <v>74</v>
      </c>
      <c r="AM559" s="51" t="s">
        <v>74</v>
      </c>
      <c r="AN559" s="52">
        <v>0</v>
      </c>
      <c r="AO559" s="52">
        <v>0</v>
      </c>
      <c r="AP559" s="52">
        <v>0</v>
      </c>
      <c r="AQ559" s="52">
        <v>0</v>
      </c>
      <c r="AR559" s="52">
        <v>0</v>
      </c>
      <c r="AS559" s="52">
        <f t="shared" si="80"/>
        <v>0</v>
      </c>
      <c r="AT559" s="53" t="s">
        <v>74</v>
      </c>
      <c r="AU559" s="52">
        <v>0</v>
      </c>
      <c r="AV559" s="52"/>
      <c r="AW559" s="52">
        <v>0</v>
      </c>
      <c r="AX559" s="52"/>
      <c r="AY559" s="52"/>
      <c r="AZ559" s="52">
        <v>0</v>
      </c>
      <c r="BA559" s="52">
        <f t="shared" si="81"/>
        <v>0</v>
      </c>
      <c r="BB559" s="54" t="s">
        <v>74</v>
      </c>
      <c r="BC559" s="53" t="s">
        <v>74</v>
      </c>
      <c r="BD559" s="55" t="s">
        <v>74</v>
      </c>
      <c r="BE559" s="55" t="s">
        <v>74</v>
      </c>
      <c r="BF559" s="55" t="s">
        <v>74</v>
      </c>
      <c r="BG559" s="55" t="s">
        <v>74</v>
      </c>
      <c r="BH559" s="52">
        <f t="shared" si="82"/>
        <v>0</v>
      </c>
      <c r="BI559" s="52">
        <f t="shared" si="83"/>
        <v>6631753.9399999995</v>
      </c>
      <c r="BJ559" s="52">
        <v>6631753.9400000004</v>
      </c>
      <c r="BK559" s="56">
        <v>44317</v>
      </c>
      <c r="BL559" s="63">
        <v>6631753.9400000004</v>
      </c>
      <c r="BM559" s="47">
        <v>0</v>
      </c>
      <c r="BN559" s="9"/>
      <c r="BO559" s="9"/>
      <c r="BP559" s="9"/>
      <c r="BQ559" s="9"/>
      <c r="BR559" s="9"/>
      <c r="BS559" s="9"/>
      <c r="BT559" s="9"/>
      <c r="BU559" s="9"/>
      <c r="BV559" s="9"/>
      <c r="BW559" s="9"/>
    </row>
    <row r="560" spans="1:75" ht="179.25" hidden="1" outlineLevel="2" x14ac:dyDescent="0.25">
      <c r="A560" s="43" t="s">
        <v>640</v>
      </c>
      <c r="B560" s="110" t="s">
        <v>641</v>
      </c>
      <c r="C560" s="45">
        <v>2021</v>
      </c>
      <c r="D560" s="46" t="s">
        <v>83</v>
      </c>
      <c r="E560" s="47">
        <v>0</v>
      </c>
      <c r="F560" s="47">
        <v>0</v>
      </c>
      <c r="G560" s="47">
        <v>0</v>
      </c>
      <c r="H560" s="47">
        <v>0</v>
      </c>
      <c r="I560" s="47">
        <v>0</v>
      </c>
      <c r="J560" s="47">
        <v>0</v>
      </c>
      <c r="K560" s="47">
        <v>0</v>
      </c>
      <c r="L560" s="47">
        <v>0</v>
      </c>
      <c r="M560" s="47">
        <v>0</v>
      </c>
      <c r="N560" s="47">
        <v>0</v>
      </c>
      <c r="O560" s="47">
        <v>0</v>
      </c>
      <c r="P560" s="47">
        <v>0</v>
      </c>
      <c r="Q560" s="47">
        <v>0</v>
      </c>
      <c r="R560" s="47">
        <v>0</v>
      </c>
      <c r="S560" s="47">
        <v>0</v>
      </c>
      <c r="T560" s="47">
        <v>0</v>
      </c>
      <c r="U560" s="47">
        <v>5983758.2400000002</v>
      </c>
      <c r="V560" s="134">
        <v>551218.46400000004</v>
      </c>
      <c r="W560" s="47">
        <v>0</v>
      </c>
      <c r="X560" s="47">
        <v>0</v>
      </c>
      <c r="Y560" s="48">
        <f t="shared" si="78"/>
        <v>6534976.7039999999</v>
      </c>
      <c r="Z560" s="65">
        <v>1430403.69</v>
      </c>
      <c r="AA560" s="61">
        <v>1430403.69</v>
      </c>
      <c r="AB560" s="50">
        <v>0</v>
      </c>
      <c r="AC560" s="50"/>
      <c r="AD560" s="62">
        <v>50803</v>
      </c>
      <c r="AE560" s="50">
        <v>0</v>
      </c>
      <c r="AF560" s="50">
        <v>0</v>
      </c>
      <c r="AG560" s="49">
        <f t="shared" si="79"/>
        <v>1481206.69</v>
      </c>
      <c r="AH560" s="51" t="s">
        <v>104</v>
      </c>
      <c r="AI560" s="51" t="s">
        <v>74</v>
      </c>
      <c r="AJ560" s="51" t="s">
        <v>74</v>
      </c>
      <c r="AK560" s="51" t="s">
        <v>413</v>
      </c>
      <c r="AL560" s="51" t="s">
        <v>74</v>
      </c>
      <c r="AM560" s="51" t="s">
        <v>74</v>
      </c>
      <c r="AN560" s="52">
        <v>0</v>
      </c>
      <c r="AO560" s="52">
        <v>0</v>
      </c>
      <c r="AP560" s="52">
        <v>0</v>
      </c>
      <c r="AQ560" s="52">
        <v>0</v>
      </c>
      <c r="AR560" s="52">
        <v>0</v>
      </c>
      <c r="AS560" s="52">
        <f t="shared" si="80"/>
        <v>0</v>
      </c>
      <c r="AT560" s="53" t="s">
        <v>74</v>
      </c>
      <c r="AU560" s="52">
        <v>0</v>
      </c>
      <c r="AV560" s="52"/>
      <c r="AW560" s="52">
        <v>0</v>
      </c>
      <c r="AX560" s="68">
        <v>1612247.54</v>
      </c>
      <c r="AY560" s="68"/>
      <c r="AZ560" s="52">
        <v>0</v>
      </c>
      <c r="BA560" s="52">
        <f t="shared" si="81"/>
        <v>1612247.54</v>
      </c>
      <c r="BB560" s="54" t="s">
        <v>74</v>
      </c>
      <c r="BC560" s="53" t="s">
        <v>74</v>
      </c>
      <c r="BD560" s="55" t="s">
        <v>74</v>
      </c>
      <c r="BE560" s="51" t="s">
        <v>688</v>
      </c>
      <c r="BF560" s="55" t="s">
        <v>74</v>
      </c>
      <c r="BG560" s="55" t="s">
        <v>74</v>
      </c>
      <c r="BH560" s="52">
        <f t="shared" si="82"/>
        <v>1612247.54</v>
      </c>
      <c r="BI560" s="52">
        <f t="shared" si="83"/>
        <v>6666017.5540000005</v>
      </c>
      <c r="BJ560" s="52">
        <f>Y560-AG560+AX560</f>
        <v>6666017.5540000005</v>
      </c>
      <c r="BK560" s="56">
        <v>44348</v>
      </c>
      <c r="BL560" s="63">
        <f>4856976.7+196793.31+1612247.54</f>
        <v>6666017.5499999998</v>
      </c>
      <c r="BM560" s="47">
        <v>0</v>
      </c>
      <c r="BN560" s="9"/>
      <c r="BO560" s="9"/>
      <c r="BP560" s="9"/>
      <c r="BQ560" s="9"/>
      <c r="BR560" s="9"/>
      <c r="BS560" s="9"/>
      <c r="BT560" s="9"/>
      <c r="BU560" s="9"/>
      <c r="BV560" s="9"/>
      <c r="BW560" s="9"/>
    </row>
    <row r="561" spans="1:75" ht="370.5" hidden="1" outlineLevel="2" x14ac:dyDescent="0.25">
      <c r="A561" s="43" t="s">
        <v>640</v>
      </c>
      <c r="B561" s="110" t="s">
        <v>641</v>
      </c>
      <c r="C561" s="45">
        <v>2021</v>
      </c>
      <c r="D561" s="46" t="s">
        <v>84</v>
      </c>
      <c r="E561" s="47"/>
      <c r="F561" s="47"/>
      <c r="G561" s="47"/>
      <c r="H561" s="47"/>
      <c r="I561" s="47"/>
      <c r="J561" s="47"/>
      <c r="K561" s="47"/>
      <c r="L561" s="47"/>
      <c r="M561" s="47"/>
      <c r="N561" s="47"/>
      <c r="O561" s="47"/>
      <c r="P561" s="47"/>
      <c r="Q561" s="47"/>
      <c r="R561" s="47"/>
      <c r="S561" s="47"/>
      <c r="T561" s="47"/>
      <c r="U561" s="47"/>
      <c r="V561" s="134"/>
      <c r="W561" s="47">
        <v>0</v>
      </c>
      <c r="X561" s="47">
        <v>0</v>
      </c>
      <c r="Y561" s="48">
        <f t="shared" si="78"/>
        <v>0</v>
      </c>
      <c r="Z561" s="65"/>
      <c r="AA561" s="61"/>
      <c r="AB561" s="50"/>
      <c r="AC561" s="50"/>
      <c r="AD561" s="62"/>
      <c r="AE561" s="50"/>
      <c r="AF561" s="50"/>
      <c r="AG561" s="49">
        <f t="shared" si="79"/>
        <v>0</v>
      </c>
      <c r="AH561" s="70" t="s">
        <v>74</v>
      </c>
      <c r="AI561" s="70" t="s">
        <v>74</v>
      </c>
      <c r="AJ561" s="70" t="s">
        <v>74</v>
      </c>
      <c r="AK561" s="70" t="s">
        <v>74</v>
      </c>
      <c r="AL561" s="70" t="s">
        <v>74</v>
      </c>
      <c r="AM561" s="70" t="s">
        <v>74</v>
      </c>
      <c r="AN561" s="52"/>
      <c r="AO561" s="52"/>
      <c r="AP561" s="52"/>
      <c r="AQ561" s="52"/>
      <c r="AR561" s="52"/>
      <c r="AS561" s="52">
        <f t="shared" si="80"/>
        <v>0</v>
      </c>
      <c r="AT561" s="70" t="s">
        <v>74</v>
      </c>
      <c r="AU561" s="52"/>
      <c r="AV561" s="52"/>
      <c r="AW561" s="52"/>
      <c r="AX561" s="68">
        <f>3761910.93+4406809.95</f>
        <v>8168720.8800000008</v>
      </c>
      <c r="AY561" s="68"/>
      <c r="AZ561" s="52"/>
      <c r="BA561" s="52">
        <f t="shared" si="81"/>
        <v>8168720.8800000008</v>
      </c>
      <c r="BB561" s="52" t="s">
        <v>74</v>
      </c>
      <c r="BC561" s="52" t="s">
        <v>74</v>
      </c>
      <c r="BD561" s="52" t="s">
        <v>74</v>
      </c>
      <c r="BE561" s="51" t="s">
        <v>689</v>
      </c>
      <c r="BF561" s="52" t="s">
        <v>74</v>
      </c>
      <c r="BG561" s="52"/>
      <c r="BH561" s="52">
        <f t="shared" si="82"/>
        <v>8168720.8800000008</v>
      </c>
      <c r="BI561" s="52">
        <f t="shared" si="83"/>
        <v>8168720.8800000008</v>
      </c>
      <c r="BJ561" s="52">
        <f>Y561-AG561+AX561</f>
        <v>8168720.8800000008</v>
      </c>
      <c r="BK561" s="56">
        <v>44378</v>
      </c>
      <c r="BL561" s="63">
        <f>3761910.93+4406809.95</f>
        <v>8168720.8800000008</v>
      </c>
      <c r="BM561" s="47">
        <v>0</v>
      </c>
      <c r="BN561" s="9"/>
      <c r="BO561" s="9"/>
      <c r="BP561" s="9"/>
      <c r="BQ561" s="9"/>
      <c r="BR561" s="9"/>
      <c r="BS561" s="9"/>
      <c r="BT561" s="9"/>
      <c r="BU561" s="9"/>
      <c r="BV561" s="9"/>
      <c r="BW561" s="9"/>
    </row>
    <row r="562" spans="1:75" ht="409.6" hidden="1" outlineLevel="2" x14ac:dyDescent="0.25">
      <c r="A562" s="43" t="s">
        <v>640</v>
      </c>
      <c r="B562" s="110" t="s">
        <v>641</v>
      </c>
      <c r="C562" s="45">
        <v>2021</v>
      </c>
      <c r="D562" s="46" t="s">
        <v>86</v>
      </c>
      <c r="E562" s="47"/>
      <c r="F562" s="47"/>
      <c r="G562" s="47"/>
      <c r="H562" s="47"/>
      <c r="I562" s="47"/>
      <c r="J562" s="47"/>
      <c r="K562" s="47"/>
      <c r="L562" s="47"/>
      <c r="M562" s="47"/>
      <c r="N562" s="47"/>
      <c r="O562" s="47"/>
      <c r="P562" s="47"/>
      <c r="Q562" s="47"/>
      <c r="R562" s="47"/>
      <c r="S562" s="47"/>
      <c r="T562" s="47"/>
      <c r="U562" s="47"/>
      <c r="V562" s="134"/>
      <c r="W562" s="47">
        <v>0</v>
      </c>
      <c r="X562" s="47">
        <v>0</v>
      </c>
      <c r="Y562" s="48">
        <f t="shared" si="78"/>
        <v>0</v>
      </c>
      <c r="Z562" s="65"/>
      <c r="AA562" s="61"/>
      <c r="AB562" s="50"/>
      <c r="AC562" s="50"/>
      <c r="AD562" s="62"/>
      <c r="AE562" s="50"/>
      <c r="AF562" s="50"/>
      <c r="AG562" s="49">
        <f t="shared" si="79"/>
        <v>0</v>
      </c>
      <c r="AH562" s="70" t="s">
        <v>74</v>
      </c>
      <c r="AI562" s="70" t="s">
        <v>74</v>
      </c>
      <c r="AJ562" s="70" t="s">
        <v>74</v>
      </c>
      <c r="AK562" s="70" t="s">
        <v>74</v>
      </c>
      <c r="AL562" s="70" t="s">
        <v>74</v>
      </c>
      <c r="AM562" s="70" t="s">
        <v>74</v>
      </c>
      <c r="AN562" s="52"/>
      <c r="AO562" s="52"/>
      <c r="AP562" s="52"/>
      <c r="AQ562" s="52"/>
      <c r="AR562" s="52"/>
      <c r="AS562" s="52">
        <f t="shared" si="80"/>
        <v>0</v>
      </c>
      <c r="AT562" s="70" t="s">
        <v>74</v>
      </c>
      <c r="AU562" s="52"/>
      <c r="AV562" s="52"/>
      <c r="AW562" s="52"/>
      <c r="AX562" s="68">
        <f>2687079.23+4568034.7+913606.96</f>
        <v>8168720.8899999997</v>
      </c>
      <c r="AY562" s="68"/>
      <c r="AZ562" s="52"/>
      <c r="BA562" s="52">
        <f t="shared" si="81"/>
        <v>8168720.8899999997</v>
      </c>
      <c r="BB562" s="52" t="s">
        <v>74</v>
      </c>
      <c r="BC562" s="52" t="s">
        <v>74</v>
      </c>
      <c r="BD562" s="52" t="s">
        <v>74</v>
      </c>
      <c r="BE562" s="51" t="s">
        <v>690</v>
      </c>
      <c r="BF562" s="52" t="s">
        <v>74</v>
      </c>
      <c r="BG562" s="52"/>
      <c r="BH562" s="52">
        <f t="shared" si="82"/>
        <v>8168720.8899999997</v>
      </c>
      <c r="BI562" s="52">
        <f t="shared" si="83"/>
        <v>8168720.8899999997</v>
      </c>
      <c r="BJ562" s="52">
        <f>Y562-AG562+AX562</f>
        <v>8168720.8899999997</v>
      </c>
      <c r="BK562" s="56">
        <v>44410</v>
      </c>
      <c r="BL562" s="63">
        <f>2687079.23+4568034.7+913606.96</f>
        <v>8168720.8899999997</v>
      </c>
      <c r="BM562" s="47">
        <v>0</v>
      </c>
      <c r="BN562" s="9"/>
      <c r="BO562" s="9"/>
      <c r="BP562" s="9"/>
      <c r="BQ562" s="9"/>
      <c r="BR562" s="9"/>
      <c r="BS562" s="9"/>
      <c r="BT562" s="9"/>
      <c r="BU562" s="9"/>
      <c r="BV562" s="9"/>
      <c r="BW562" s="9"/>
    </row>
    <row r="563" spans="1:75" ht="153.75" hidden="1" outlineLevel="2" x14ac:dyDescent="0.25">
      <c r="A563" s="43"/>
      <c r="B563" s="110" t="s">
        <v>641</v>
      </c>
      <c r="C563" s="45">
        <v>2021</v>
      </c>
      <c r="D563" s="46" t="s">
        <v>88</v>
      </c>
      <c r="E563" s="47"/>
      <c r="F563" s="47"/>
      <c r="G563" s="47"/>
      <c r="H563" s="47"/>
      <c r="I563" s="47"/>
      <c r="J563" s="47"/>
      <c r="K563" s="47"/>
      <c r="L563" s="47"/>
      <c r="M563" s="47"/>
      <c r="N563" s="47"/>
      <c r="O563" s="47"/>
      <c r="P563" s="47"/>
      <c r="Q563" s="47"/>
      <c r="R563" s="47"/>
      <c r="S563" s="47"/>
      <c r="T563" s="47"/>
      <c r="U563" s="47"/>
      <c r="V563" s="134"/>
      <c r="W563" s="47"/>
      <c r="X563" s="47"/>
      <c r="Y563" s="48"/>
      <c r="Z563" s="181"/>
      <c r="AA563" s="61"/>
      <c r="AB563" s="50"/>
      <c r="AC563" s="50"/>
      <c r="AD563" s="62"/>
      <c r="AE563" s="50"/>
      <c r="AF563" s="50"/>
      <c r="AG563" s="49"/>
      <c r="AH563" s="70" t="s">
        <v>74</v>
      </c>
      <c r="AI563" s="70" t="s">
        <v>74</v>
      </c>
      <c r="AJ563" s="70" t="s">
        <v>74</v>
      </c>
      <c r="AK563" s="70" t="s">
        <v>74</v>
      </c>
      <c r="AL563" s="70" t="s">
        <v>74</v>
      </c>
      <c r="AM563" s="70" t="s">
        <v>74</v>
      </c>
      <c r="AN563" s="52"/>
      <c r="AO563" s="52"/>
      <c r="AP563" s="52"/>
      <c r="AQ563" s="52"/>
      <c r="AR563" s="52"/>
      <c r="AS563" s="52"/>
      <c r="AT563" s="70" t="s">
        <v>74</v>
      </c>
      <c r="AU563" s="52"/>
      <c r="AV563" s="52"/>
      <c r="AW563" s="52"/>
      <c r="AX563" s="68">
        <v>4084360.45</v>
      </c>
      <c r="AY563" s="68"/>
      <c r="AZ563" s="52"/>
      <c r="BA563" s="52">
        <f t="shared" si="81"/>
        <v>4084360.45</v>
      </c>
      <c r="BB563" s="52" t="s">
        <v>74</v>
      </c>
      <c r="BC563" s="52" t="s">
        <v>74</v>
      </c>
      <c r="BD563" s="52" t="s">
        <v>74</v>
      </c>
      <c r="BE563" s="51" t="s">
        <v>691</v>
      </c>
      <c r="BF563" s="52" t="s">
        <v>74</v>
      </c>
      <c r="BG563" s="52"/>
      <c r="BH563" s="52">
        <f t="shared" si="82"/>
        <v>4084360.45</v>
      </c>
      <c r="BI563" s="52">
        <f t="shared" si="83"/>
        <v>4084360.45</v>
      </c>
      <c r="BJ563" s="52">
        <f>Y563-AG563+AX563</f>
        <v>4084360.45</v>
      </c>
      <c r="BK563" s="56"/>
      <c r="BL563" s="63">
        <v>4084360.45</v>
      </c>
      <c r="BM563" s="47">
        <v>0</v>
      </c>
      <c r="BN563" s="9"/>
      <c r="BO563" s="9"/>
      <c r="BP563" s="9"/>
      <c r="BQ563" s="9"/>
      <c r="BR563" s="9"/>
      <c r="BS563" s="9"/>
      <c r="BT563" s="9"/>
      <c r="BU563" s="9"/>
      <c r="BV563" s="9"/>
      <c r="BW563" s="9"/>
    </row>
    <row r="564" spans="1:75" hidden="1" outlineLevel="2" x14ac:dyDescent="0.25">
      <c r="A564" s="71"/>
      <c r="B564" s="116" t="s">
        <v>641</v>
      </c>
      <c r="C564" s="73">
        <v>2021</v>
      </c>
      <c r="D564" s="74" t="s">
        <v>89</v>
      </c>
      <c r="E564" s="75"/>
      <c r="F564" s="75"/>
      <c r="G564" s="75"/>
      <c r="H564" s="75"/>
      <c r="I564" s="75"/>
      <c r="J564" s="75"/>
      <c r="K564" s="75"/>
      <c r="L564" s="75"/>
      <c r="M564" s="75"/>
      <c r="N564" s="75"/>
      <c r="O564" s="75"/>
      <c r="P564" s="75"/>
      <c r="Q564" s="75"/>
      <c r="R564" s="75"/>
      <c r="S564" s="75"/>
      <c r="T564" s="75"/>
      <c r="U564" s="75"/>
      <c r="V564" s="139"/>
      <c r="W564" s="75"/>
      <c r="X564" s="75"/>
      <c r="Y564" s="76"/>
      <c r="Z564" s="182"/>
      <c r="AA564" s="152"/>
      <c r="AB564" s="79"/>
      <c r="AC564" s="79"/>
      <c r="AD564" s="78"/>
      <c r="AE564" s="79"/>
      <c r="AF564" s="79"/>
      <c r="AG564" s="80"/>
      <c r="AH564" s="81" t="s">
        <v>74</v>
      </c>
      <c r="AI564" s="81" t="s">
        <v>74</v>
      </c>
      <c r="AJ564" s="81" t="s">
        <v>74</v>
      </c>
      <c r="AK564" s="81" t="s">
        <v>74</v>
      </c>
      <c r="AL564" s="81" t="s">
        <v>74</v>
      </c>
      <c r="AM564" s="81" t="s">
        <v>74</v>
      </c>
      <c r="AN564" s="82"/>
      <c r="AO564" s="82"/>
      <c r="AP564" s="82"/>
      <c r="AQ564" s="82"/>
      <c r="AR564" s="82"/>
      <c r="AS564" s="82"/>
      <c r="AT564" s="81" t="s">
        <v>74</v>
      </c>
      <c r="AU564" s="82"/>
      <c r="AV564" s="82"/>
      <c r="AW564" s="82"/>
      <c r="AX564" s="119"/>
      <c r="AY564" s="119"/>
      <c r="AZ564" s="82"/>
      <c r="BA564" s="82"/>
      <c r="BB564" s="82" t="s">
        <v>74</v>
      </c>
      <c r="BC564" s="82" t="s">
        <v>74</v>
      </c>
      <c r="BD564" s="82" t="s">
        <v>74</v>
      </c>
      <c r="BE564" s="82" t="s">
        <v>74</v>
      </c>
      <c r="BF564" s="82" t="s">
        <v>74</v>
      </c>
      <c r="BG564" s="82"/>
      <c r="BH564" s="82"/>
      <c r="BI564" s="82"/>
      <c r="BJ564" s="52"/>
      <c r="BK564" s="56"/>
      <c r="BL564" s="83"/>
      <c r="BM564" s="75">
        <v>0</v>
      </c>
      <c r="BN564" s="9"/>
      <c r="BO564" s="9"/>
      <c r="BP564" s="9"/>
      <c r="BQ564" s="9"/>
      <c r="BR564" s="9"/>
      <c r="BS564" s="9"/>
      <c r="BT564" s="9"/>
      <c r="BU564" s="9"/>
      <c r="BV564" s="9"/>
      <c r="BW564" s="9"/>
    </row>
    <row r="565" spans="1:75" hidden="1" outlineLevel="1" collapsed="1" x14ac:dyDescent="0.25">
      <c r="A565" s="84"/>
      <c r="B565" s="120" t="s">
        <v>692</v>
      </c>
      <c r="C565" s="86"/>
      <c r="D565" s="87"/>
      <c r="E565" s="88"/>
      <c r="F565" s="88"/>
      <c r="G565" s="88"/>
      <c r="H565" s="88"/>
      <c r="I565" s="88"/>
      <c r="J565" s="88"/>
      <c r="K565" s="88"/>
      <c r="L565" s="88"/>
      <c r="M565" s="88"/>
      <c r="N565" s="88"/>
      <c r="O565" s="88"/>
      <c r="P565" s="88"/>
      <c r="Q565" s="88"/>
      <c r="R565" s="88"/>
      <c r="S565" s="88"/>
      <c r="T565" s="88"/>
      <c r="U565" s="88"/>
      <c r="V565" s="95"/>
      <c r="W565" s="88"/>
      <c r="X565" s="88"/>
      <c r="Y565" s="89">
        <f t="shared" ref="Y565:AG565" si="84">SUBTOTAL(9,Y507:Y564)</f>
        <v>0</v>
      </c>
      <c r="Z565" s="155">
        <f t="shared" si="84"/>
        <v>0</v>
      </c>
      <c r="AA565" s="155">
        <f t="shared" si="84"/>
        <v>0</v>
      </c>
      <c r="AB565" s="89">
        <f t="shared" si="84"/>
        <v>0</v>
      </c>
      <c r="AC565" s="89">
        <f t="shared" si="84"/>
        <v>0</v>
      </c>
      <c r="AD565" s="90">
        <f t="shared" si="84"/>
        <v>0</v>
      </c>
      <c r="AE565" s="89">
        <f t="shared" si="84"/>
        <v>0</v>
      </c>
      <c r="AF565" s="89">
        <f t="shared" si="84"/>
        <v>0</v>
      </c>
      <c r="AG565" s="89">
        <f t="shared" si="84"/>
        <v>0</v>
      </c>
      <c r="AH565" s="91"/>
      <c r="AI565" s="91"/>
      <c r="AJ565" s="91"/>
      <c r="AK565" s="91"/>
      <c r="AL565" s="91"/>
      <c r="AM565" s="91"/>
      <c r="AN565" s="92">
        <f t="shared" ref="AN565:AS565" si="85">SUBTOTAL(9,AN507:AN564)</f>
        <v>0</v>
      </c>
      <c r="AO565" s="92">
        <f t="shared" si="85"/>
        <v>0</v>
      </c>
      <c r="AP565" s="92">
        <f t="shared" si="85"/>
        <v>0</v>
      </c>
      <c r="AQ565" s="92">
        <f t="shared" si="85"/>
        <v>0</v>
      </c>
      <c r="AR565" s="92">
        <f t="shared" si="85"/>
        <v>0</v>
      </c>
      <c r="AS565" s="92">
        <f t="shared" si="85"/>
        <v>0</v>
      </c>
      <c r="AT565" s="91"/>
      <c r="AU565" s="92">
        <f t="shared" ref="AU565:BA565" si="86">SUBTOTAL(9,AU507:AU564)</f>
        <v>0</v>
      </c>
      <c r="AV565" s="92">
        <f t="shared" si="86"/>
        <v>0</v>
      </c>
      <c r="AW565" s="92">
        <f t="shared" si="86"/>
        <v>0</v>
      </c>
      <c r="AX565" s="122">
        <f t="shared" si="86"/>
        <v>0</v>
      </c>
      <c r="AY565" s="122">
        <f t="shared" si="86"/>
        <v>0</v>
      </c>
      <c r="AZ565" s="92">
        <f t="shared" si="86"/>
        <v>0</v>
      </c>
      <c r="BA565" s="92">
        <f t="shared" si="86"/>
        <v>0</v>
      </c>
      <c r="BB565" s="92"/>
      <c r="BC565" s="92"/>
      <c r="BD565" s="92"/>
      <c r="BE565" s="92"/>
      <c r="BF565" s="92"/>
      <c r="BG565" s="92"/>
      <c r="BH565" s="92">
        <f>SUBTOTAL(9,BH507:BH564)</f>
        <v>0</v>
      </c>
      <c r="BI565" s="92">
        <f>SUBTOTAL(9,BI507:BI564)</f>
        <v>0</v>
      </c>
      <c r="BJ565" s="93"/>
      <c r="BK565" s="94"/>
      <c r="BL565" s="95">
        <f>SUBTOTAL(9,BL507:BL564)</f>
        <v>0</v>
      </c>
      <c r="BM565" s="88">
        <f>SUBTOTAL(9,BM507:BM564)</f>
        <v>0</v>
      </c>
      <c r="BN565" s="9"/>
      <c r="BO565" s="9"/>
      <c r="BP565" s="9"/>
      <c r="BQ565" s="9"/>
      <c r="BR565" s="9"/>
      <c r="BS565" s="9"/>
      <c r="BT565" s="9"/>
      <c r="BU565" s="9"/>
      <c r="BV565" s="9"/>
      <c r="BW565" s="9"/>
    </row>
    <row r="566" spans="1:75" ht="26.25" hidden="1" outlineLevel="2" x14ac:dyDescent="0.25">
      <c r="A566" s="96" t="s">
        <v>640</v>
      </c>
      <c r="B566" s="183" t="s">
        <v>693</v>
      </c>
      <c r="C566" s="98">
        <v>2017</v>
      </c>
      <c r="D566" s="97" t="s">
        <v>73</v>
      </c>
      <c r="E566" s="100">
        <v>0</v>
      </c>
      <c r="F566" s="100">
        <v>0</v>
      </c>
      <c r="G566" s="100">
        <v>0</v>
      </c>
      <c r="H566" s="100">
        <v>0</v>
      </c>
      <c r="I566" s="100">
        <v>0</v>
      </c>
      <c r="J566" s="100">
        <v>0</v>
      </c>
      <c r="K566" s="100">
        <v>0</v>
      </c>
      <c r="L566" s="100">
        <v>0</v>
      </c>
      <c r="M566" s="100">
        <v>0</v>
      </c>
      <c r="N566" s="100">
        <v>1769500</v>
      </c>
      <c r="O566" s="100">
        <v>0</v>
      </c>
      <c r="P566" s="100">
        <v>0</v>
      </c>
      <c r="Q566" s="100">
        <v>0</v>
      </c>
      <c r="R566" s="100">
        <v>0</v>
      </c>
      <c r="S566" s="100">
        <v>0</v>
      </c>
      <c r="T566" s="100">
        <v>0</v>
      </c>
      <c r="U566" s="100">
        <v>0</v>
      </c>
      <c r="V566" s="100">
        <v>0</v>
      </c>
      <c r="W566" s="100">
        <v>0</v>
      </c>
      <c r="X566" s="100">
        <v>0</v>
      </c>
      <c r="Y566" s="179">
        <v>1769500</v>
      </c>
      <c r="Z566" s="133">
        <v>161212.35</v>
      </c>
      <c r="AA566" s="103">
        <v>161212.35</v>
      </c>
      <c r="AB566" s="103">
        <v>0</v>
      </c>
      <c r="AC566" s="103">
        <v>0</v>
      </c>
      <c r="AD566" s="103">
        <v>0</v>
      </c>
      <c r="AE566" s="103">
        <v>0</v>
      </c>
      <c r="AF566" s="103">
        <v>0</v>
      </c>
      <c r="AG566" s="102">
        <v>161212.35</v>
      </c>
      <c r="AH566" s="104" t="s">
        <v>104</v>
      </c>
      <c r="AI566" s="104" t="s">
        <v>74</v>
      </c>
      <c r="AJ566" s="104" t="s">
        <v>74</v>
      </c>
      <c r="AK566" s="104" t="s">
        <v>74</v>
      </c>
      <c r="AL566" s="104" t="s">
        <v>74</v>
      </c>
      <c r="AM566" s="104" t="s">
        <v>74</v>
      </c>
      <c r="AN566" s="105">
        <v>0</v>
      </c>
      <c r="AO566" s="105">
        <v>0</v>
      </c>
      <c r="AP566" s="105">
        <v>0</v>
      </c>
      <c r="AQ566" s="105">
        <v>0</v>
      </c>
      <c r="AR566" s="105">
        <v>0</v>
      </c>
      <c r="AS566" s="105">
        <v>0</v>
      </c>
      <c r="AT566" s="106" t="s">
        <v>74</v>
      </c>
      <c r="AU566" s="105">
        <v>0</v>
      </c>
      <c r="AV566" s="105"/>
      <c r="AW566" s="105">
        <v>0</v>
      </c>
      <c r="AX566" s="105"/>
      <c r="AY566" s="105"/>
      <c r="AZ566" s="105">
        <v>0</v>
      </c>
      <c r="BA566" s="105">
        <v>0</v>
      </c>
      <c r="BB566" s="107" t="s">
        <v>74</v>
      </c>
      <c r="BC566" s="106" t="s">
        <v>74</v>
      </c>
      <c r="BD566" s="108" t="s">
        <v>74</v>
      </c>
      <c r="BE566" s="108" t="s">
        <v>74</v>
      </c>
      <c r="BF566" s="108" t="s">
        <v>74</v>
      </c>
      <c r="BG566" s="108" t="s">
        <v>74</v>
      </c>
      <c r="BH566" s="105">
        <v>0</v>
      </c>
      <c r="BI566" s="105">
        <v>1608287.65</v>
      </c>
      <c r="BJ566" s="52">
        <v>1608287.65</v>
      </c>
      <c r="BK566" s="56">
        <v>42736</v>
      </c>
      <c r="BL566" s="109">
        <v>1608287.65</v>
      </c>
      <c r="BM566" s="100">
        <v>0</v>
      </c>
      <c r="BN566" s="9"/>
      <c r="BO566" s="9"/>
      <c r="BP566" s="9"/>
      <c r="BQ566" s="9"/>
      <c r="BR566" s="9"/>
      <c r="BS566" s="9"/>
      <c r="BT566" s="9"/>
      <c r="BU566" s="9"/>
      <c r="BV566" s="9"/>
      <c r="BW566" s="9"/>
    </row>
    <row r="567" spans="1:75" ht="39" hidden="1" outlineLevel="2" x14ac:dyDescent="0.25">
      <c r="A567" s="43" t="s">
        <v>640</v>
      </c>
      <c r="B567" s="184" t="s">
        <v>693</v>
      </c>
      <c r="C567" s="45">
        <v>2017</v>
      </c>
      <c r="D567" s="110" t="s">
        <v>75</v>
      </c>
      <c r="E567" s="47">
        <v>0</v>
      </c>
      <c r="F567" s="47">
        <v>0</v>
      </c>
      <c r="G567" s="47">
        <v>0</v>
      </c>
      <c r="H567" s="47">
        <v>0</v>
      </c>
      <c r="I567" s="47">
        <v>0</v>
      </c>
      <c r="J567" s="47">
        <v>0</v>
      </c>
      <c r="K567" s="47">
        <v>0</v>
      </c>
      <c r="L567" s="47">
        <v>0</v>
      </c>
      <c r="M567" s="47">
        <v>0</v>
      </c>
      <c r="N567" s="47">
        <v>1769500</v>
      </c>
      <c r="O567" s="47">
        <v>0</v>
      </c>
      <c r="P567" s="47">
        <v>0</v>
      </c>
      <c r="Q567" s="47">
        <v>0</v>
      </c>
      <c r="R567" s="47">
        <v>0</v>
      </c>
      <c r="S567" s="47">
        <v>0</v>
      </c>
      <c r="T567" s="47">
        <v>0</v>
      </c>
      <c r="U567" s="47">
        <v>0</v>
      </c>
      <c r="V567" s="47">
        <v>0</v>
      </c>
      <c r="W567" s="47">
        <v>0</v>
      </c>
      <c r="X567" s="47">
        <v>0</v>
      </c>
      <c r="Y567" s="180">
        <v>1769500</v>
      </c>
      <c r="Z567" s="58">
        <v>133647.42000000001</v>
      </c>
      <c r="AA567" s="50">
        <v>133647.42000000001</v>
      </c>
      <c r="AB567" s="50">
        <v>0</v>
      </c>
      <c r="AC567" s="50">
        <v>1690.32</v>
      </c>
      <c r="AD567" s="50">
        <v>0</v>
      </c>
      <c r="AE567" s="50">
        <v>0</v>
      </c>
      <c r="AF567" s="50">
        <v>0</v>
      </c>
      <c r="AG567" s="49">
        <v>135337.74</v>
      </c>
      <c r="AH567" s="51" t="s">
        <v>104</v>
      </c>
      <c r="AI567" s="51" t="s">
        <v>74</v>
      </c>
      <c r="AJ567" s="51" t="s">
        <v>694</v>
      </c>
      <c r="AK567" s="51" t="s">
        <v>74</v>
      </c>
      <c r="AL567" s="51" t="s">
        <v>74</v>
      </c>
      <c r="AM567" s="51" t="s">
        <v>74</v>
      </c>
      <c r="AN567" s="52">
        <v>0</v>
      </c>
      <c r="AO567" s="52">
        <v>0</v>
      </c>
      <c r="AP567" s="52">
        <v>0</v>
      </c>
      <c r="AQ567" s="52">
        <v>0</v>
      </c>
      <c r="AR567" s="52">
        <v>0</v>
      </c>
      <c r="AS567" s="52">
        <v>0</v>
      </c>
      <c r="AT567" s="53" t="s">
        <v>74</v>
      </c>
      <c r="AU567" s="52">
        <v>0</v>
      </c>
      <c r="AV567" s="52"/>
      <c r="AW567" s="52">
        <v>0</v>
      </c>
      <c r="AX567" s="52"/>
      <c r="AY567" s="52"/>
      <c r="AZ567" s="52">
        <v>0</v>
      </c>
      <c r="BA567" s="52">
        <v>0</v>
      </c>
      <c r="BB567" s="54" t="s">
        <v>74</v>
      </c>
      <c r="BC567" s="53" t="s">
        <v>74</v>
      </c>
      <c r="BD567" s="55" t="s">
        <v>74</v>
      </c>
      <c r="BE567" s="55" t="s">
        <v>74</v>
      </c>
      <c r="BF567" s="55" t="s">
        <v>74</v>
      </c>
      <c r="BG567" s="55" t="s">
        <v>74</v>
      </c>
      <c r="BH567" s="52">
        <v>0</v>
      </c>
      <c r="BI567" s="52">
        <v>1634162.26</v>
      </c>
      <c r="BJ567" s="52">
        <v>1634162.26</v>
      </c>
      <c r="BK567" s="56">
        <v>42767</v>
      </c>
      <c r="BL567" s="57">
        <v>1634162.26</v>
      </c>
      <c r="BM567" s="47">
        <v>0</v>
      </c>
      <c r="BN567" s="9"/>
      <c r="BO567" s="9"/>
      <c r="BP567" s="9"/>
      <c r="BQ567" s="9"/>
      <c r="BR567" s="9"/>
      <c r="BS567" s="9"/>
      <c r="BT567" s="9"/>
      <c r="BU567" s="9"/>
      <c r="BV567" s="9"/>
      <c r="BW567" s="9"/>
    </row>
    <row r="568" spans="1:75" ht="26.25" hidden="1" outlineLevel="2" x14ac:dyDescent="0.25">
      <c r="A568" s="43" t="s">
        <v>640</v>
      </c>
      <c r="B568" s="184" t="s">
        <v>693</v>
      </c>
      <c r="C568" s="45">
        <v>2017</v>
      </c>
      <c r="D568" s="110" t="s">
        <v>77</v>
      </c>
      <c r="E568" s="47">
        <v>0</v>
      </c>
      <c r="F568" s="47">
        <v>0</v>
      </c>
      <c r="G568" s="47">
        <v>0</v>
      </c>
      <c r="H568" s="47">
        <v>0</v>
      </c>
      <c r="I568" s="47">
        <v>0</v>
      </c>
      <c r="J568" s="47">
        <v>0</v>
      </c>
      <c r="K568" s="47">
        <v>0</v>
      </c>
      <c r="L568" s="47">
        <v>0</v>
      </c>
      <c r="M568" s="47">
        <v>0</v>
      </c>
      <c r="N568" s="47">
        <v>1769500</v>
      </c>
      <c r="O568" s="47">
        <v>0</v>
      </c>
      <c r="P568" s="47">
        <v>0</v>
      </c>
      <c r="Q568" s="47">
        <v>0</v>
      </c>
      <c r="R568" s="47">
        <v>0</v>
      </c>
      <c r="S568" s="47">
        <v>0</v>
      </c>
      <c r="T568" s="47">
        <v>0</v>
      </c>
      <c r="U568" s="47">
        <v>0</v>
      </c>
      <c r="V568" s="47">
        <v>0</v>
      </c>
      <c r="W568" s="47">
        <v>0</v>
      </c>
      <c r="X568" s="47">
        <v>0</v>
      </c>
      <c r="Y568" s="180">
        <v>1769500</v>
      </c>
      <c r="Z568" s="58">
        <v>135685.96</v>
      </c>
      <c r="AA568" s="50">
        <v>135685.96</v>
      </c>
      <c r="AB568" s="50">
        <v>0</v>
      </c>
      <c r="AC568" s="50">
        <v>1036.1500000000001</v>
      </c>
      <c r="AD568" s="50">
        <v>0</v>
      </c>
      <c r="AE568" s="50">
        <v>0</v>
      </c>
      <c r="AF568" s="50">
        <v>0</v>
      </c>
      <c r="AG568" s="49">
        <v>136722.10999999999</v>
      </c>
      <c r="AH568" s="51" t="s">
        <v>104</v>
      </c>
      <c r="AI568" s="51" t="s">
        <v>74</v>
      </c>
      <c r="AJ568" s="51" t="s">
        <v>601</v>
      </c>
      <c r="AK568" s="51" t="s">
        <v>74</v>
      </c>
      <c r="AL568" s="51" t="s">
        <v>74</v>
      </c>
      <c r="AM568" s="51" t="s">
        <v>74</v>
      </c>
      <c r="AN568" s="52">
        <v>0</v>
      </c>
      <c r="AO568" s="52">
        <v>0</v>
      </c>
      <c r="AP568" s="52">
        <v>0</v>
      </c>
      <c r="AQ568" s="52">
        <v>0</v>
      </c>
      <c r="AR568" s="52">
        <v>0</v>
      </c>
      <c r="AS568" s="52">
        <v>0</v>
      </c>
      <c r="AT568" s="53" t="s">
        <v>74</v>
      </c>
      <c r="AU568" s="52">
        <v>0</v>
      </c>
      <c r="AV568" s="52"/>
      <c r="AW568" s="52">
        <v>0</v>
      </c>
      <c r="AX568" s="52"/>
      <c r="AY568" s="52"/>
      <c r="AZ568" s="52">
        <v>0</v>
      </c>
      <c r="BA568" s="52">
        <v>0</v>
      </c>
      <c r="BB568" s="54" t="s">
        <v>74</v>
      </c>
      <c r="BC568" s="53" t="s">
        <v>74</v>
      </c>
      <c r="BD568" s="55" t="s">
        <v>74</v>
      </c>
      <c r="BE568" s="55" t="s">
        <v>74</v>
      </c>
      <c r="BF568" s="55" t="s">
        <v>74</v>
      </c>
      <c r="BG568" s="55" t="s">
        <v>74</v>
      </c>
      <c r="BH568" s="52">
        <v>0</v>
      </c>
      <c r="BI568" s="52">
        <v>1632777.89</v>
      </c>
      <c r="BJ568" s="52">
        <v>1632777.89</v>
      </c>
      <c r="BK568" s="56">
        <v>42795</v>
      </c>
      <c r="BL568" s="57">
        <v>1632777.89</v>
      </c>
      <c r="BM568" s="47">
        <v>0</v>
      </c>
      <c r="BN568" s="9"/>
      <c r="BO568" s="9"/>
      <c r="BP568" s="9"/>
      <c r="BQ568" s="9"/>
      <c r="BR568" s="9"/>
      <c r="BS568" s="9"/>
      <c r="BT568" s="9"/>
      <c r="BU568" s="9"/>
      <c r="BV568" s="9"/>
      <c r="BW568" s="9"/>
    </row>
    <row r="569" spans="1:75" ht="26.25" hidden="1" outlineLevel="2" x14ac:dyDescent="0.25">
      <c r="A569" s="43" t="s">
        <v>640</v>
      </c>
      <c r="B569" s="184" t="s">
        <v>693</v>
      </c>
      <c r="C569" s="45">
        <v>2017</v>
      </c>
      <c r="D569" s="110" t="s">
        <v>79</v>
      </c>
      <c r="E569" s="47">
        <v>0</v>
      </c>
      <c r="F569" s="47">
        <v>0</v>
      </c>
      <c r="G569" s="47">
        <v>0</v>
      </c>
      <c r="H569" s="47">
        <v>0</v>
      </c>
      <c r="I569" s="47">
        <v>0</v>
      </c>
      <c r="J569" s="47">
        <v>0</v>
      </c>
      <c r="K569" s="47">
        <v>0</v>
      </c>
      <c r="L569" s="47">
        <v>0</v>
      </c>
      <c r="M569" s="47">
        <v>0</v>
      </c>
      <c r="N569" s="47">
        <v>1769500</v>
      </c>
      <c r="O569" s="47">
        <v>0</v>
      </c>
      <c r="P569" s="47">
        <v>0</v>
      </c>
      <c r="Q569" s="47">
        <v>0</v>
      </c>
      <c r="R569" s="47">
        <v>0</v>
      </c>
      <c r="S569" s="47">
        <v>0</v>
      </c>
      <c r="T569" s="47">
        <v>0</v>
      </c>
      <c r="U569" s="47">
        <v>0</v>
      </c>
      <c r="V569" s="47">
        <v>0</v>
      </c>
      <c r="W569" s="47">
        <v>0</v>
      </c>
      <c r="X569" s="47">
        <v>0</v>
      </c>
      <c r="Y569" s="180">
        <v>1769500</v>
      </c>
      <c r="Z569" s="58">
        <v>123389.1</v>
      </c>
      <c r="AA569" s="50">
        <v>123389.1</v>
      </c>
      <c r="AB569" s="50">
        <v>0</v>
      </c>
      <c r="AC569" s="50">
        <v>1083.43</v>
      </c>
      <c r="AD569" s="50">
        <v>0</v>
      </c>
      <c r="AE569" s="50">
        <v>0</v>
      </c>
      <c r="AF569" s="50">
        <v>0</v>
      </c>
      <c r="AG569" s="49">
        <v>124472.53</v>
      </c>
      <c r="AH569" s="51" t="s">
        <v>104</v>
      </c>
      <c r="AI569" s="51" t="s">
        <v>74</v>
      </c>
      <c r="AJ569" s="51" t="s">
        <v>80</v>
      </c>
      <c r="AK569" s="51" t="s">
        <v>74</v>
      </c>
      <c r="AL569" s="51" t="s">
        <v>74</v>
      </c>
      <c r="AM569" s="51" t="s">
        <v>74</v>
      </c>
      <c r="AN569" s="52">
        <v>0</v>
      </c>
      <c r="AO569" s="52">
        <v>0</v>
      </c>
      <c r="AP569" s="52">
        <v>0</v>
      </c>
      <c r="AQ569" s="52">
        <v>0</v>
      </c>
      <c r="AR569" s="52">
        <v>0</v>
      </c>
      <c r="AS569" s="52">
        <v>0</v>
      </c>
      <c r="AT569" s="53" t="s">
        <v>74</v>
      </c>
      <c r="AU569" s="52">
        <v>0</v>
      </c>
      <c r="AV569" s="52"/>
      <c r="AW569" s="52">
        <v>0</v>
      </c>
      <c r="AX569" s="52"/>
      <c r="AY569" s="52"/>
      <c r="AZ569" s="52">
        <v>0</v>
      </c>
      <c r="BA569" s="52">
        <v>0</v>
      </c>
      <c r="BB569" s="54" t="s">
        <v>74</v>
      </c>
      <c r="BC569" s="53" t="s">
        <v>74</v>
      </c>
      <c r="BD569" s="55" t="s">
        <v>74</v>
      </c>
      <c r="BE569" s="55" t="s">
        <v>74</v>
      </c>
      <c r="BF569" s="55" t="s">
        <v>74</v>
      </c>
      <c r="BG569" s="55" t="s">
        <v>74</v>
      </c>
      <c r="BH569" s="52">
        <v>0</v>
      </c>
      <c r="BI569" s="52">
        <v>1645027.47</v>
      </c>
      <c r="BJ569" s="52">
        <v>1645027.47</v>
      </c>
      <c r="BK569" s="56">
        <v>42826</v>
      </c>
      <c r="BL569" s="57">
        <v>1645027.47</v>
      </c>
      <c r="BM569" s="47">
        <v>0</v>
      </c>
      <c r="BN569" s="9"/>
      <c r="BO569" s="9"/>
      <c r="BP569" s="9"/>
      <c r="BQ569" s="9"/>
      <c r="BR569" s="9"/>
      <c r="BS569" s="9"/>
      <c r="BT569" s="9"/>
      <c r="BU569" s="9"/>
      <c r="BV569" s="9"/>
      <c r="BW569" s="9"/>
    </row>
    <row r="570" spans="1:75" ht="26.25" hidden="1" outlineLevel="2" x14ac:dyDescent="0.25">
      <c r="A570" s="43" t="s">
        <v>640</v>
      </c>
      <c r="B570" s="184" t="s">
        <v>693</v>
      </c>
      <c r="C570" s="45">
        <v>2017</v>
      </c>
      <c r="D570" s="110" t="s">
        <v>81</v>
      </c>
      <c r="E570" s="47">
        <v>0</v>
      </c>
      <c r="F570" s="47">
        <v>0</v>
      </c>
      <c r="G570" s="47">
        <v>0</v>
      </c>
      <c r="H570" s="47">
        <v>0</v>
      </c>
      <c r="I570" s="47">
        <v>0</v>
      </c>
      <c r="J570" s="47">
        <v>0</v>
      </c>
      <c r="K570" s="47">
        <v>0</v>
      </c>
      <c r="L570" s="47">
        <v>0</v>
      </c>
      <c r="M570" s="47">
        <v>0</v>
      </c>
      <c r="N570" s="47">
        <v>1769500</v>
      </c>
      <c r="O570" s="47">
        <v>0</v>
      </c>
      <c r="P570" s="47">
        <v>0</v>
      </c>
      <c r="Q570" s="47">
        <v>0</v>
      </c>
      <c r="R570" s="47">
        <v>0</v>
      </c>
      <c r="S570" s="47">
        <v>0</v>
      </c>
      <c r="T570" s="47">
        <v>0</v>
      </c>
      <c r="U570" s="47">
        <v>0</v>
      </c>
      <c r="V570" s="47">
        <v>0</v>
      </c>
      <c r="W570" s="47">
        <v>0</v>
      </c>
      <c r="X570" s="47">
        <v>0</v>
      </c>
      <c r="Y570" s="180">
        <v>1769500</v>
      </c>
      <c r="Z570" s="58">
        <v>128425.16</v>
      </c>
      <c r="AA570" s="50">
        <v>128425.16</v>
      </c>
      <c r="AB570" s="50">
        <v>0</v>
      </c>
      <c r="AC570" s="50">
        <v>1212.6099999999999</v>
      </c>
      <c r="AD570" s="50">
        <v>0</v>
      </c>
      <c r="AE570" s="50">
        <v>0</v>
      </c>
      <c r="AF570" s="50">
        <v>0</v>
      </c>
      <c r="AG570" s="49">
        <v>129637.77</v>
      </c>
      <c r="AH570" s="51" t="s">
        <v>104</v>
      </c>
      <c r="AI570" s="51" t="s">
        <v>74</v>
      </c>
      <c r="AJ570" s="51" t="s">
        <v>82</v>
      </c>
      <c r="AK570" s="51" t="s">
        <v>74</v>
      </c>
      <c r="AL570" s="51" t="s">
        <v>74</v>
      </c>
      <c r="AM570" s="51" t="s">
        <v>74</v>
      </c>
      <c r="AN570" s="52">
        <v>0</v>
      </c>
      <c r="AO570" s="52">
        <v>0</v>
      </c>
      <c r="AP570" s="52">
        <v>0</v>
      </c>
      <c r="AQ570" s="52">
        <v>0</v>
      </c>
      <c r="AR570" s="52">
        <v>0</v>
      </c>
      <c r="AS570" s="52">
        <v>0</v>
      </c>
      <c r="AT570" s="53" t="s">
        <v>74</v>
      </c>
      <c r="AU570" s="52">
        <v>0</v>
      </c>
      <c r="AV570" s="52"/>
      <c r="AW570" s="52">
        <v>0</v>
      </c>
      <c r="AX570" s="52"/>
      <c r="AY570" s="52"/>
      <c r="AZ570" s="52">
        <v>0</v>
      </c>
      <c r="BA570" s="52">
        <v>0</v>
      </c>
      <c r="BB570" s="54" t="s">
        <v>74</v>
      </c>
      <c r="BC570" s="53" t="s">
        <v>74</v>
      </c>
      <c r="BD570" s="55" t="s">
        <v>74</v>
      </c>
      <c r="BE570" s="55" t="s">
        <v>74</v>
      </c>
      <c r="BF570" s="55" t="s">
        <v>74</v>
      </c>
      <c r="BG570" s="55" t="s">
        <v>74</v>
      </c>
      <c r="BH570" s="52">
        <v>0</v>
      </c>
      <c r="BI570" s="52">
        <v>1639862.23</v>
      </c>
      <c r="BJ570" s="52">
        <v>1639862.23</v>
      </c>
      <c r="BK570" s="56">
        <v>42856</v>
      </c>
      <c r="BL570" s="57">
        <v>1639862.23</v>
      </c>
      <c r="BM570" s="47">
        <v>0</v>
      </c>
      <c r="BN570" s="9"/>
      <c r="BO570" s="9"/>
      <c r="BP570" s="9"/>
      <c r="BQ570" s="9"/>
      <c r="BR570" s="9"/>
      <c r="BS570" s="9"/>
      <c r="BT570" s="9"/>
      <c r="BU570" s="9"/>
      <c r="BV570" s="9"/>
      <c r="BW570" s="9"/>
    </row>
    <row r="571" spans="1:75" ht="128.25" hidden="1" outlineLevel="2" x14ac:dyDescent="0.25">
      <c r="A571" s="43" t="s">
        <v>640</v>
      </c>
      <c r="B571" s="184" t="s">
        <v>693</v>
      </c>
      <c r="C571" s="45">
        <v>2017</v>
      </c>
      <c r="D571" s="110" t="s">
        <v>83</v>
      </c>
      <c r="E571" s="47">
        <v>0</v>
      </c>
      <c r="F571" s="47">
        <v>0</v>
      </c>
      <c r="G571" s="47">
        <v>0</v>
      </c>
      <c r="H571" s="47">
        <v>0</v>
      </c>
      <c r="I571" s="47">
        <v>0</v>
      </c>
      <c r="J571" s="47">
        <v>0</v>
      </c>
      <c r="K571" s="47">
        <v>0</v>
      </c>
      <c r="L571" s="47">
        <v>0</v>
      </c>
      <c r="M571" s="47">
        <v>0</v>
      </c>
      <c r="N571" s="47">
        <v>1592550</v>
      </c>
      <c r="O571" s="47">
        <v>179157.28</v>
      </c>
      <c r="P571" s="47">
        <v>0</v>
      </c>
      <c r="Q571" s="47">
        <v>0</v>
      </c>
      <c r="R571" s="47">
        <v>0</v>
      </c>
      <c r="S571" s="47">
        <v>0</v>
      </c>
      <c r="T571" s="47">
        <v>0</v>
      </c>
      <c r="U571" s="47">
        <v>0</v>
      </c>
      <c r="V571" s="47">
        <v>0</v>
      </c>
      <c r="W571" s="47">
        <v>0</v>
      </c>
      <c r="X571" s="47">
        <v>0</v>
      </c>
      <c r="Y571" s="180">
        <v>1771707.28</v>
      </c>
      <c r="Z571" s="58">
        <v>161642.15</v>
      </c>
      <c r="AA571" s="50">
        <v>161642.15</v>
      </c>
      <c r="AB571" s="50">
        <v>0</v>
      </c>
      <c r="AC571" s="50">
        <v>1212.6099999999999</v>
      </c>
      <c r="AD571" s="50">
        <v>0</v>
      </c>
      <c r="AE571" s="50">
        <v>0</v>
      </c>
      <c r="AF571" s="50">
        <v>0</v>
      </c>
      <c r="AG571" s="49">
        <v>162854.76</v>
      </c>
      <c r="AH571" s="51" t="s">
        <v>695</v>
      </c>
      <c r="AI571" s="51" t="s">
        <v>74</v>
      </c>
      <c r="AJ571" s="51" t="s">
        <v>696</v>
      </c>
      <c r="AK571" s="51" t="s">
        <v>74</v>
      </c>
      <c r="AL571" s="51" t="s">
        <v>74</v>
      </c>
      <c r="AM571" s="51" t="s">
        <v>74</v>
      </c>
      <c r="AN571" s="52">
        <v>0</v>
      </c>
      <c r="AO571" s="52">
        <v>0</v>
      </c>
      <c r="AP571" s="52">
        <v>0</v>
      </c>
      <c r="AQ571" s="52">
        <v>0</v>
      </c>
      <c r="AR571" s="52">
        <v>0</v>
      </c>
      <c r="AS571" s="52">
        <v>0</v>
      </c>
      <c r="AT571" s="53" t="s">
        <v>74</v>
      </c>
      <c r="AU571" s="52">
        <v>0</v>
      </c>
      <c r="AV571" s="52"/>
      <c r="AW571" s="52">
        <v>0</v>
      </c>
      <c r="AX571" s="52"/>
      <c r="AY571" s="52"/>
      <c r="AZ571" s="52">
        <v>0</v>
      </c>
      <c r="BA571" s="52">
        <v>0</v>
      </c>
      <c r="BB571" s="54" t="s">
        <v>74</v>
      </c>
      <c r="BC571" s="53" t="s">
        <v>74</v>
      </c>
      <c r="BD571" s="55" t="s">
        <v>74</v>
      </c>
      <c r="BE571" s="55" t="s">
        <v>74</v>
      </c>
      <c r="BF571" s="55" t="s">
        <v>74</v>
      </c>
      <c r="BG571" s="55" t="s">
        <v>74</v>
      </c>
      <c r="BH571" s="52">
        <v>0</v>
      </c>
      <c r="BI571" s="52">
        <v>1608852.52</v>
      </c>
      <c r="BJ571" s="52">
        <v>1608852.52</v>
      </c>
      <c r="BK571" s="56">
        <v>42887</v>
      </c>
      <c r="BL571" s="57">
        <v>1608852.52</v>
      </c>
      <c r="BM571" s="47">
        <v>0</v>
      </c>
      <c r="BN571" s="9"/>
      <c r="BO571" s="9"/>
      <c r="BP571" s="9"/>
      <c r="BQ571" s="9"/>
      <c r="BR571" s="9"/>
      <c r="BS571" s="9"/>
      <c r="BT571" s="9"/>
      <c r="BU571" s="9"/>
      <c r="BV571" s="9"/>
      <c r="BW571" s="9"/>
    </row>
    <row r="572" spans="1:75" ht="128.25" hidden="1" outlineLevel="2" x14ac:dyDescent="0.25">
      <c r="A572" s="43" t="s">
        <v>640</v>
      </c>
      <c r="B572" s="184" t="s">
        <v>693</v>
      </c>
      <c r="C572" s="45">
        <v>2017</v>
      </c>
      <c r="D572" s="110" t="s">
        <v>84</v>
      </c>
      <c r="E572" s="47">
        <v>0</v>
      </c>
      <c r="F572" s="47">
        <v>0</v>
      </c>
      <c r="G572" s="47">
        <v>0</v>
      </c>
      <c r="H572" s="47">
        <v>0</v>
      </c>
      <c r="I572" s="47">
        <v>0</v>
      </c>
      <c r="J572" s="47">
        <v>0</v>
      </c>
      <c r="K572" s="47">
        <v>0</v>
      </c>
      <c r="L572" s="47">
        <v>0</v>
      </c>
      <c r="M572" s="47">
        <v>0</v>
      </c>
      <c r="N572" s="47">
        <v>0</v>
      </c>
      <c r="O572" s="47">
        <v>1791572.79</v>
      </c>
      <c r="P572" s="47">
        <v>0</v>
      </c>
      <c r="Q572" s="47">
        <v>0</v>
      </c>
      <c r="R572" s="47">
        <v>0</v>
      </c>
      <c r="S572" s="47">
        <v>0</v>
      </c>
      <c r="T572" s="47">
        <v>0</v>
      </c>
      <c r="U572" s="47">
        <v>0</v>
      </c>
      <c r="V572" s="47">
        <v>0</v>
      </c>
      <c r="W572" s="47">
        <v>0</v>
      </c>
      <c r="X572" s="47">
        <v>0</v>
      </c>
      <c r="Y572" s="180">
        <v>1791572.79</v>
      </c>
      <c r="Z572" s="58">
        <v>158794.9</v>
      </c>
      <c r="AA572" s="50">
        <v>158794.9</v>
      </c>
      <c r="AB572" s="50">
        <v>0</v>
      </c>
      <c r="AC572" s="50">
        <v>1274.04</v>
      </c>
      <c r="AD572" s="50">
        <v>0</v>
      </c>
      <c r="AE572" s="50">
        <v>0</v>
      </c>
      <c r="AF572" s="50">
        <v>0</v>
      </c>
      <c r="AG572" s="49">
        <v>160068.94</v>
      </c>
      <c r="AH572" s="51" t="s">
        <v>695</v>
      </c>
      <c r="AI572" s="51" t="s">
        <v>74</v>
      </c>
      <c r="AJ572" s="51" t="s">
        <v>696</v>
      </c>
      <c r="AK572" s="51" t="s">
        <v>74</v>
      </c>
      <c r="AL572" s="51" t="s">
        <v>74</v>
      </c>
      <c r="AM572" s="51" t="s">
        <v>74</v>
      </c>
      <c r="AN572" s="52">
        <v>0</v>
      </c>
      <c r="AO572" s="52">
        <v>0</v>
      </c>
      <c r="AP572" s="52">
        <v>0</v>
      </c>
      <c r="AQ572" s="52">
        <v>0</v>
      </c>
      <c r="AR572" s="52">
        <v>0</v>
      </c>
      <c r="AS572" s="52">
        <v>0</v>
      </c>
      <c r="AT572" s="53" t="s">
        <v>74</v>
      </c>
      <c r="AU572" s="52">
        <v>0</v>
      </c>
      <c r="AV572" s="52"/>
      <c r="AW572" s="52">
        <v>0</v>
      </c>
      <c r="AX572" s="52"/>
      <c r="AY572" s="52"/>
      <c r="AZ572" s="52">
        <v>0</v>
      </c>
      <c r="BA572" s="52">
        <v>0</v>
      </c>
      <c r="BB572" s="54" t="s">
        <v>74</v>
      </c>
      <c r="BC572" s="53" t="s">
        <v>74</v>
      </c>
      <c r="BD572" s="55" t="s">
        <v>74</v>
      </c>
      <c r="BE572" s="55" t="s">
        <v>74</v>
      </c>
      <c r="BF572" s="55" t="s">
        <v>74</v>
      </c>
      <c r="BG572" s="55" t="s">
        <v>74</v>
      </c>
      <c r="BH572" s="52">
        <v>0</v>
      </c>
      <c r="BI572" s="52">
        <v>1631503.85</v>
      </c>
      <c r="BJ572" s="52">
        <v>1631503.85</v>
      </c>
      <c r="BK572" s="56">
        <v>42917</v>
      </c>
      <c r="BL572" s="57">
        <v>1631503.85</v>
      </c>
      <c r="BM572" s="47">
        <v>0</v>
      </c>
      <c r="BN572" s="9"/>
      <c r="BO572" s="9"/>
      <c r="BP572" s="9"/>
      <c r="BQ572" s="9"/>
      <c r="BR572" s="9"/>
      <c r="BS572" s="9"/>
      <c r="BT572" s="9"/>
      <c r="BU572" s="9"/>
      <c r="BV572" s="9"/>
      <c r="BW572" s="9"/>
    </row>
    <row r="573" spans="1:75" ht="128.25" hidden="1" outlineLevel="2" x14ac:dyDescent="0.25">
      <c r="A573" s="43" t="s">
        <v>640</v>
      </c>
      <c r="B573" s="184" t="s">
        <v>693</v>
      </c>
      <c r="C573" s="45">
        <v>2017</v>
      </c>
      <c r="D573" s="110" t="s">
        <v>86</v>
      </c>
      <c r="E573" s="47">
        <v>0</v>
      </c>
      <c r="F573" s="47">
        <v>0</v>
      </c>
      <c r="G573" s="47">
        <v>0</v>
      </c>
      <c r="H573" s="47">
        <v>0</v>
      </c>
      <c r="I573" s="47">
        <v>0</v>
      </c>
      <c r="J573" s="47">
        <v>0</v>
      </c>
      <c r="K573" s="47">
        <v>0</v>
      </c>
      <c r="L573" s="47">
        <v>0</v>
      </c>
      <c r="M573" s="47">
        <v>0</v>
      </c>
      <c r="N573" s="47">
        <v>0</v>
      </c>
      <c r="O573" s="47">
        <v>1791572.79</v>
      </c>
      <c r="P573" s="47">
        <v>0</v>
      </c>
      <c r="Q573" s="47">
        <v>0</v>
      </c>
      <c r="R573" s="47">
        <v>0</v>
      </c>
      <c r="S573" s="47">
        <v>0</v>
      </c>
      <c r="T573" s="47">
        <v>0</v>
      </c>
      <c r="U573" s="47">
        <v>0</v>
      </c>
      <c r="V573" s="47">
        <v>0</v>
      </c>
      <c r="W573" s="47">
        <v>0</v>
      </c>
      <c r="X573" s="47">
        <v>0</v>
      </c>
      <c r="Y573" s="180">
        <v>1791572.79</v>
      </c>
      <c r="Z573" s="58">
        <v>115327.37</v>
      </c>
      <c r="AA573" s="50">
        <v>115327.37</v>
      </c>
      <c r="AB573" s="50">
        <v>0</v>
      </c>
      <c r="AC573" s="50">
        <v>1274.04</v>
      </c>
      <c r="AD573" s="50">
        <v>0</v>
      </c>
      <c r="AE573" s="50">
        <v>0</v>
      </c>
      <c r="AF573" s="50">
        <v>0</v>
      </c>
      <c r="AG573" s="49">
        <v>116601.41</v>
      </c>
      <c r="AH573" s="51" t="s">
        <v>695</v>
      </c>
      <c r="AI573" s="51" t="s">
        <v>74</v>
      </c>
      <c r="AJ573" s="51" t="s">
        <v>696</v>
      </c>
      <c r="AK573" s="51" t="s">
        <v>74</v>
      </c>
      <c r="AL573" s="51" t="s">
        <v>74</v>
      </c>
      <c r="AM573" s="51" t="s">
        <v>74</v>
      </c>
      <c r="AN573" s="52">
        <v>0</v>
      </c>
      <c r="AO573" s="52">
        <v>0</v>
      </c>
      <c r="AP573" s="52">
        <v>0</v>
      </c>
      <c r="AQ573" s="52">
        <v>0</v>
      </c>
      <c r="AR573" s="52">
        <v>0</v>
      </c>
      <c r="AS573" s="52">
        <v>0</v>
      </c>
      <c r="AT573" s="53" t="s">
        <v>74</v>
      </c>
      <c r="AU573" s="52">
        <v>0</v>
      </c>
      <c r="AV573" s="52"/>
      <c r="AW573" s="52">
        <v>0</v>
      </c>
      <c r="AX573" s="52"/>
      <c r="AY573" s="52"/>
      <c r="AZ573" s="52">
        <v>0</v>
      </c>
      <c r="BA573" s="52">
        <v>0</v>
      </c>
      <c r="BB573" s="54" t="s">
        <v>74</v>
      </c>
      <c r="BC573" s="53" t="s">
        <v>74</v>
      </c>
      <c r="BD573" s="55" t="s">
        <v>74</v>
      </c>
      <c r="BE573" s="55" t="s">
        <v>74</v>
      </c>
      <c r="BF573" s="55" t="s">
        <v>74</v>
      </c>
      <c r="BG573" s="55" t="s">
        <v>74</v>
      </c>
      <c r="BH573" s="52">
        <v>0</v>
      </c>
      <c r="BI573" s="52">
        <v>1674971.38</v>
      </c>
      <c r="BJ573" s="52">
        <v>1674971.38</v>
      </c>
      <c r="BK573" s="56">
        <v>42948</v>
      </c>
      <c r="BL573" s="57">
        <v>1674971.38</v>
      </c>
      <c r="BM573" s="47">
        <v>0</v>
      </c>
      <c r="BN573" s="9"/>
      <c r="BO573" s="9"/>
      <c r="BP573" s="9"/>
      <c r="BQ573" s="9"/>
      <c r="BR573" s="9"/>
      <c r="BS573" s="9"/>
      <c r="BT573" s="9"/>
      <c r="BU573" s="9"/>
      <c r="BV573" s="9"/>
      <c r="BW573" s="9"/>
    </row>
    <row r="574" spans="1:75" ht="128.25" hidden="1" outlineLevel="2" x14ac:dyDescent="0.25">
      <c r="A574" s="43" t="s">
        <v>640</v>
      </c>
      <c r="B574" s="184" t="s">
        <v>693</v>
      </c>
      <c r="C574" s="45">
        <v>2017</v>
      </c>
      <c r="D574" s="110" t="s">
        <v>88</v>
      </c>
      <c r="E574" s="47">
        <v>0</v>
      </c>
      <c r="F574" s="47">
        <v>0</v>
      </c>
      <c r="G574" s="47">
        <v>0</v>
      </c>
      <c r="H574" s="47">
        <v>0</v>
      </c>
      <c r="I574" s="47">
        <v>0</v>
      </c>
      <c r="J574" s="47">
        <v>0</v>
      </c>
      <c r="K574" s="47">
        <v>0</v>
      </c>
      <c r="L574" s="47">
        <v>0</v>
      </c>
      <c r="M574" s="47">
        <v>0</v>
      </c>
      <c r="N574" s="47">
        <v>0</v>
      </c>
      <c r="O574" s="47">
        <v>1791572.79</v>
      </c>
      <c r="P574" s="47">
        <v>0</v>
      </c>
      <c r="Q574" s="47">
        <v>0</v>
      </c>
      <c r="R574" s="47">
        <v>0</v>
      </c>
      <c r="S574" s="47">
        <v>0</v>
      </c>
      <c r="T574" s="47">
        <v>0</v>
      </c>
      <c r="U574" s="47">
        <v>0</v>
      </c>
      <c r="V574" s="47">
        <v>0</v>
      </c>
      <c r="W574" s="47">
        <v>0</v>
      </c>
      <c r="X574" s="47">
        <v>0</v>
      </c>
      <c r="Y574" s="180">
        <v>1791572.79</v>
      </c>
      <c r="Z574" s="58">
        <v>115327.37</v>
      </c>
      <c r="AA574" s="50">
        <v>115327.37</v>
      </c>
      <c r="AB574" s="50">
        <v>0</v>
      </c>
      <c r="AC574" s="50">
        <v>1274.04</v>
      </c>
      <c r="AD574" s="50">
        <v>0</v>
      </c>
      <c r="AE574" s="50">
        <v>0</v>
      </c>
      <c r="AF574" s="50">
        <v>0</v>
      </c>
      <c r="AG574" s="49">
        <v>116601.41</v>
      </c>
      <c r="AH574" s="51" t="s">
        <v>695</v>
      </c>
      <c r="AI574" s="51" t="s">
        <v>74</v>
      </c>
      <c r="AJ574" s="51" t="s">
        <v>696</v>
      </c>
      <c r="AK574" s="51" t="s">
        <v>74</v>
      </c>
      <c r="AL574" s="51" t="s">
        <v>74</v>
      </c>
      <c r="AM574" s="51" t="s">
        <v>74</v>
      </c>
      <c r="AN574" s="52">
        <v>0</v>
      </c>
      <c r="AO574" s="52">
        <v>0</v>
      </c>
      <c r="AP574" s="52">
        <v>0</v>
      </c>
      <c r="AQ574" s="52">
        <v>0</v>
      </c>
      <c r="AR574" s="52">
        <v>0</v>
      </c>
      <c r="AS574" s="52">
        <v>0</v>
      </c>
      <c r="AT574" s="53" t="s">
        <v>74</v>
      </c>
      <c r="AU574" s="52">
        <v>0</v>
      </c>
      <c r="AV574" s="52"/>
      <c r="AW574" s="52">
        <v>0</v>
      </c>
      <c r="AX574" s="52"/>
      <c r="AY574" s="52"/>
      <c r="AZ574" s="52">
        <v>0</v>
      </c>
      <c r="BA574" s="52">
        <v>0</v>
      </c>
      <c r="BB574" s="54" t="s">
        <v>74</v>
      </c>
      <c r="BC574" s="53" t="s">
        <v>74</v>
      </c>
      <c r="BD574" s="55" t="s">
        <v>74</v>
      </c>
      <c r="BE574" s="55" t="s">
        <v>74</v>
      </c>
      <c r="BF574" s="55" t="s">
        <v>74</v>
      </c>
      <c r="BG574" s="55" t="s">
        <v>74</v>
      </c>
      <c r="BH574" s="52">
        <v>0</v>
      </c>
      <c r="BI574" s="52">
        <v>1674971.38</v>
      </c>
      <c r="BJ574" s="52">
        <v>1674971.38</v>
      </c>
      <c r="BK574" s="56">
        <v>42979</v>
      </c>
      <c r="BL574" s="57">
        <v>1674971.38</v>
      </c>
      <c r="BM574" s="47">
        <v>0</v>
      </c>
      <c r="BN574" s="9"/>
      <c r="BO574" s="9"/>
      <c r="BP574" s="9"/>
      <c r="BQ574" s="9"/>
      <c r="BR574" s="9"/>
      <c r="BS574" s="9"/>
      <c r="BT574" s="9"/>
      <c r="BU574" s="9"/>
      <c r="BV574" s="9"/>
      <c r="BW574" s="9"/>
    </row>
    <row r="575" spans="1:75" ht="128.25" hidden="1" outlineLevel="2" x14ac:dyDescent="0.25">
      <c r="A575" s="43" t="s">
        <v>640</v>
      </c>
      <c r="B575" s="184" t="s">
        <v>693</v>
      </c>
      <c r="C575" s="45">
        <v>2017</v>
      </c>
      <c r="D575" s="110" t="s">
        <v>89</v>
      </c>
      <c r="E575" s="47">
        <v>0</v>
      </c>
      <c r="F575" s="47">
        <v>0</v>
      </c>
      <c r="G575" s="47">
        <v>0</v>
      </c>
      <c r="H575" s="47">
        <v>0</v>
      </c>
      <c r="I575" s="47">
        <v>0</v>
      </c>
      <c r="J575" s="47">
        <v>0</v>
      </c>
      <c r="K575" s="47">
        <v>0</v>
      </c>
      <c r="L575" s="47">
        <v>0</v>
      </c>
      <c r="M575" s="47">
        <v>0</v>
      </c>
      <c r="N575" s="47">
        <v>0</v>
      </c>
      <c r="O575" s="47">
        <v>1791572.79</v>
      </c>
      <c r="P575" s="47">
        <v>0</v>
      </c>
      <c r="Q575" s="47">
        <v>0</v>
      </c>
      <c r="R575" s="47">
        <v>0</v>
      </c>
      <c r="S575" s="47">
        <v>0</v>
      </c>
      <c r="T575" s="47">
        <v>0</v>
      </c>
      <c r="U575" s="47">
        <v>0</v>
      </c>
      <c r="V575" s="47">
        <v>0</v>
      </c>
      <c r="W575" s="47">
        <v>0</v>
      </c>
      <c r="X575" s="47">
        <v>0</v>
      </c>
      <c r="Y575" s="180">
        <v>1791572.79</v>
      </c>
      <c r="Z575" s="58">
        <v>155483.49</v>
      </c>
      <c r="AA575" s="50">
        <v>155483.49</v>
      </c>
      <c r="AB575" s="50">
        <v>0</v>
      </c>
      <c r="AC575" s="50">
        <v>1379.03</v>
      </c>
      <c r="AD575" s="50">
        <v>0</v>
      </c>
      <c r="AE575" s="50">
        <v>0</v>
      </c>
      <c r="AF575" s="50">
        <v>0</v>
      </c>
      <c r="AG575" s="49">
        <v>156862.51999999999</v>
      </c>
      <c r="AH575" s="51" t="s">
        <v>695</v>
      </c>
      <c r="AI575" s="51" t="s">
        <v>74</v>
      </c>
      <c r="AJ575" s="51" t="s">
        <v>696</v>
      </c>
      <c r="AK575" s="51" t="s">
        <v>74</v>
      </c>
      <c r="AL575" s="51" t="s">
        <v>74</v>
      </c>
      <c r="AM575" s="51" t="s">
        <v>74</v>
      </c>
      <c r="AN575" s="52">
        <v>0</v>
      </c>
      <c r="AO575" s="52">
        <v>0</v>
      </c>
      <c r="AP575" s="52">
        <v>0</v>
      </c>
      <c r="AQ575" s="52">
        <v>0</v>
      </c>
      <c r="AR575" s="52">
        <v>0</v>
      </c>
      <c r="AS575" s="52">
        <v>0</v>
      </c>
      <c r="AT575" s="53" t="s">
        <v>74</v>
      </c>
      <c r="AU575" s="52">
        <v>0</v>
      </c>
      <c r="AV575" s="52"/>
      <c r="AW575" s="52">
        <v>0</v>
      </c>
      <c r="AX575" s="52"/>
      <c r="AY575" s="52"/>
      <c r="AZ575" s="52">
        <v>0</v>
      </c>
      <c r="BA575" s="52">
        <v>0</v>
      </c>
      <c r="BB575" s="54" t="s">
        <v>74</v>
      </c>
      <c r="BC575" s="53" t="s">
        <v>74</v>
      </c>
      <c r="BD575" s="55" t="s">
        <v>74</v>
      </c>
      <c r="BE575" s="55" t="s">
        <v>74</v>
      </c>
      <c r="BF575" s="55" t="s">
        <v>74</v>
      </c>
      <c r="BG575" s="55" t="s">
        <v>74</v>
      </c>
      <c r="BH575" s="52">
        <v>0</v>
      </c>
      <c r="BI575" s="52">
        <v>1634710.27</v>
      </c>
      <c r="BJ575" s="52">
        <v>1634710.27</v>
      </c>
      <c r="BK575" s="56">
        <v>43009</v>
      </c>
      <c r="BL575" s="57">
        <v>1634710.27</v>
      </c>
      <c r="BM575" s="47">
        <v>0</v>
      </c>
      <c r="BN575" s="9"/>
      <c r="BO575" s="9"/>
      <c r="BP575" s="9"/>
      <c r="BQ575" s="9"/>
      <c r="BR575" s="9"/>
      <c r="BS575" s="9"/>
      <c r="BT575" s="9"/>
      <c r="BU575" s="9"/>
      <c r="BV575" s="9"/>
      <c r="BW575" s="9"/>
    </row>
    <row r="576" spans="1:75" ht="128.25" hidden="1" outlineLevel="2" x14ac:dyDescent="0.25">
      <c r="A576" s="43" t="s">
        <v>640</v>
      </c>
      <c r="B576" s="184" t="s">
        <v>693</v>
      </c>
      <c r="C576" s="45">
        <v>2017</v>
      </c>
      <c r="D576" s="110" t="s">
        <v>90</v>
      </c>
      <c r="E576" s="47">
        <v>0</v>
      </c>
      <c r="F576" s="47">
        <v>0</v>
      </c>
      <c r="G576" s="47">
        <v>0</v>
      </c>
      <c r="H576" s="47">
        <v>0</v>
      </c>
      <c r="I576" s="47">
        <v>0</v>
      </c>
      <c r="J576" s="47">
        <v>0</v>
      </c>
      <c r="K576" s="47">
        <v>0</v>
      </c>
      <c r="L576" s="47">
        <v>0</v>
      </c>
      <c r="M576" s="47">
        <v>0</v>
      </c>
      <c r="N576" s="47">
        <v>0</v>
      </c>
      <c r="O576" s="47">
        <v>1791572.79</v>
      </c>
      <c r="P576" s="47">
        <v>0</v>
      </c>
      <c r="Q576" s="47">
        <v>0</v>
      </c>
      <c r="R576" s="47">
        <v>0</v>
      </c>
      <c r="S576" s="47">
        <v>0</v>
      </c>
      <c r="T576" s="47">
        <v>0</v>
      </c>
      <c r="U576" s="47">
        <v>0</v>
      </c>
      <c r="V576" s="47">
        <v>0</v>
      </c>
      <c r="W576" s="47">
        <v>0</v>
      </c>
      <c r="X576" s="47">
        <v>0</v>
      </c>
      <c r="Y576" s="180">
        <v>1791572.79</v>
      </c>
      <c r="Z576" s="58">
        <v>294480.86</v>
      </c>
      <c r="AA576" s="50">
        <v>294480.86</v>
      </c>
      <c r="AB576" s="50">
        <v>0</v>
      </c>
      <c r="AC576" s="50">
        <v>1785.48</v>
      </c>
      <c r="AD576" s="50">
        <v>5132.71</v>
      </c>
      <c r="AE576" s="50">
        <v>0</v>
      </c>
      <c r="AF576" s="50">
        <v>0</v>
      </c>
      <c r="AG576" s="49">
        <v>301399.05</v>
      </c>
      <c r="AH576" s="51" t="s">
        <v>695</v>
      </c>
      <c r="AI576" s="51" t="s">
        <v>74</v>
      </c>
      <c r="AJ576" s="51" t="s">
        <v>696</v>
      </c>
      <c r="AK576" s="51" t="s">
        <v>697</v>
      </c>
      <c r="AL576" s="51" t="s">
        <v>74</v>
      </c>
      <c r="AM576" s="51" t="s">
        <v>74</v>
      </c>
      <c r="AN576" s="52">
        <v>0</v>
      </c>
      <c r="AO576" s="52">
        <v>0</v>
      </c>
      <c r="AP576" s="52">
        <v>0</v>
      </c>
      <c r="AQ576" s="52">
        <v>0</v>
      </c>
      <c r="AR576" s="52">
        <v>0</v>
      </c>
      <c r="AS576" s="52">
        <v>0</v>
      </c>
      <c r="AT576" s="53" t="s">
        <v>74</v>
      </c>
      <c r="AU576" s="52">
        <v>0</v>
      </c>
      <c r="AV576" s="52"/>
      <c r="AW576" s="52">
        <v>0</v>
      </c>
      <c r="AX576" s="52"/>
      <c r="AY576" s="52"/>
      <c r="AZ576" s="52">
        <v>0</v>
      </c>
      <c r="BA576" s="52">
        <v>0</v>
      </c>
      <c r="BB576" s="54" t="s">
        <v>74</v>
      </c>
      <c r="BC576" s="53" t="s">
        <v>74</v>
      </c>
      <c r="BD576" s="55" t="s">
        <v>74</v>
      </c>
      <c r="BE576" s="55" t="s">
        <v>74</v>
      </c>
      <c r="BF576" s="55" t="s">
        <v>74</v>
      </c>
      <c r="BG576" s="55" t="s">
        <v>74</v>
      </c>
      <c r="BH576" s="52">
        <v>0</v>
      </c>
      <c r="BI576" s="52">
        <v>1490173.74</v>
      </c>
      <c r="BJ576" s="52">
        <v>1490173.74</v>
      </c>
      <c r="BK576" s="56">
        <v>43040</v>
      </c>
      <c r="BL576" s="57">
        <v>1490173.74</v>
      </c>
      <c r="BM576" s="47">
        <v>0</v>
      </c>
      <c r="BN576" s="9"/>
      <c r="BO576" s="9"/>
      <c r="BP576" s="9"/>
      <c r="BQ576" s="9"/>
      <c r="BR576" s="9"/>
      <c r="BS576" s="9"/>
      <c r="BT576" s="9"/>
      <c r="BU576" s="9"/>
      <c r="BV576" s="9"/>
      <c r="BW576" s="9"/>
    </row>
    <row r="577" spans="1:75" ht="51.75" hidden="1" outlineLevel="2" x14ac:dyDescent="0.25">
      <c r="A577" s="43" t="s">
        <v>640</v>
      </c>
      <c r="B577" s="184" t="s">
        <v>693</v>
      </c>
      <c r="C577" s="45">
        <v>2017</v>
      </c>
      <c r="D577" s="110" t="s">
        <v>93</v>
      </c>
      <c r="E577" s="47">
        <v>0</v>
      </c>
      <c r="F577" s="47">
        <v>0</v>
      </c>
      <c r="G577" s="47">
        <v>0</v>
      </c>
      <c r="H577" s="47">
        <v>0</v>
      </c>
      <c r="I577" s="47">
        <v>0</v>
      </c>
      <c r="J577" s="47">
        <v>0</v>
      </c>
      <c r="K577" s="47">
        <v>0</v>
      </c>
      <c r="L577" s="47">
        <v>0</v>
      </c>
      <c r="M577" s="47">
        <v>0</v>
      </c>
      <c r="N577" s="47">
        <v>0</v>
      </c>
      <c r="O577" s="47">
        <v>1791572.79</v>
      </c>
      <c r="P577" s="47">
        <v>0</v>
      </c>
      <c r="Q577" s="47">
        <v>0</v>
      </c>
      <c r="R577" s="47">
        <v>0</v>
      </c>
      <c r="S577" s="47">
        <v>0</v>
      </c>
      <c r="T577" s="47">
        <v>0</v>
      </c>
      <c r="U577" s="47">
        <v>0</v>
      </c>
      <c r="V577" s="47">
        <v>0</v>
      </c>
      <c r="W577" s="47">
        <v>0</v>
      </c>
      <c r="X577" s="47">
        <v>0</v>
      </c>
      <c r="Y577" s="180">
        <v>1791572.79</v>
      </c>
      <c r="Z577" s="58">
        <v>126805.12</v>
      </c>
      <c r="AA577" s="50">
        <v>126805.12</v>
      </c>
      <c r="AB577" s="50">
        <v>0</v>
      </c>
      <c r="AC577" s="50">
        <v>2378.9299999999998</v>
      </c>
      <c r="AD577" s="50">
        <v>7100.9</v>
      </c>
      <c r="AE577" s="50">
        <v>0</v>
      </c>
      <c r="AF577" s="50">
        <v>0</v>
      </c>
      <c r="AG577" s="49">
        <v>136284.95000000001</v>
      </c>
      <c r="AH577" s="51" t="s">
        <v>104</v>
      </c>
      <c r="AI577" s="51" t="s">
        <v>74</v>
      </c>
      <c r="AJ577" s="51" t="s">
        <v>94</v>
      </c>
      <c r="AK577" s="51" t="s">
        <v>698</v>
      </c>
      <c r="AL577" s="51" t="s">
        <v>74</v>
      </c>
      <c r="AM577" s="51" t="s">
        <v>74</v>
      </c>
      <c r="AN577" s="52">
        <v>0</v>
      </c>
      <c r="AO577" s="52">
        <v>0</v>
      </c>
      <c r="AP577" s="52">
        <v>43356.56</v>
      </c>
      <c r="AQ577" s="52">
        <v>0</v>
      </c>
      <c r="AR577" s="52">
        <v>0</v>
      </c>
      <c r="AS577" s="52">
        <v>43356.56</v>
      </c>
      <c r="AT577" s="51" t="s">
        <v>699</v>
      </c>
      <c r="AU577" s="52">
        <v>0</v>
      </c>
      <c r="AV577" s="52"/>
      <c r="AW577" s="52">
        <v>43356.56</v>
      </c>
      <c r="AX577" s="52"/>
      <c r="AY577" s="52"/>
      <c r="AZ577" s="52">
        <v>0</v>
      </c>
      <c r="BA577" s="52">
        <v>43356.56</v>
      </c>
      <c r="BB577" s="54" t="s">
        <v>74</v>
      </c>
      <c r="BC577" s="53" t="s">
        <v>74</v>
      </c>
      <c r="BD577" s="55" t="s">
        <v>700</v>
      </c>
      <c r="BE577" s="55" t="s">
        <v>74</v>
      </c>
      <c r="BF577" s="55" t="s">
        <v>74</v>
      </c>
      <c r="BG577" s="55" t="s">
        <v>74</v>
      </c>
      <c r="BH577" s="52">
        <v>86713.12</v>
      </c>
      <c r="BI577" s="52">
        <v>1742000.96</v>
      </c>
      <c r="BJ577" s="52">
        <v>1698644.4</v>
      </c>
      <c r="BK577" s="56">
        <v>43070</v>
      </c>
      <c r="BL577" s="57">
        <v>1742000.96</v>
      </c>
      <c r="BM577" s="47">
        <v>0</v>
      </c>
      <c r="BN577" s="9"/>
      <c r="BO577" s="9"/>
      <c r="BP577" s="9"/>
      <c r="BQ577" s="9"/>
      <c r="BR577" s="9"/>
      <c r="BS577" s="9"/>
      <c r="BT577" s="9"/>
      <c r="BU577" s="9"/>
      <c r="BV577" s="9"/>
      <c r="BW577" s="9"/>
    </row>
    <row r="578" spans="1:75" ht="26.25" hidden="1" outlineLevel="2" x14ac:dyDescent="0.25">
      <c r="A578" s="43" t="s">
        <v>640</v>
      </c>
      <c r="B578" s="184" t="s">
        <v>693</v>
      </c>
      <c r="C578" s="45">
        <v>2018</v>
      </c>
      <c r="D578" s="110" t="s">
        <v>73</v>
      </c>
      <c r="E578" s="47">
        <v>0</v>
      </c>
      <c r="F578" s="47">
        <v>0</v>
      </c>
      <c r="G578" s="47">
        <v>0</v>
      </c>
      <c r="H578" s="47">
        <v>0</v>
      </c>
      <c r="I578" s="47">
        <v>0</v>
      </c>
      <c r="J578" s="47">
        <v>0</v>
      </c>
      <c r="K578" s="47">
        <v>0</v>
      </c>
      <c r="L578" s="47">
        <v>0</v>
      </c>
      <c r="M578" s="47">
        <v>0</v>
      </c>
      <c r="N578" s="47">
        <v>0</v>
      </c>
      <c r="O578" s="47">
        <v>1791572.79</v>
      </c>
      <c r="P578" s="47">
        <v>0</v>
      </c>
      <c r="Q578" s="47">
        <v>0</v>
      </c>
      <c r="R578" s="47">
        <v>0</v>
      </c>
      <c r="S578" s="47">
        <v>0</v>
      </c>
      <c r="T578" s="47">
        <v>0</v>
      </c>
      <c r="U578" s="47">
        <v>0</v>
      </c>
      <c r="V578" s="47">
        <v>0</v>
      </c>
      <c r="W578" s="47">
        <v>0</v>
      </c>
      <c r="X578" s="47">
        <v>0</v>
      </c>
      <c r="Y578" s="180">
        <v>1791572.79</v>
      </c>
      <c r="Z578" s="58">
        <v>132960.79</v>
      </c>
      <c r="AA578" s="50">
        <v>132960.79</v>
      </c>
      <c r="AB578" s="50">
        <v>0</v>
      </c>
      <c r="AC578" s="50">
        <v>1940.3</v>
      </c>
      <c r="AD578" s="50">
        <v>0</v>
      </c>
      <c r="AE578" s="50">
        <v>0</v>
      </c>
      <c r="AF578" s="50">
        <v>0</v>
      </c>
      <c r="AG578" s="49">
        <v>134901.09</v>
      </c>
      <c r="AH578" s="51" t="s">
        <v>104</v>
      </c>
      <c r="AI578" s="51" t="s">
        <v>74</v>
      </c>
      <c r="AJ578" s="51" t="s">
        <v>96</v>
      </c>
      <c r="AK578" s="51" t="s">
        <v>74</v>
      </c>
      <c r="AL578" s="51" t="s">
        <v>74</v>
      </c>
      <c r="AM578" s="51" t="s">
        <v>74</v>
      </c>
      <c r="AN578" s="52">
        <v>0</v>
      </c>
      <c r="AO578" s="52">
        <v>0</v>
      </c>
      <c r="AP578" s="52">
        <v>0</v>
      </c>
      <c r="AQ578" s="52">
        <v>0</v>
      </c>
      <c r="AR578" s="52">
        <v>0</v>
      </c>
      <c r="AS578" s="52">
        <v>0</v>
      </c>
      <c r="AT578" s="53" t="s">
        <v>74</v>
      </c>
      <c r="AU578" s="52">
        <v>0</v>
      </c>
      <c r="AV578" s="52"/>
      <c r="AW578" s="52">
        <v>0</v>
      </c>
      <c r="AX578" s="52"/>
      <c r="AY578" s="52"/>
      <c r="AZ578" s="52">
        <v>0</v>
      </c>
      <c r="BA578" s="52">
        <v>0</v>
      </c>
      <c r="BB578" s="54" t="s">
        <v>74</v>
      </c>
      <c r="BC578" s="53" t="s">
        <v>74</v>
      </c>
      <c r="BD578" s="55" t="s">
        <v>74</v>
      </c>
      <c r="BE578" s="55" t="s">
        <v>74</v>
      </c>
      <c r="BF578" s="55" t="s">
        <v>74</v>
      </c>
      <c r="BG578" s="55" t="s">
        <v>74</v>
      </c>
      <c r="BH578" s="52">
        <v>0</v>
      </c>
      <c r="BI578" s="52">
        <v>1656671.7</v>
      </c>
      <c r="BJ578" s="52">
        <v>1656671.7</v>
      </c>
      <c r="BK578" s="56">
        <v>43101</v>
      </c>
      <c r="BL578" s="57">
        <v>1656671.7</v>
      </c>
      <c r="BM578" s="47">
        <v>0</v>
      </c>
      <c r="BN578" s="9"/>
      <c r="BO578" s="9"/>
      <c r="BP578" s="9"/>
      <c r="BQ578" s="9"/>
      <c r="BR578" s="9"/>
      <c r="BS578" s="9"/>
      <c r="BT578" s="9"/>
      <c r="BU578" s="9"/>
      <c r="BV578" s="9"/>
      <c r="BW578" s="9"/>
    </row>
    <row r="579" spans="1:75" ht="26.25" hidden="1" outlineLevel="2" x14ac:dyDescent="0.25">
      <c r="A579" s="43" t="s">
        <v>640</v>
      </c>
      <c r="B579" s="184" t="s">
        <v>693</v>
      </c>
      <c r="C579" s="45">
        <v>2018</v>
      </c>
      <c r="D579" s="110" t="s">
        <v>75</v>
      </c>
      <c r="E579" s="47">
        <v>0</v>
      </c>
      <c r="F579" s="47">
        <v>0</v>
      </c>
      <c r="G579" s="47">
        <v>0</v>
      </c>
      <c r="H579" s="47">
        <v>0</v>
      </c>
      <c r="I579" s="47">
        <v>0</v>
      </c>
      <c r="J579" s="47">
        <v>0</v>
      </c>
      <c r="K579" s="47">
        <v>0</v>
      </c>
      <c r="L579" s="47">
        <v>0</v>
      </c>
      <c r="M579" s="47">
        <v>0</v>
      </c>
      <c r="N579" s="47">
        <v>0</v>
      </c>
      <c r="O579" s="47">
        <v>1791572.79</v>
      </c>
      <c r="P579" s="47">
        <v>0</v>
      </c>
      <c r="Q579" s="47">
        <v>0</v>
      </c>
      <c r="R579" s="47">
        <v>0</v>
      </c>
      <c r="S579" s="47">
        <v>0</v>
      </c>
      <c r="T579" s="47">
        <v>0</v>
      </c>
      <c r="U579" s="47">
        <v>0</v>
      </c>
      <c r="V579" s="47">
        <v>0</v>
      </c>
      <c r="W579" s="47">
        <v>0</v>
      </c>
      <c r="X579" s="47">
        <v>0</v>
      </c>
      <c r="Y579" s="180">
        <v>1791572.79</v>
      </c>
      <c r="Z579" s="58">
        <v>154584.10999999999</v>
      </c>
      <c r="AA579" s="50">
        <v>154584.10999999999</v>
      </c>
      <c r="AB579" s="50">
        <v>0</v>
      </c>
      <c r="AC579" s="50">
        <v>1689.62</v>
      </c>
      <c r="AD579" s="50">
        <v>5294.28</v>
      </c>
      <c r="AE579" s="50">
        <v>0</v>
      </c>
      <c r="AF579" s="50">
        <v>0</v>
      </c>
      <c r="AG579" s="49">
        <v>161568.01</v>
      </c>
      <c r="AH579" s="51" t="s">
        <v>104</v>
      </c>
      <c r="AI579" s="51" t="s">
        <v>74</v>
      </c>
      <c r="AJ579" s="51" t="s">
        <v>98</v>
      </c>
      <c r="AK579" s="51" t="s">
        <v>99</v>
      </c>
      <c r="AL579" s="51" t="s">
        <v>74</v>
      </c>
      <c r="AM579" s="51" t="s">
        <v>74</v>
      </c>
      <c r="AN579" s="52">
        <v>0</v>
      </c>
      <c r="AO579" s="52">
        <v>0</v>
      </c>
      <c r="AP579" s="52">
        <v>0</v>
      </c>
      <c r="AQ579" s="52">
        <v>0</v>
      </c>
      <c r="AR579" s="52">
        <v>0</v>
      </c>
      <c r="AS579" s="52">
        <v>0</v>
      </c>
      <c r="AT579" s="53" t="s">
        <v>74</v>
      </c>
      <c r="AU579" s="52">
        <v>0</v>
      </c>
      <c r="AV579" s="52"/>
      <c r="AW579" s="52">
        <v>0</v>
      </c>
      <c r="AX579" s="52"/>
      <c r="AY579" s="52"/>
      <c r="AZ579" s="52">
        <v>0</v>
      </c>
      <c r="BA579" s="52">
        <v>0</v>
      </c>
      <c r="BB579" s="54" t="s">
        <v>74</v>
      </c>
      <c r="BC579" s="53" t="s">
        <v>74</v>
      </c>
      <c r="BD579" s="55" t="s">
        <v>74</v>
      </c>
      <c r="BE579" s="55" t="s">
        <v>74</v>
      </c>
      <c r="BF579" s="55" t="s">
        <v>74</v>
      </c>
      <c r="BG579" s="55" t="s">
        <v>74</v>
      </c>
      <c r="BH579" s="52">
        <v>0</v>
      </c>
      <c r="BI579" s="52">
        <v>1630004.78</v>
      </c>
      <c r="BJ579" s="52">
        <v>1630004.78</v>
      </c>
      <c r="BK579" s="56">
        <v>43132</v>
      </c>
      <c r="BL579" s="57">
        <v>1630004.78</v>
      </c>
      <c r="BM579" s="47">
        <v>0</v>
      </c>
      <c r="BN579" s="9"/>
      <c r="BO579" s="9"/>
      <c r="BP579" s="9"/>
      <c r="BQ579" s="9"/>
      <c r="BR579" s="9"/>
      <c r="BS579" s="9"/>
      <c r="BT579" s="9"/>
      <c r="BU579" s="9"/>
      <c r="BV579" s="9"/>
      <c r="BW579" s="9"/>
    </row>
    <row r="580" spans="1:75" ht="26.25" hidden="1" outlineLevel="2" x14ac:dyDescent="0.25">
      <c r="A580" s="43" t="s">
        <v>640</v>
      </c>
      <c r="B580" s="184" t="s">
        <v>693</v>
      </c>
      <c r="C580" s="45">
        <v>2018</v>
      </c>
      <c r="D580" s="110" t="s">
        <v>77</v>
      </c>
      <c r="E580" s="47">
        <v>0</v>
      </c>
      <c r="F580" s="47">
        <v>0</v>
      </c>
      <c r="G580" s="47">
        <v>0</v>
      </c>
      <c r="H580" s="47">
        <v>0</v>
      </c>
      <c r="I580" s="47">
        <v>0</v>
      </c>
      <c r="J580" s="47">
        <v>0</v>
      </c>
      <c r="K580" s="47">
        <v>0</v>
      </c>
      <c r="L580" s="47">
        <v>0</v>
      </c>
      <c r="M580" s="47">
        <v>0</v>
      </c>
      <c r="N580" s="47">
        <v>0</v>
      </c>
      <c r="O580" s="47">
        <v>1791572.79</v>
      </c>
      <c r="P580" s="47">
        <v>0</v>
      </c>
      <c r="Q580" s="47">
        <v>0</v>
      </c>
      <c r="R580" s="47">
        <v>0</v>
      </c>
      <c r="S580" s="47">
        <v>0</v>
      </c>
      <c r="T580" s="47">
        <v>0</v>
      </c>
      <c r="U580" s="47">
        <v>0</v>
      </c>
      <c r="V580" s="47">
        <v>0</v>
      </c>
      <c r="W580" s="47">
        <v>0</v>
      </c>
      <c r="X580" s="47">
        <v>0</v>
      </c>
      <c r="Y580" s="180">
        <v>1791572.79</v>
      </c>
      <c r="Z580" s="58">
        <v>139574.59</v>
      </c>
      <c r="AA580" s="50">
        <v>139574.59</v>
      </c>
      <c r="AB580" s="50">
        <v>0</v>
      </c>
      <c r="AC580" s="50">
        <v>2377.98</v>
      </c>
      <c r="AD580" s="50">
        <v>6215.55</v>
      </c>
      <c r="AE580" s="112">
        <v>43356.56</v>
      </c>
      <c r="AF580" s="50">
        <v>0</v>
      </c>
      <c r="AG580" s="49">
        <v>191524.68</v>
      </c>
      <c r="AH580" s="51" t="s">
        <v>104</v>
      </c>
      <c r="AI580" s="51" t="s">
        <v>74</v>
      </c>
      <c r="AJ580" s="51" t="s">
        <v>101</v>
      </c>
      <c r="AK580" s="51" t="s">
        <v>102</v>
      </c>
      <c r="AL580" s="51" t="s">
        <v>701</v>
      </c>
      <c r="AM580" s="51" t="s">
        <v>74</v>
      </c>
      <c r="AN580" s="52">
        <v>0</v>
      </c>
      <c r="AO580" s="52">
        <v>0</v>
      </c>
      <c r="AP580" s="52">
        <v>0</v>
      </c>
      <c r="AQ580" s="52">
        <v>0</v>
      </c>
      <c r="AR580" s="52">
        <v>0</v>
      </c>
      <c r="AS580" s="52">
        <v>0</v>
      </c>
      <c r="AT580" s="53" t="s">
        <v>74</v>
      </c>
      <c r="AU580" s="52">
        <v>0</v>
      </c>
      <c r="AV580" s="52"/>
      <c r="AW580" s="52">
        <v>0</v>
      </c>
      <c r="AX580" s="52"/>
      <c r="AY580" s="52"/>
      <c r="AZ580" s="52">
        <v>0</v>
      </c>
      <c r="BA580" s="52">
        <v>0</v>
      </c>
      <c r="BB580" s="54" t="s">
        <v>74</v>
      </c>
      <c r="BC580" s="53" t="s">
        <v>74</v>
      </c>
      <c r="BD580" s="55" t="s">
        <v>74</v>
      </c>
      <c r="BE580" s="55" t="s">
        <v>74</v>
      </c>
      <c r="BF580" s="55" t="s">
        <v>74</v>
      </c>
      <c r="BG580" s="55" t="s">
        <v>74</v>
      </c>
      <c r="BH580" s="52">
        <v>0</v>
      </c>
      <c r="BI580" s="52">
        <v>1600048.11</v>
      </c>
      <c r="BJ580" s="52">
        <v>1600048.11</v>
      </c>
      <c r="BK580" s="56">
        <v>43160</v>
      </c>
      <c r="BL580" s="57">
        <v>1600048.11</v>
      </c>
      <c r="BM580" s="47">
        <v>0</v>
      </c>
      <c r="BN580" s="9"/>
      <c r="BO580" s="9"/>
      <c r="BP580" s="9"/>
      <c r="BQ580" s="9"/>
      <c r="BR580" s="9"/>
      <c r="BS580" s="9"/>
      <c r="BT580" s="9"/>
      <c r="BU580" s="9"/>
      <c r="BV580" s="9"/>
      <c r="BW580" s="9"/>
    </row>
    <row r="581" spans="1:75" ht="26.25" hidden="1" outlineLevel="2" x14ac:dyDescent="0.25">
      <c r="A581" s="43" t="s">
        <v>640</v>
      </c>
      <c r="B581" s="184" t="s">
        <v>693</v>
      </c>
      <c r="C581" s="45">
        <v>2018</v>
      </c>
      <c r="D581" s="110" t="s">
        <v>79</v>
      </c>
      <c r="E581" s="47">
        <v>0</v>
      </c>
      <c r="F581" s="47">
        <v>0</v>
      </c>
      <c r="G581" s="47">
        <v>0</v>
      </c>
      <c r="H581" s="47">
        <v>0</v>
      </c>
      <c r="I581" s="47">
        <v>0</v>
      </c>
      <c r="J581" s="47">
        <v>0</v>
      </c>
      <c r="K581" s="47">
        <v>0</v>
      </c>
      <c r="L581" s="47">
        <v>0</v>
      </c>
      <c r="M581" s="47">
        <v>0</v>
      </c>
      <c r="N581" s="47">
        <v>0</v>
      </c>
      <c r="O581" s="47">
        <v>1791572.79</v>
      </c>
      <c r="P581" s="47">
        <v>0</v>
      </c>
      <c r="Q581" s="47">
        <v>0</v>
      </c>
      <c r="R581" s="47">
        <v>0</v>
      </c>
      <c r="S581" s="47">
        <v>0</v>
      </c>
      <c r="T581" s="47">
        <v>0</v>
      </c>
      <c r="U581" s="47">
        <v>0</v>
      </c>
      <c r="V581" s="47">
        <v>0</v>
      </c>
      <c r="W581" s="47">
        <v>0</v>
      </c>
      <c r="X581" s="47">
        <v>0</v>
      </c>
      <c r="Y581" s="180">
        <v>1791572.79</v>
      </c>
      <c r="Z581" s="58">
        <v>141871.74</v>
      </c>
      <c r="AA581" s="50">
        <v>141871.74</v>
      </c>
      <c r="AB581" s="50">
        <v>0</v>
      </c>
      <c r="AC581" s="50">
        <v>1566.45</v>
      </c>
      <c r="AD581" s="50">
        <v>6025.73</v>
      </c>
      <c r="AE581" s="112">
        <v>0</v>
      </c>
      <c r="AF581" s="50">
        <v>0</v>
      </c>
      <c r="AG581" s="49">
        <v>149463.92000000001</v>
      </c>
      <c r="AH581" s="51" t="s">
        <v>104</v>
      </c>
      <c r="AI581" s="51" t="s">
        <v>74</v>
      </c>
      <c r="AJ581" s="51" t="s">
        <v>105</v>
      </c>
      <c r="AK581" s="51" t="s">
        <v>106</v>
      </c>
      <c r="AL581" s="51" t="s">
        <v>74</v>
      </c>
      <c r="AM581" s="51" t="s">
        <v>74</v>
      </c>
      <c r="AN581" s="52">
        <v>0</v>
      </c>
      <c r="AO581" s="52">
        <v>0</v>
      </c>
      <c r="AP581" s="52">
        <v>0</v>
      </c>
      <c r="AQ581" s="52">
        <v>0</v>
      </c>
      <c r="AR581" s="52">
        <v>0</v>
      </c>
      <c r="AS581" s="52">
        <v>0</v>
      </c>
      <c r="AT581" s="53" t="s">
        <v>74</v>
      </c>
      <c r="AU581" s="52">
        <v>0</v>
      </c>
      <c r="AV581" s="52"/>
      <c r="AW581" s="52">
        <v>0</v>
      </c>
      <c r="AX581" s="52"/>
      <c r="AY581" s="52"/>
      <c r="AZ581" s="52">
        <v>0</v>
      </c>
      <c r="BA581" s="52">
        <v>0</v>
      </c>
      <c r="BB581" s="54" t="s">
        <v>74</v>
      </c>
      <c r="BC581" s="53" t="s">
        <v>74</v>
      </c>
      <c r="BD581" s="55" t="s">
        <v>74</v>
      </c>
      <c r="BE581" s="55" t="s">
        <v>74</v>
      </c>
      <c r="BF581" s="55" t="s">
        <v>74</v>
      </c>
      <c r="BG581" s="55" t="s">
        <v>74</v>
      </c>
      <c r="BH581" s="52">
        <v>0</v>
      </c>
      <c r="BI581" s="52">
        <v>1642108.87</v>
      </c>
      <c r="BJ581" s="52">
        <v>1642108.87</v>
      </c>
      <c r="BK581" s="56">
        <v>43191</v>
      </c>
      <c r="BL581" s="57">
        <v>1642108.87</v>
      </c>
      <c r="BM581" s="47">
        <v>0</v>
      </c>
      <c r="BN581" s="9"/>
      <c r="BO581" s="9"/>
      <c r="BP581" s="9"/>
      <c r="BQ581" s="9"/>
      <c r="BR581" s="9"/>
      <c r="BS581" s="9"/>
      <c r="BT581" s="9"/>
      <c r="BU581" s="9"/>
      <c r="BV581" s="9"/>
      <c r="BW581" s="9"/>
    </row>
    <row r="582" spans="1:75" ht="26.25" hidden="1" outlineLevel="2" x14ac:dyDescent="0.25">
      <c r="A582" s="43" t="s">
        <v>640</v>
      </c>
      <c r="B582" s="184" t="s">
        <v>693</v>
      </c>
      <c r="C582" s="45">
        <v>2018</v>
      </c>
      <c r="D582" s="110" t="s">
        <v>81</v>
      </c>
      <c r="E582" s="47">
        <v>0</v>
      </c>
      <c r="F582" s="47">
        <v>0</v>
      </c>
      <c r="G582" s="47">
        <v>0</v>
      </c>
      <c r="H582" s="47">
        <v>0</v>
      </c>
      <c r="I582" s="47">
        <v>0</v>
      </c>
      <c r="J582" s="47">
        <v>0</v>
      </c>
      <c r="K582" s="47">
        <v>0</v>
      </c>
      <c r="L582" s="47">
        <v>0</v>
      </c>
      <c r="M582" s="47">
        <v>0</v>
      </c>
      <c r="N582" s="47">
        <v>0</v>
      </c>
      <c r="O582" s="47">
        <v>1791572.79</v>
      </c>
      <c r="P582" s="47">
        <v>0</v>
      </c>
      <c r="Q582" s="47">
        <v>0</v>
      </c>
      <c r="R582" s="47">
        <v>0</v>
      </c>
      <c r="S582" s="47">
        <v>0</v>
      </c>
      <c r="T582" s="47">
        <v>0</v>
      </c>
      <c r="U582" s="47">
        <v>0</v>
      </c>
      <c r="V582" s="47">
        <v>0</v>
      </c>
      <c r="W582" s="47">
        <v>0</v>
      </c>
      <c r="X582" s="47">
        <v>0</v>
      </c>
      <c r="Y582" s="180">
        <v>1791572.79</v>
      </c>
      <c r="Z582" s="58">
        <v>144855.25</v>
      </c>
      <c r="AA582" s="50">
        <v>144855.25</v>
      </c>
      <c r="AB582" s="50">
        <v>0</v>
      </c>
      <c r="AC582" s="50">
        <v>1928.76</v>
      </c>
      <c r="AD582" s="50">
        <v>6445.93</v>
      </c>
      <c r="AE582" s="112">
        <v>0</v>
      </c>
      <c r="AF582" s="50">
        <v>0</v>
      </c>
      <c r="AG582" s="49">
        <v>153229.94</v>
      </c>
      <c r="AH582" s="51" t="s">
        <v>104</v>
      </c>
      <c r="AI582" s="51" t="s">
        <v>74</v>
      </c>
      <c r="AJ582" s="51" t="s">
        <v>429</v>
      </c>
      <c r="AK582" s="51" t="s">
        <v>197</v>
      </c>
      <c r="AL582" s="51" t="s">
        <v>74</v>
      </c>
      <c r="AM582" s="51" t="s">
        <v>74</v>
      </c>
      <c r="AN582" s="52">
        <v>0</v>
      </c>
      <c r="AO582" s="52">
        <v>0</v>
      </c>
      <c r="AP582" s="52">
        <v>0</v>
      </c>
      <c r="AQ582" s="52">
        <v>0</v>
      </c>
      <c r="AR582" s="52">
        <v>0</v>
      </c>
      <c r="AS582" s="52">
        <v>0</v>
      </c>
      <c r="AT582" s="53" t="s">
        <v>74</v>
      </c>
      <c r="AU582" s="52">
        <v>0</v>
      </c>
      <c r="AV582" s="52"/>
      <c r="AW582" s="52">
        <v>0</v>
      </c>
      <c r="AX582" s="52"/>
      <c r="AY582" s="52"/>
      <c r="AZ582" s="52">
        <v>0</v>
      </c>
      <c r="BA582" s="52">
        <v>0</v>
      </c>
      <c r="BB582" s="54" t="s">
        <v>74</v>
      </c>
      <c r="BC582" s="53" t="s">
        <v>74</v>
      </c>
      <c r="BD582" s="55" t="s">
        <v>74</v>
      </c>
      <c r="BE582" s="55" t="s">
        <v>74</v>
      </c>
      <c r="BF582" s="55" t="s">
        <v>74</v>
      </c>
      <c r="BG582" s="55" t="s">
        <v>74</v>
      </c>
      <c r="BH582" s="52">
        <v>0</v>
      </c>
      <c r="BI582" s="52">
        <v>1638342.85</v>
      </c>
      <c r="BJ582" s="52">
        <v>1638342.85</v>
      </c>
      <c r="BK582" s="56">
        <v>43221</v>
      </c>
      <c r="BL582" s="57">
        <v>1638342.85</v>
      </c>
      <c r="BM582" s="47">
        <v>0</v>
      </c>
      <c r="BN582" s="9"/>
      <c r="BO582" s="9"/>
      <c r="BP582" s="9"/>
      <c r="BQ582" s="9"/>
      <c r="BR582" s="9"/>
      <c r="BS582" s="9"/>
      <c r="BT582" s="9"/>
      <c r="BU582" s="9"/>
      <c r="BV582" s="9"/>
      <c r="BW582" s="9"/>
    </row>
    <row r="583" spans="1:75" ht="64.5" hidden="1" outlineLevel="2" x14ac:dyDescent="0.25">
      <c r="A583" s="43" t="s">
        <v>640</v>
      </c>
      <c r="B583" s="184" t="s">
        <v>693</v>
      </c>
      <c r="C583" s="45">
        <v>2018</v>
      </c>
      <c r="D583" s="110" t="s">
        <v>83</v>
      </c>
      <c r="E583" s="47">
        <v>0</v>
      </c>
      <c r="F583" s="47">
        <v>0</v>
      </c>
      <c r="G583" s="47">
        <v>0</v>
      </c>
      <c r="H583" s="47">
        <v>0</v>
      </c>
      <c r="I583" s="47">
        <v>0</v>
      </c>
      <c r="J583" s="47">
        <v>0</v>
      </c>
      <c r="K583" s="47">
        <v>0</v>
      </c>
      <c r="L583" s="47">
        <v>0</v>
      </c>
      <c r="M583" s="47">
        <v>0</v>
      </c>
      <c r="N583" s="47">
        <v>0</v>
      </c>
      <c r="O583" s="47">
        <v>1612415.5109999999</v>
      </c>
      <c r="P583" s="47">
        <v>179157.28</v>
      </c>
      <c r="Q583" s="47">
        <v>0</v>
      </c>
      <c r="R583" s="47">
        <v>0</v>
      </c>
      <c r="S583" s="47">
        <v>0</v>
      </c>
      <c r="T583" s="47">
        <v>0</v>
      </c>
      <c r="U583" s="47">
        <v>0</v>
      </c>
      <c r="V583" s="47">
        <v>0</v>
      </c>
      <c r="W583" s="47">
        <v>0</v>
      </c>
      <c r="X583" s="47">
        <v>0</v>
      </c>
      <c r="Y583" s="180">
        <v>1791572.791</v>
      </c>
      <c r="Z583" s="58">
        <v>160988.70000000001</v>
      </c>
      <c r="AA583" s="50">
        <v>160988.70000000001</v>
      </c>
      <c r="AB583" s="50">
        <v>0</v>
      </c>
      <c r="AC583" s="50">
        <v>1576.57</v>
      </c>
      <c r="AD583" s="50">
        <v>5434.55</v>
      </c>
      <c r="AE583" s="50">
        <v>0</v>
      </c>
      <c r="AF583" s="112">
        <v>480679.84</v>
      </c>
      <c r="AG583" s="49">
        <v>648679.66</v>
      </c>
      <c r="AH583" s="51" t="s">
        <v>104</v>
      </c>
      <c r="AI583" s="51" t="s">
        <v>74</v>
      </c>
      <c r="AJ583" s="51" t="s">
        <v>111</v>
      </c>
      <c r="AK583" s="51" t="s">
        <v>112</v>
      </c>
      <c r="AL583" s="51" t="s">
        <v>74</v>
      </c>
      <c r="AM583" s="51" t="s">
        <v>702</v>
      </c>
      <c r="AN583" s="52">
        <v>0</v>
      </c>
      <c r="AO583" s="52">
        <v>0</v>
      </c>
      <c r="AP583" s="52">
        <v>0</v>
      </c>
      <c r="AQ583" s="52">
        <v>0</v>
      </c>
      <c r="AR583" s="52">
        <v>0</v>
      </c>
      <c r="AS583" s="52">
        <v>0</v>
      </c>
      <c r="AT583" s="53" t="s">
        <v>74</v>
      </c>
      <c r="AU583" s="52">
        <v>0</v>
      </c>
      <c r="AV583" s="52"/>
      <c r="AW583" s="52">
        <v>0</v>
      </c>
      <c r="AX583" s="52"/>
      <c r="AY583" s="52"/>
      <c r="AZ583" s="52">
        <v>0</v>
      </c>
      <c r="BA583" s="52">
        <v>0</v>
      </c>
      <c r="BB583" s="54" t="s">
        <v>74</v>
      </c>
      <c r="BC583" s="53" t="s">
        <v>74</v>
      </c>
      <c r="BD583" s="55" t="s">
        <v>74</v>
      </c>
      <c r="BE583" s="55" t="s">
        <v>74</v>
      </c>
      <c r="BF583" s="55" t="s">
        <v>74</v>
      </c>
      <c r="BG583" s="55" t="s">
        <v>74</v>
      </c>
      <c r="BH583" s="52">
        <v>0</v>
      </c>
      <c r="BI583" s="52">
        <v>1142893.1310000001</v>
      </c>
      <c r="BJ583" s="52">
        <v>1142893.1310000001</v>
      </c>
      <c r="BK583" s="56">
        <v>43252</v>
      </c>
      <c r="BL583" s="57">
        <v>1142893.1299999999</v>
      </c>
      <c r="BM583" s="47">
        <v>0</v>
      </c>
      <c r="BN583" s="9"/>
      <c r="BO583" s="9"/>
      <c r="BP583" s="9"/>
      <c r="BQ583" s="9"/>
      <c r="BR583" s="9"/>
      <c r="BS583" s="9"/>
      <c r="BT583" s="9"/>
      <c r="BU583" s="9"/>
      <c r="BV583" s="9"/>
      <c r="BW583" s="9"/>
    </row>
    <row r="584" spans="1:75" ht="64.5" hidden="1" outlineLevel="2" x14ac:dyDescent="0.25">
      <c r="A584" s="43" t="s">
        <v>640</v>
      </c>
      <c r="B584" s="184" t="s">
        <v>693</v>
      </c>
      <c r="C584" s="45">
        <v>2018</v>
      </c>
      <c r="D584" s="110" t="s">
        <v>84</v>
      </c>
      <c r="E584" s="47">
        <v>0</v>
      </c>
      <c r="F584" s="47">
        <v>0</v>
      </c>
      <c r="G584" s="47">
        <v>0</v>
      </c>
      <c r="H584" s="47">
        <v>0</v>
      </c>
      <c r="I584" s="47">
        <v>0</v>
      </c>
      <c r="J584" s="47">
        <v>0</v>
      </c>
      <c r="K584" s="47">
        <v>0</v>
      </c>
      <c r="L584" s="47">
        <v>0</v>
      </c>
      <c r="M584" s="47">
        <v>0</v>
      </c>
      <c r="N584" s="47">
        <v>0</v>
      </c>
      <c r="O584" s="47">
        <v>0</v>
      </c>
      <c r="P584" s="47">
        <v>1791572.79</v>
      </c>
      <c r="Q584" s="47">
        <v>0</v>
      </c>
      <c r="R584" s="47">
        <v>0</v>
      </c>
      <c r="S584" s="47">
        <v>0</v>
      </c>
      <c r="T584" s="47">
        <v>0</v>
      </c>
      <c r="U584" s="47">
        <v>0</v>
      </c>
      <c r="V584" s="47">
        <v>0</v>
      </c>
      <c r="W584" s="47">
        <v>0</v>
      </c>
      <c r="X584" s="47">
        <v>0</v>
      </c>
      <c r="Y584" s="48">
        <v>1791572.79</v>
      </c>
      <c r="Z584" s="58">
        <v>145848.81</v>
      </c>
      <c r="AA584" s="50">
        <v>145848.81</v>
      </c>
      <c r="AB584" s="50">
        <v>0</v>
      </c>
      <c r="AC584" s="50">
        <v>1469.5</v>
      </c>
      <c r="AD584" s="50">
        <v>5382.74</v>
      </c>
      <c r="AE584" s="50">
        <v>429988.5</v>
      </c>
      <c r="AF584" s="112">
        <v>259367.67999999999</v>
      </c>
      <c r="AG584" s="49">
        <v>842057.23</v>
      </c>
      <c r="AH584" s="51" t="s">
        <v>104</v>
      </c>
      <c r="AI584" s="51" t="s">
        <v>74</v>
      </c>
      <c r="AJ584" s="51" t="s">
        <v>114</v>
      </c>
      <c r="AK584" s="51" t="s">
        <v>115</v>
      </c>
      <c r="AL584" s="51" t="s">
        <v>703</v>
      </c>
      <c r="AM584" s="51" t="s">
        <v>704</v>
      </c>
      <c r="AN584" s="52">
        <v>0</v>
      </c>
      <c r="AO584" s="52">
        <v>0</v>
      </c>
      <c r="AP584" s="52">
        <v>0</v>
      </c>
      <c r="AQ584" s="52">
        <v>0</v>
      </c>
      <c r="AR584" s="52">
        <v>0</v>
      </c>
      <c r="AS584" s="52">
        <v>0</v>
      </c>
      <c r="AT584" s="53" t="s">
        <v>74</v>
      </c>
      <c r="AU584" s="52">
        <v>0</v>
      </c>
      <c r="AV584" s="52"/>
      <c r="AW584" s="52">
        <v>0</v>
      </c>
      <c r="AX584" s="52"/>
      <c r="AY584" s="52"/>
      <c r="AZ584" s="52">
        <v>0</v>
      </c>
      <c r="BA584" s="52">
        <v>0</v>
      </c>
      <c r="BB584" s="54" t="s">
        <v>74</v>
      </c>
      <c r="BC584" s="53" t="s">
        <v>74</v>
      </c>
      <c r="BD584" s="55" t="s">
        <v>74</v>
      </c>
      <c r="BE584" s="55" t="s">
        <v>74</v>
      </c>
      <c r="BF584" s="55" t="s">
        <v>74</v>
      </c>
      <c r="BG584" s="55" t="s">
        <v>74</v>
      </c>
      <c r="BH584" s="52">
        <v>0</v>
      </c>
      <c r="BI584" s="52">
        <v>949515.56</v>
      </c>
      <c r="BJ584" s="52">
        <v>949515.56</v>
      </c>
      <c r="BK584" s="56">
        <v>43282</v>
      </c>
      <c r="BL584" s="57">
        <v>949515.56</v>
      </c>
      <c r="BM584" s="47">
        <v>0</v>
      </c>
      <c r="BN584" s="9"/>
      <c r="BO584" s="9"/>
      <c r="BP584" s="9"/>
      <c r="BQ584" s="9"/>
      <c r="BR584" s="9"/>
      <c r="BS584" s="9"/>
      <c r="BT584" s="9"/>
      <c r="BU584" s="9"/>
      <c r="BV584" s="9"/>
      <c r="BW584" s="9"/>
    </row>
    <row r="585" spans="1:75" ht="64.5" hidden="1" outlineLevel="2" x14ac:dyDescent="0.25">
      <c r="A585" s="43" t="s">
        <v>640</v>
      </c>
      <c r="B585" s="184" t="s">
        <v>693</v>
      </c>
      <c r="C585" s="45">
        <v>2018</v>
      </c>
      <c r="D585" s="110" t="s">
        <v>86</v>
      </c>
      <c r="E585" s="47">
        <v>0</v>
      </c>
      <c r="F585" s="47">
        <v>0</v>
      </c>
      <c r="G585" s="47">
        <v>0</v>
      </c>
      <c r="H585" s="47">
        <v>0</v>
      </c>
      <c r="I585" s="47">
        <v>0</v>
      </c>
      <c r="J585" s="47">
        <v>0</v>
      </c>
      <c r="K585" s="47">
        <v>0</v>
      </c>
      <c r="L585" s="47">
        <v>0</v>
      </c>
      <c r="M585" s="47">
        <v>0</v>
      </c>
      <c r="N585" s="47">
        <v>0</v>
      </c>
      <c r="O585" s="47">
        <v>0</v>
      </c>
      <c r="P585" s="47">
        <v>1791572.79</v>
      </c>
      <c r="Q585" s="47">
        <v>0</v>
      </c>
      <c r="R585" s="47">
        <v>0</v>
      </c>
      <c r="S585" s="47">
        <v>0</v>
      </c>
      <c r="T585" s="47">
        <v>0</v>
      </c>
      <c r="U585" s="47">
        <v>0</v>
      </c>
      <c r="V585" s="47">
        <v>0</v>
      </c>
      <c r="W585" s="47">
        <v>0</v>
      </c>
      <c r="X585" s="47">
        <v>0</v>
      </c>
      <c r="Y585" s="48">
        <v>1791572.79</v>
      </c>
      <c r="Z585" s="58">
        <v>137736.72</v>
      </c>
      <c r="AA585" s="50">
        <v>137736.72</v>
      </c>
      <c r="AB585" s="50">
        <v>0</v>
      </c>
      <c r="AC585" s="50">
        <v>1667.36</v>
      </c>
      <c r="AD585" s="50">
        <v>4644.75</v>
      </c>
      <c r="AE585" s="50">
        <v>429988.5</v>
      </c>
      <c r="AF585" s="112">
        <v>476410.89</v>
      </c>
      <c r="AG585" s="49">
        <v>1050448.22</v>
      </c>
      <c r="AH585" s="51" t="s">
        <v>104</v>
      </c>
      <c r="AI585" s="51" t="s">
        <v>74</v>
      </c>
      <c r="AJ585" s="51" t="s">
        <v>117</v>
      </c>
      <c r="AK585" s="51" t="s">
        <v>118</v>
      </c>
      <c r="AL585" s="51" t="s">
        <v>703</v>
      </c>
      <c r="AM585" s="51" t="s">
        <v>705</v>
      </c>
      <c r="AN585" s="52">
        <v>0</v>
      </c>
      <c r="AO585" s="52">
        <v>0</v>
      </c>
      <c r="AP585" s="52">
        <v>0</v>
      </c>
      <c r="AQ585" s="52">
        <v>0</v>
      </c>
      <c r="AR585" s="52">
        <v>0</v>
      </c>
      <c r="AS585" s="52">
        <v>0</v>
      </c>
      <c r="AT585" s="53" t="s">
        <v>74</v>
      </c>
      <c r="AU585" s="52">
        <v>0</v>
      </c>
      <c r="AV585" s="52"/>
      <c r="AW585" s="52">
        <v>0</v>
      </c>
      <c r="AX585" s="52"/>
      <c r="AY585" s="52"/>
      <c r="AZ585" s="52">
        <v>0</v>
      </c>
      <c r="BA585" s="52">
        <v>0</v>
      </c>
      <c r="BB585" s="54" t="s">
        <v>74</v>
      </c>
      <c r="BC585" s="53" t="s">
        <v>74</v>
      </c>
      <c r="BD585" s="55" t="s">
        <v>74</v>
      </c>
      <c r="BE585" s="55" t="s">
        <v>74</v>
      </c>
      <c r="BF585" s="55" t="s">
        <v>74</v>
      </c>
      <c r="BG585" s="55" t="s">
        <v>74</v>
      </c>
      <c r="BH585" s="52">
        <v>0</v>
      </c>
      <c r="BI585" s="52">
        <v>741124.57</v>
      </c>
      <c r="BJ585" s="52">
        <v>741124.57</v>
      </c>
      <c r="BK585" s="56">
        <v>43313</v>
      </c>
      <c r="BL585" s="57">
        <v>741124.57</v>
      </c>
      <c r="BM585" s="47">
        <v>0</v>
      </c>
      <c r="BN585" s="9"/>
      <c r="BO585" s="9"/>
      <c r="BP585" s="9"/>
      <c r="BQ585" s="9"/>
      <c r="BR585" s="9"/>
      <c r="BS585" s="9"/>
      <c r="BT585" s="9"/>
      <c r="BU585" s="9"/>
      <c r="BV585" s="9"/>
      <c r="BW585" s="9"/>
    </row>
    <row r="586" spans="1:75" ht="39" hidden="1" outlineLevel="2" x14ac:dyDescent="0.25">
      <c r="A586" s="43" t="s">
        <v>640</v>
      </c>
      <c r="B586" s="184" t="s">
        <v>693</v>
      </c>
      <c r="C586" s="45">
        <v>2018</v>
      </c>
      <c r="D586" s="110" t="s">
        <v>88</v>
      </c>
      <c r="E586" s="47">
        <v>0</v>
      </c>
      <c r="F586" s="47">
        <v>0</v>
      </c>
      <c r="G586" s="47">
        <v>0</v>
      </c>
      <c r="H586" s="47">
        <v>0</v>
      </c>
      <c r="I586" s="47">
        <v>0</v>
      </c>
      <c r="J586" s="47">
        <v>0</v>
      </c>
      <c r="K586" s="47">
        <v>0</v>
      </c>
      <c r="L586" s="47">
        <v>0</v>
      </c>
      <c r="M586" s="47">
        <v>0</v>
      </c>
      <c r="N586" s="47">
        <v>0</v>
      </c>
      <c r="O586" s="47">
        <v>0</v>
      </c>
      <c r="P586" s="47">
        <v>1791572.79</v>
      </c>
      <c r="Q586" s="47">
        <v>0</v>
      </c>
      <c r="R586" s="47">
        <v>0</v>
      </c>
      <c r="S586" s="47">
        <v>0</v>
      </c>
      <c r="T586" s="47">
        <v>0</v>
      </c>
      <c r="U586" s="47">
        <v>0</v>
      </c>
      <c r="V586" s="47">
        <v>0</v>
      </c>
      <c r="W586" s="47">
        <v>0</v>
      </c>
      <c r="X586" s="47">
        <v>0</v>
      </c>
      <c r="Y586" s="48">
        <v>1791572.79</v>
      </c>
      <c r="Z586" s="58">
        <v>134730.39000000001</v>
      </c>
      <c r="AA586" s="50">
        <v>134730.39000000001</v>
      </c>
      <c r="AB586" s="50">
        <v>0</v>
      </c>
      <c r="AC586" s="50">
        <v>1680.48</v>
      </c>
      <c r="AD586" s="50">
        <v>6104.19</v>
      </c>
      <c r="AE586" s="50">
        <v>429988.5</v>
      </c>
      <c r="AF586" s="50">
        <v>0</v>
      </c>
      <c r="AG586" s="49">
        <v>572503.56000000006</v>
      </c>
      <c r="AH586" s="51" t="s">
        <v>104</v>
      </c>
      <c r="AI586" s="51" t="s">
        <v>74</v>
      </c>
      <c r="AJ586" s="51" t="s">
        <v>120</v>
      </c>
      <c r="AK586" s="51" t="s">
        <v>121</v>
      </c>
      <c r="AL586" s="51" t="s">
        <v>703</v>
      </c>
      <c r="AM586" s="51" t="s">
        <v>74</v>
      </c>
      <c r="AN586" s="52">
        <v>0</v>
      </c>
      <c r="AO586" s="52">
        <v>0</v>
      </c>
      <c r="AP586" s="52">
        <v>0</v>
      </c>
      <c r="AQ586" s="52">
        <v>0</v>
      </c>
      <c r="AR586" s="52">
        <v>0</v>
      </c>
      <c r="AS586" s="52">
        <v>0</v>
      </c>
      <c r="AT586" s="53" t="s">
        <v>74</v>
      </c>
      <c r="AU586" s="52">
        <v>0</v>
      </c>
      <c r="AV586" s="52"/>
      <c r="AW586" s="52">
        <v>0</v>
      </c>
      <c r="AX586" s="52"/>
      <c r="AY586" s="52"/>
      <c r="AZ586" s="52">
        <v>0</v>
      </c>
      <c r="BA586" s="52">
        <v>0</v>
      </c>
      <c r="BB586" s="54" t="s">
        <v>74</v>
      </c>
      <c r="BC586" s="53" t="s">
        <v>74</v>
      </c>
      <c r="BD586" s="55" t="s">
        <v>74</v>
      </c>
      <c r="BE586" s="55" t="s">
        <v>74</v>
      </c>
      <c r="BF586" s="55" t="s">
        <v>74</v>
      </c>
      <c r="BG586" s="55" t="s">
        <v>74</v>
      </c>
      <c r="BH586" s="52">
        <v>0</v>
      </c>
      <c r="BI586" s="52">
        <v>1219069.23</v>
      </c>
      <c r="BJ586" s="52">
        <v>1219069.23</v>
      </c>
      <c r="BK586" s="56">
        <v>43344</v>
      </c>
      <c r="BL586" s="57">
        <v>1219069.23</v>
      </c>
      <c r="BM586" s="47">
        <v>0</v>
      </c>
      <c r="BN586" s="9"/>
      <c r="BO586" s="9"/>
      <c r="BP586" s="9"/>
      <c r="BQ586" s="9"/>
      <c r="BR586" s="9"/>
      <c r="BS586" s="9"/>
      <c r="BT586" s="9"/>
      <c r="BU586" s="9"/>
      <c r="BV586" s="9"/>
      <c r="BW586" s="9"/>
    </row>
    <row r="587" spans="1:75" ht="39" hidden="1" outlineLevel="2" x14ac:dyDescent="0.25">
      <c r="A587" s="43" t="s">
        <v>640</v>
      </c>
      <c r="B587" s="184" t="s">
        <v>693</v>
      </c>
      <c r="C587" s="45">
        <v>2018</v>
      </c>
      <c r="D587" s="110" t="s">
        <v>89</v>
      </c>
      <c r="E587" s="47">
        <v>0</v>
      </c>
      <c r="F587" s="47">
        <v>0</v>
      </c>
      <c r="G587" s="47">
        <v>0</v>
      </c>
      <c r="H587" s="47">
        <v>0</v>
      </c>
      <c r="I587" s="47">
        <v>0</v>
      </c>
      <c r="J587" s="47">
        <v>0</v>
      </c>
      <c r="K587" s="47">
        <v>0</v>
      </c>
      <c r="L587" s="47">
        <v>0</v>
      </c>
      <c r="M587" s="47">
        <v>0</v>
      </c>
      <c r="N587" s="47">
        <v>0</v>
      </c>
      <c r="O587" s="47">
        <v>0</v>
      </c>
      <c r="P587" s="47">
        <v>1791572.79</v>
      </c>
      <c r="Q587" s="47">
        <v>0</v>
      </c>
      <c r="R587" s="47">
        <v>0</v>
      </c>
      <c r="S587" s="47">
        <v>0</v>
      </c>
      <c r="T587" s="47">
        <v>0</v>
      </c>
      <c r="U587" s="47">
        <v>0</v>
      </c>
      <c r="V587" s="47">
        <v>0</v>
      </c>
      <c r="W587" s="47">
        <v>0</v>
      </c>
      <c r="X587" s="47">
        <v>0</v>
      </c>
      <c r="Y587" s="48">
        <v>1791572.79</v>
      </c>
      <c r="Z587" s="58">
        <v>149488.88</v>
      </c>
      <c r="AA587" s="50">
        <v>149488.88</v>
      </c>
      <c r="AB587" s="50">
        <v>0</v>
      </c>
      <c r="AC587" s="50">
        <v>1857.83</v>
      </c>
      <c r="AD587" s="50">
        <v>7250.49</v>
      </c>
      <c r="AE587" s="50">
        <v>851509.18</v>
      </c>
      <c r="AF587" s="50">
        <v>0</v>
      </c>
      <c r="AG587" s="49">
        <v>1010106.38</v>
      </c>
      <c r="AH587" s="51" t="s">
        <v>104</v>
      </c>
      <c r="AI587" s="51" t="s">
        <v>74</v>
      </c>
      <c r="AJ587" s="51" t="s">
        <v>123</v>
      </c>
      <c r="AK587" s="51" t="s">
        <v>124</v>
      </c>
      <c r="AL587" s="51" t="s">
        <v>703</v>
      </c>
      <c r="AM587" s="51" t="s">
        <v>74</v>
      </c>
      <c r="AN587" s="52">
        <v>0</v>
      </c>
      <c r="AO587" s="52">
        <v>0</v>
      </c>
      <c r="AP587" s="52">
        <v>0</v>
      </c>
      <c r="AQ587" s="52">
        <v>0</v>
      </c>
      <c r="AR587" s="52">
        <v>0</v>
      </c>
      <c r="AS587" s="52">
        <v>0</v>
      </c>
      <c r="AT587" s="53" t="s">
        <v>74</v>
      </c>
      <c r="AU587" s="52">
        <v>0</v>
      </c>
      <c r="AV587" s="52"/>
      <c r="AW587" s="52">
        <v>0</v>
      </c>
      <c r="AX587" s="52"/>
      <c r="AY587" s="52"/>
      <c r="AZ587" s="52">
        <v>0</v>
      </c>
      <c r="BA587" s="52">
        <v>0</v>
      </c>
      <c r="BB587" s="54" t="s">
        <v>74</v>
      </c>
      <c r="BC587" s="53" t="s">
        <v>74</v>
      </c>
      <c r="BD587" s="55" t="s">
        <v>74</v>
      </c>
      <c r="BE587" s="55" t="s">
        <v>74</v>
      </c>
      <c r="BF587" s="55" t="s">
        <v>74</v>
      </c>
      <c r="BG587" s="55" t="s">
        <v>74</v>
      </c>
      <c r="BH587" s="52">
        <v>0</v>
      </c>
      <c r="BI587" s="52">
        <v>781466.41</v>
      </c>
      <c r="BJ587" s="52">
        <v>781466.41</v>
      </c>
      <c r="BK587" s="56">
        <v>43374</v>
      </c>
      <c r="BL587" s="63">
        <v>781466.41</v>
      </c>
      <c r="BM587" s="47">
        <v>0</v>
      </c>
      <c r="BN587" s="9"/>
      <c r="BO587" s="9"/>
      <c r="BP587" s="9"/>
      <c r="BQ587" s="9"/>
      <c r="BR587" s="9"/>
      <c r="BS587" s="9"/>
      <c r="BT587" s="9"/>
      <c r="BU587" s="9"/>
      <c r="BV587" s="9"/>
      <c r="BW587" s="9"/>
    </row>
    <row r="588" spans="1:75" ht="39" hidden="1" outlineLevel="2" x14ac:dyDescent="0.25">
      <c r="A588" s="43" t="s">
        <v>640</v>
      </c>
      <c r="B588" s="184" t="s">
        <v>693</v>
      </c>
      <c r="C588" s="45">
        <v>2018</v>
      </c>
      <c r="D588" s="110" t="s">
        <v>90</v>
      </c>
      <c r="E588" s="47">
        <v>0</v>
      </c>
      <c r="F588" s="47">
        <v>0</v>
      </c>
      <c r="G588" s="47">
        <v>0</v>
      </c>
      <c r="H588" s="47">
        <v>0</v>
      </c>
      <c r="I588" s="47">
        <v>0</v>
      </c>
      <c r="J588" s="47">
        <v>0</v>
      </c>
      <c r="K588" s="47">
        <v>0</v>
      </c>
      <c r="L588" s="47">
        <v>0</v>
      </c>
      <c r="M588" s="47">
        <v>0</v>
      </c>
      <c r="N588" s="47">
        <v>0</v>
      </c>
      <c r="O588" s="47">
        <v>0</v>
      </c>
      <c r="P588" s="47">
        <v>1791572.79</v>
      </c>
      <c r="Q588" s="47">
        <v>0</v>
      </c>
      <c r="R588" s="47">
        <v>0</v>
      </c>
      <c r="S588" s="47">
        <v>0</v>
      </c>
      <c r="T588" s="47">
        <v>0</v>
      </c>
      <c r="U588" s="47">
        <v>0</v>
      </c>
      <c r="V588" s="47">
        <v>0</v>
      </c>
      <c r="W588" s="47">
        <v>0</v>
      </c>
      <c r="X588" s="47">
        <v>0</v>
      </c>
      <c r="Y588" s="48">
        <v>1791572.79</v>
      </c>
      <c r="Z588" s="58">
        <v>139190.54</v>
      </c>
      <c r="AA588" s="50">
        <v>139190.54</v>
      </c>
      <c r="AB588" s="50">
        <v>0</v>
      </c>
      <c r="AC588" s="50">
        <v>1495.42</v>
      </c>
      <c r="AD588" s="50">
        <v>7427.91</v>
      </c>
      <c r="AE588" s="50">
        <v>429988.5</v>
      </c>
      <c r="AF588" s="50">
        <v>0</v>
      </c>
      <c r="AG588" s="49">
        <v>578102.37</v>
      </c>
      <c r="AH588" s="51" t="s">
        <v>104</v>
      </c>
      <c r="AI588" s="51" t="s">
        <v>74</v>
      </c>
      <c r="AJ588" s="51" t="s">
        <v>125</v>
      </c>
      <c r="AK588" s="51" t="s">
        <v>126</v>
      </c>
      <c r="AL588" s="51" t="s">
        <v>703</v>
      </c>
      <c r="AM588" s="51" t="s">
        <v>74</v>
      </c>
      <c r="AN588" s="52">
        <v>0</v>
      </c>
      <c r="AO588" s="52">
        <v>0</v>
      </c>
      <c r="AP588" s="52">
        <v>0</v>
      </c>
      <c r="AQ588" s="52">
        <v>0</v>
      </c>
      <c r="AR588" s="52">
        <v>0</v>
      </c>
      <c r="AS588" s="52">
        <v>0</v>
      </c>
      <c r="AT588" s="53" t="s">
        <v>74</v>
      </c>
      <c r="AU588" s="52">
        <v>0</v>
      </c>
      <c r="AV588" s="52"/>
      <c r="AW588" s="52">
        <v>0</v>
      </c>
      <c r="AX588" s="52"/>
      <c r="AY588" s="52"/>
      <c r="AZ588" s="52">
        <v>0</v>
      </c>
      <c r="BA588" s="52">
        <v>0</v>
      </c>
      <c r="BB588" s="54" t="s">
        <v>74</v>
      </c>
      <c r="BC588" s="53" t="s">
        <v>74</v>
      </c>
      <c r="BD588" s="55" t="s">
        <v>74</v>
      </c>
      <c r="BE588" s="55" t="s">
        <v>74</v>
      </c>
      <c r="BF588" s="55" t="s">
        <v>74</v>
      </c>
      <c r="BG588" s="55" t="s">
        <v>74</v>
      </c>
      <c r="BH588" s="52">
        <v>0</v>
      </c>
      <c r="BI588" s="52">
        <v>1213470.42</v>
      </c>
      <c r="BJ588" s="52">
        <v>1213470.42</v>
      </c>
      <c r="BK588" s="56">
        <v>43405</v>
      </c>
      <c r="BL588" s="63">
        <v>1213470.42</v>
      </c>
      <c r="BM588" s="47">
        <v>0</v>
      </c>
      <c r="BN588" s="9"/>
      <c r="BO588" s="9"/>
      <c r="BP588" s="9"/>
      <c r="BQ588" s="9"/>
      <c r="BR588" s="9"/>
      <c r="BS588" s="9"/>
      <c r="BT588" s="9"/>
      <c r="BU588" s="9"/>
      <c r="BV588" s="9"/>
      <c r="BW588" s="9"/>
    </row>
    <row r="589" spans="1:75" ht="115.5" hidden="1" outlineLevel="2" x14ac:dyDescent="0.25">
      <c r="A589" s="43" t="s">
        <v>640</v>
      </c>
      <c r="B589" s="184" t="s">
        <v>693</v>
      </c>
      <c r="C589" s="45">
        <v>2018</v>
      </c>
      <c r="D589" s="110" t="s">
        <v>93</v>
      </c>
      <c r="E589" s="47">
        <v>0</v>
      </c>
      <c r="F589" s="47">
        <v>0</v>
      </c>
      <c r="G589" s="47">
        <v>0</v>
      </c>
      <c r="H589" s="47">
        <v>0</v>
      </c>
      <c r="I589" s="47">
        <v>0</v>
      </c>
      <c r="J589" s="47">
        <v>0</v>
      </c>
      <c r="K589" s="47">
        <v>0</v>
      </c>
      <c r="L589" s="47">
        <v>0</v>
      </c>
      <c r="M589" s="47">
        <v>0</v>
      </c>
      <c r="N589" s="47">
        <v>0</v>
      </c>
      <c r="O589" s="47">
        <v>0</v>
      </c>
      <c r="P589" s="47">
        <v>1791572.79</v>
      </c>
      <c r="Q589" s="47">
        <v>0</v>
      </c>
      <c r="R589" s="47">
        <v>0</v>
      </c>
      <c r="S589" s="47">
        <v>0</v>
      </c>
      <c r="T589" s="47">
        <v>0</v>
      </c>
      <c r="U589" s="47">
        <v>0</v>
      </c>
      <c r="V589" s="47">
        <v>0</v>
      </c>
      <c r="W589" s="47">
        <v>0</v>
      </c>
      <c r="X589" s="47">
        <v>0</v>
      </c>
      <c r="Y589" s="48">
        <v>1791572.79</v>
      </c>
      <c r="Z589" s="58">
        <v>152066.22</v>
      </c>
      <c r="AA589" s="50">
        <v>152066.22</v>
      </c>
      <c r="AB589" s="50">
        <v>0</v>
      </c>
      <c r="AC589" s="50">
        <v>1677.91</v>
      </c>
      <c r="AD589" s="50">
        <v>6927.53</v>
      </c>
      <c r="AE589" s="50">
        <v>429988.5</v>
      </c>
      <c r="AF589" s="50">
        <v>0</v>
      </c>
      <c r="AG589" s="49">
        <v>590660.16</v>
      </c>
      <c r="AH589" s="51" t="s">
        <v>104</v>
      </c>
      <c r="AI589" s="51" t="s">
        <v>74</v>
      </c>
      <c r="AJ589" s="51" t="s">
        <v>127</v>
      </c>
      <c r="AK589" s="51" t="s">
        <v>128</v>
      </c>
      <c r="AL589" s="51" t="s">
        <v>703</v>
      </c>
      <c r="AM589" s="51" t="s">
        <v>74</v>
      </c>
      <c r="AN589" s="52">
        <v>0</v>
      </c>
      <c r="AO589" s="52">
        <v>199019.18</v>
      </c>
      <c r="AP589" s="52">
        <v>0</v>
      </c>
      <c r="AQ589" s="52">
        <v>0</v>
      </c>
      <c r="AR589" s="52">
        <v>0</v>
      </c>
      <c r="AS589" s="52">
        <v>199019.18</v>
      </c>
      <c r="AT589" s="51" t="s">
        <v>676</v>
      </c>
      <c r="AU589" s="52">
        <v>0</v>
      </c>
      <c r="AV589" s="52"/>
      <c r="AW589" s="52">
        <v>0</v>
      </c>
      <c r="AX589" s="52"/>
      <c r="AY589" s="52"/>
      <c r="AZ589" s="52">
        <v>0</v>
      </c>
      <c r="BA589" s="52">
        <v>0</v>
      </c>
      <c r="BB589" s="54" t="s">
        <v>74</v>
      </c>
      <c r="BC589" s="53" t="s">
        <v>74</v>
      </c>
      <c r="BD589" s="55" t="s">
        <v>74</v>
      </c>
      <c r="BE589" s="55" t="s">
        <v>74</v>
      </c>
      <c r="BF589" s="55" t="s">
        <v>74</v>
      </c>
      <c r="BG589" s="55" t="s">
        <v>74</v>
      </c>
      <c r="BH589" s="52">
        <v>199019.18</v>
      </c>
      <c r="BI589" s="52">
        <v>1399931.81</v>
      </c>
      <c r="BJ589" s="52">
        <v>1399931.81</v>
      </c>
      <c r="BK589" s="56">
        <v>43435</v>
      </c>
      <c r="BL589" s="63">
        <v>1399931.81</v>
      </c>
      <c r="BM589" s="47">
        <v>0</v>
      </c>
      <c r="BN589" s="9"/>
      <c r="BO589" s="9"/>
      <c r="BP589" s="9"/>
      <c r="BQ589" s="9"/>
      <c r="BR589" s="9"/>
      <c r="BS589" s="9"/>
      <c r="BT589" s="9"/>
      <c r="BU589" s="9"/>
      <c r="BV589" s="9"/>
      <c r="BW589" s="9"/>
    </row>
    <row r="590" spans="1:75" ht="51.75" hidden="1" outlineLevel="2" x14ac:dyDescent="0.25">
      <c r="A590" s="43" t="s">
        <v>640</v>
      </c>
      <c r="B590" s="184" t="s">
        <v>693</v>
      </c>
      <c r="C590" s="45">
        <v>2019</v>
      </c>
      <c r="D590" s="110" t="s">
        <v>73</v>
      </c>
      <c r="E590" s="47">
        <v>0</v>
      </c>
      <c r="F590" s="47">
        <v>0</v>
      </c>
      <c r="G590" s="47">
        <v>0</v>
      </c>
      <c r="H590" s="47">
        <v>0</v>
      </c>
      <c r="I590" s="47">
        <v>0</v>
      </c>
      <c r="J590" s="47">
        <v>0</v>
      </c>
      <c r="K590" s="47">
        <v>0</v>
      </c>
      <c r="L590" s="47">
        <v>0</v>
      </c>
      <c r="M590" s="47">
        <v>0</v>
      </c>
      <c r="N590" s="47">
        <v>0</v>
      </c>
      <c r="O590" s="47">
        <v>0</v>
      </c>
      <c r="P590" s="47">
        <v>1791572.79</v>
      </c>
      <c r="Q590" s="47">
        <v>0</v>
      </c>
      <c r="R590" s="47">
        <v>0</v>
      </c>
      <c r="S590" s="47">
        <v>0</v>
      </c>
      <c r="T590" s="47">
        <v>0</v>
      </c>
      <c r="U590" s="47">
        <v>0</v>
      </c>
      <c r="V590" s="47">
        <v>0</v>
      </c>
      <c r="W590" s="47">
        <v>0</v>
      </c>
      <c r="X590" s="47">
        <v>0</v>
      </c>
      <c r="Y590" s="48">
        <v>1791572.79</v>
      </c>
      <c r="Z590" s="58">
        <v>144283.07999999999</v>
      </c>
      <c r="AA590" s="50">
        <v>144283.07999999999</v>
      </c>
      <c r="AB590" s="50">
        <v>0</v>
      </c>
      <c r="AC590" s="50">
        <v>1242.17</v>
      </c>
      <c r="AD590" s="50">
        <v>9158.25</v>
      </c>
      <c r="AE590" s="50">
        <v>0</v>
      </c>
      <c r="AF590" s="50">
        <v>0</v>
      </c>
      <c r="AG590" s="49">
        <v>154683.5</v>
      </c>
      <c r="AH590" s="51" t="s">
        <v>104</v>
      </c>
      <c r="AI590" s="51" t="s">
        <v>74</v>
      </c>
      <c r="AJ590" s="51" t="s">
        <v>706</v>
      </c>
      <c r="AK590" s="51" t="s">
        <v>707</v>
      </c>
      <c r="AL590" s="51" t="s">
        <v>74</v>
      </c>
      <c r="AM590" s="51" t="s">
        <v>74</v>
      </c>
      <c r="AN590" s="52">
        <v>0</v>
      </c>
      <c r="AO590" s="52">
        <v>0</v>
      </c>
      <c r="AP590" s="52">
        <v>0</v>
      </c>
      <c r="AQ590" s="52">
        <v>0</v>
      </c>
      <c r="AR590" s="52">
        <v>0</v>
      </c>
      <c r="AS590" s="52">
        <v>0</v>
      </c>
      <c r="AT590" s="53" t="s">
        <v>74</v>
      </c>
      <c r="AU590" s="52">
        <v>0</v>
      </c>
      <c r="AV590" s="52"/>
      <c r="AW590" s="52">
        <v>0</v>
      </c>
      <c r="AX590" s="52"/>
      <c r="AY590" s="52"/>
      <c r="AZ590" s="52">
        <v>0</v>
      </c>
      <c r="BA590" s="52">
        <v>0</v>
      </c>
      <c r="BB590" s="54" t="s">
        <v>74</v>
      </c>
      <c r="BC590" s="53" t="s">
        <v>74</v>
      </c>
      <c r="BD590" s="55" t="s">
        <v>74</v>
      </c>
      <c r="BE590" s="55" t="s">
        <v>74</v>
      </c>
      <c r="BF590" s="55" t="s">
        <v>74</v>
      </c>
      <c r="BG590" s="55" t="s">
        <v>74</v>
      </c>
      <c r="BH590" s="52">
        <v>0</v>
      </c>
      <c r="BI590" s="52">
        <v>1636889.29</v>
      </c>
      <c r="BJ590" s="52">
        <v>1636889.29</v>
      </c>
      <c r="BK590" s="56">
        <v>43466</v>
      </c>
      <c r="BL590" s="57">
        <v>1636889.29</v>
      </c>
      <c r="BM590" s="47">
        <v>0</v>
      </c>
      <c r="BN590" s="9"/>
      <c r="BO590" s="9"/>
      <c r="BP590" s="9"/>
      <c r="BQ590" s="9"/>
      <c r="BR590" s="9"/>
      <c r="BS590" s="9"/>
      <c r="BT590" s="9"/>
      <c r="BU590" s="9"/>
      <c r="BV590" s="9"/>
      <c r="BW590" s="9"/>
    </row>
    <row r="591" spans="1:75" ht="26.25" hidden="1" outlineLevel="2" x14ac:dyDescent="0.25">
      <c r="A591" s="43" t="s">
        <v>640</v>
      </c>
      <c r="B591" s="184" t="s">
        <v>693</v>
      </c>
      <c r="C591" s="45">
        <v>2019</v>
      </c>
      <c r="D591" s="110" t="s">
        <v>75</v>
      </c>
      <c r="E591" s="47">
        <v>0</v>
      </c>
      <c r="F591" s="47">
        <v>0</v>
      </c>
      <c r="G591" s="47">
        <v>0</v>
      </c>
      <c r="H591" s="47">
        <v>0</v>
      </c>
      <c r="I591" s="47">
        <v>0</v>
      </c>
      <c r="J591" s="47">
        <v>0</v>
      </c>
      <c r="K591" s="47">
        <v>0</v>
      </c>
      <c r="L591" s="47">
        <v>0</v>
      </c>
      <c r="M591" s="47">
        <v>0</v>
      </c>
      <c r="N591" s="47">
        <v>0</v>
      </c>
      <c r="O591" s="47">
        <v>0</v>
      </c>
      <c r="P591" s="47">
        <v>1791572.79</v>
      </c>
      <c r="Q591" s="47">
        <v>0</v>
      </c>
      <c r="R591" s="47">
        <v>0</v>
      </c>
      <c r="S591" s="47">
        <v>0</v>
      </c>
      <c r="T591" s="47">
        <v>0</v>
      </c>
      <c r="U591" s="47">
        <v>0</v>
      </c>
      <c r="V591" s="47">
        <v>0</v>
      </c>
      <c r="W591" s="47">
        <v>0</v>
      </c>
      <c r="X591" s="47">
        <v>0</v>
      </c>
      <c r="Y591" s="48">
        <v>1791572.79</v>
      </c>
      <c r="Z591" s="58">
        <v>150022.73000000001</v>
      </c>
      <c r="AA591" s="50">
        <v>150022.73000000001</v>
      </c>
      <c r="AB591" s="50">
        <v>0</v>
      </c>
      <c r="AC591" s="50">
        <v>0</v>
      </c>
      <c r="AD591" s="50">
        <v>0</v>
      </c>
      <c r="AE591" s="50">
        <v>0</v>
      </c>
      <c r="AF591" s="50">
        <v>0</v>
      </c>
      <c r="AG591" s="49">
        <v>150022.73000000001</v>
      </c>
      <c r="AH591" s="51" t="s">
        <v>104</v>
      </c>
      <c r="AI591" s="51" t="s">
        <v>74</v>
      </c>
      <c r="AJ591" s="51" t="s">
        <v>74</v>
      </c>
      <c r="AK591" s="51" t="s">
        <v>74</v>
      </c>
      <c r="AL591" s="51" t="s">
        <v>74</v>
      </c>
      <c r="AM591" s="51" t="s">
        <v>74</v>
      </c>
      <c r="AN591" s="52">
        <v>0</v>
      </c>
      <c r="AO591" s="52">
        <v>0</v>
      </c>
      <c r="AP591" s="52">
        <v>0</v>
      </c>
      <c r="AQ591" s="52">
        <v>0</v>
      </c>
      <c r="AR591" s="52">
        <v>0</v>
      </c>
      <c r="AS591" s="52">
        <v>0</v>
      </c>
      <c r="AT591" s="53" t="s">
        <v>74</v>
      </c>
      <c r="AU591" s="52">
        <v>0</v>
      </c>
      <c r="AV591" s="52"/>
      <c r="AW591" s="52">
        <v>0</v>
      </c>
      <c r="AX591" s="52"/>
      <c r="AY591" s="52"/>
      <c r="AZ591" s="52">
        <v>0</v>
      </c>
      <c r="BA591" s="52">
        <v>0</v>
      </c>
      <c r="BB591" s="54" t="s">
        <v>74</v>
      </c>
      <c r="BC591" s="53" t="s">
        <v>74</v>
      </c>
      <c r="BD591" s="55" t="s">
        <v>74</v>
      </c>
      <c r="BE591" s="55" t="s">
        <v>74</v>
      </c>
      <c r="BF591" s="55" t="s">
        <v>74</v>
      </c>
      <c r="BG591" s="55" t="s">
        <v>74</v>
      </c>
      <c r="BH591" s="52">
        <v>0</v>
      </c>
      <c r="BI591" s="52">
        <v>1641550.06</v>
      </c>
      <c r="BJ591" s="52">
        <v>1641550.06</v>
      </c>
      <c r="BK591" s="56">
        <v>43497</v>
      </c>
      <c r="BL591" s="57">
        <v>1641550.06</v>
      </c>
      <c r="BM591" s="47">
        <v>0</v>
      </c>
      <c r="BN591" s="9"/>
      <c r="BO591" s="9"/>
      <c r="BP591" s="9"/>
      <c r="BQ591" s="9"/>
      <c r="BR591" s="9"/>
      <c r="BS591" s="9"/>
      <c r="BT591" s="9"/>
      <c r="BU591" s="9"/>
      <c r="BV591" s="9"/>
      <c r="BW591" s="9"/>
    </row>
    <row r="592" spans="1:75" ht="26.25" hidden="1" outlineLevel="2" x14ac:dyDescent="0.25">
      <c r="A592" s="43" t="s">
        <v>640</v>
      </c>
      <c r="B592" s="184" t="s">
        <v>693</v>
      </c>
      <c r="C592" s="45">
        <v>2019</v>
      </c>
      <c r="D592" s="110" t="s">
        <v>77</v>
      </c>
      <c r="E592" s="47">
        <v>0</v>
      </c>
      <c r="F592" s="47">
        <v>0</v>
      </c>
      <c r="G592" s="47">
        <v>0</v>
      </c>
      <c r="H592" s="47">
        <v>0</v>
      </c>
      <c r="I592" s="47">
        <v>0</v>
      </c>
      <c r="J592" s="47">
        <v>0</v>
      </c>
      <c r="K592" s="47">
        <v>0</v>
      </c>
      <c r="L592" s="47">
        <v>0</v>
      </c>
      <c r="M592" s="47">
        <v>0</v>
      </c>
      <c r="N592" s="47">
        <v>0</v>
      </c>
      <c r="O592" s="47">
        <v>0</v>
      </c>
      <c r="P592" s="47">
        <v>1791572.79</v>
      </c>
      <c r="Q592" s="47">
        <v>0</v>
      </c>
      <c r="R592" s="47">
        <v>0</v>
      </c>
      <c r="S592" s="47">
        <v>0</v>
      </c>
      <c r="T592" s="47">
        <v>0</v>
      </c>
      <c r="U592" s="47">
        <v>0</v>
      </c>
      <c r="V592" s="47">
        <v>0</v>
      </c>
      <c r="W592" s="47">
        <v>0</v>
      </c>
      <c r="X592" s="47">
        <v>0</v>
      </c>
      <c r="Y592" s="48">
        <v>1791572.79</v>
      </c>
      <c r="Z592" s="58">
        <v>125240.23</v>
      </c>
      <c r="AA592" s="50">
        <v>125240.23</v>
      </c>
      <c r="AB592" s="50">
        <v>0</v>
      </c>
      <c r="AC592" s="50">
        <v>1209.1099999999999</v>
      </c>
      <c r="AD592" s="50">
        <v>8368.1</v>
      </c>
      <c r="AE592" s="50">
        <v>0</v>
      </c>
      <c r="AF592" s="50">
        <v>0</v>
      </c>
      <c r="AG592" s="49">
        <v>134817.44</v>
      </c>
      <c r="AH592" s="51" t="s">
        <v>104</v>
      </c>
      <c r="AI592" s="51" t="s">
        <v>74</v>
      </c>
      <c r="AJ592" s="51" t="s">
        <v>133</v>
      </c>
      <c r="AK592" s="51" t="s">
        <v>134</v>
      </c>
      <c r="AL592" s="51" t="s">
        <v>74</v>
      </c>
      <c r="AM592" s="51" t="s">
        <v>74</v>
      </c>
      <c r="AN592" s="52">
        <v>0</v>
      </c>
      <c r="AO592" s="52">
        <v>0</v>
      </c>
      <c r="AP592" s="52">
        <v>0</v>
      </c>
      <c r="AQ592" s="52">
        <v>0</v>
      </c>
      <c r="AR592" s="52">
        <v>0</v>
      </c>
      <c r="AS592" s="52">
        <v>0</v>
      </c>
      <c r="AT592" s="53" t="s">
        <v>74</v>
      </c>
      <c r="AU592" s="52">
        <v>0</v>
      </c>
      <c r="AV592" s="52"/>
      <c r="AW592" s="52">
        <v>0</v>
      </c>
      <c r="AX592" s="52"/>
      <c r="AY592" s="52"/>
      <c r="AZ592" s="52">
        <v>0</v>
      </c>
      <c r="BA592" s="52">
        <v>0</v>
      </c>
      <c r="BB592" s="54" t="s">
        <v>74</v>
      </c>
      <c r="BC592" s="53" t="s">
        <v>74</v>
      </c>
      <c r="BD592" s="55" t="s">
        <v>74</v>
      </c>
      <c r="BE592" s="55" t="s">
        <v>74</v>
      </c>
      <c r="BF592" s="55" t="s">
        <v>74</v>
      </c>
      <c r="BG592" s="55" t="s">
        <v>74</v>
      </c>
      <c r="BH592" s="52">
        <v>0</v>
      </c>
      <c r="BI592" s="52">
        <v>1656755.35</v>
      </c>
      <c r="BJ592" s="52">
        <v>1656755.35</v>
      </c>
      <c r="BK592" s="56">
        <v>43525</v>
      </c>
      <c r="BL592" s="57">
        <v>1656755.35</v>
      </c>
      <c r="BM592" s="47">
        <v>0</v>
      </c>
      <c r="BN592" s="9"/>
      <c r="BO592" s="9"/>
      <c r="BP592" s="9"/>
      <c r="BQ592" s="9"/>
      <c r="BR592" s="9"/>
      <c r="BS592" s="9"/>
      <c r="BT592" s="9"/>
      <c r="BU592" s="9"/>
      <c r="BV592" s="9"/>
      <c r="BW592" s="9"/>
    </row>
    <row r="593" spans="1:75" ht="26.25" hidden="1" outlineLevel="2" x14ac:dyDescent="0.25">
      <c r="A593" s="43" t="s">
        <v>640</v>
      </c>
      <c r="B593" s="184" t="s">
        <v>693</v>
      </c>
      <c r="C593" s="45">
        <v>2019</v>
      </c>
      <c r="D593" s="110" t="s">
        <v>79</v>
      </c>
      <c r="E593" s="47">
        <v>0</v>
      </c>
      <c r="F593" s="47">
        <v>0</v>
      </c>
      <c r="G593" s="47">
        <v>0</v>
      </c>
      <c r="H593" s="47">
        <v>0</v>
      </c>
      <c r="I593" s="47">
        <v>0</v>
      </c>
      <c r="J593" s="47">
        <v>0</v>
      </c>
      <c r="K593" s="47">
        <v>0</v>
      </c>
      <c r="L593" s="47">
        <v>0</v>
      </c>
      <c r="M593" s="47">
        <v>0</v>
      </c>
      <c r="N593" s="47">
        <v>0</v>
      </c>
      <c r="O593" s="47">
        <v>0</v>
      </c>
      <c r="P593" s="47">
        <v>1791572.79</v>
      </c>
      <c r="Q593" s="47">
        <v>0</v>
      </c>
      <c r="R593" s="47">
        <v>0</v>
      </c>
      <c r="S593" s="47">
        <v>0</v>
      </c>
      <c r="T593" s="47">
        <v>0</v>
      </c>
      <c r="U593" s="47">
        <v>0</v>
      </c>
      <c r="V593" s="47">
        <v>0</v>
      </c>
      <c r="W593" s="47">
        <v>0</v>
      </c>
      <c r="X593" s="47">
        <v>0</v>
      </c>
      <c r="Y593" s="48">
        <v>1791572.79</v>
      </c>
      <c r="Z593" s="58">
        <v>146430.88</v>
      </c>
      <c r="AA593" s="50">
        <v>146430.88</v>
      </c>
      <c r="AB593" s="50">
        <v>0</v>
      </c>
      <c r="AC593" s="50">
        <v>1445.91</v>
      </c>
      <c r="AD593" s="50">
        <v>9469.94</v>
      </c>
      <c r="AE593" s="50">
        <v>0</v>
      </c>
      <c r="AF593" s="50">
        <v>0</v>
      </c>
      <c r="AG593" s="49">
        <v>157346.73000000001</v>
      </c>
      <c r="AH593" s="51" t="s">
        <v>104</v>
      </c>
      <c r="AI593" s="51" t="s">
        <v>74</v>
      </c>
      <c r="AJ593" s="51" t="s">
        <v>436</v>
      </c>
      <c r="AK593" s="51" t="s">
        <v>259</v>
      </c>
      <c r="AL593" s="51" t="s">
        <v>74</v>
      </c>
      <c r="AM593" s="51" t="s">
        <v>74</v>
      </c>
      <c r="AN593" s="52">
        <v>0</v>
      </c>
      <c r="AO593" s="52">
        <v>0</v>
      </c>
      <c r="AP593" s="52">
        <v>0</v>
      </c>
      <c r="AQ593" s="52">
        <v>0</v>
      </c>
      <c r="AR593" s="52">
        <v>0</v>
      </c>
      <c r="AS593" s="52">
        <v>0</v>
      </c>
      <c r="AT593" s="53" t="s">
        <v>74</v>
      </c>
      <c r="AU593" s="52">
        <v>0</v>
      </c>
      <c r="AV593" s="52"/>
      <c r="AW593" s="52">
        <v>0</v>
      </c>
      <c r="AX593" s="52"/>
      <c r="AY593" s="52"/>
      <c r="AZ593" s="52">
        <v>0</v>
      </c>
      <c r="BA593" s="52">
        <v>0</v>
      </c>
      <c r="BB593" s="54" t="s">
        <v>74</v>
      </c>
      <c r="BC593" s="53" t="s">
        <v>74</v>
      </c>
      <c r="BD593" s="55" t="s">
        <v>74</v>
      </c>
      <c r="BE593" s="55" t="s">
        <v>74</v>
      </c>
      <c r="BF593" s="55" t="s">
        <v>74</v>
      </c>
      <c r="BG593" s="55" t="s">
        <v>74</v>
      </c>
      <c r="BH593" s="52">
        <v>0</v>
      </c>
      <c r="BI593" s="52">
        <v>1634226.06</v>
      </c>
      <c r="BJ593" s="52">
        <v>1634226.06</v>
      </c>
      <c r="BK593" s="56">
        <v>43556</v>
      </c>
      <c r="BL593" s="57">
        <v>1634226.06</v>
      </c>
      <c r="BM593" s="47">
        <v>0</v>
      </c>
      <c r="BN593" s="9"/>
      <c r="BO593" s="9"/>
      <c r="BP593" s="9"/>
      <c r="BQ593" s="9"/>
      <c r="BR593" s="9"/>
      <c r="BS593" s="9"/>
      <c r="BT593" s="9"/>
      <c r="BU593" s="9"/>
      <c r="BV593" s="9"/>
      <c r="BW593" s="9"/>
    </row>
    <row r="594" spans="1:75" ht="26.25" hidden="1" outlineLevel="2" x14ac:dyDescent="0.25">
      <c r="A594" s="43" t="s">
        <v>640</v>
      </c>
      <c r="B594" s="184" t="s">
        <v>693</v>
      </c>
      <c r="C594" s="45">
        <v>2019</v>
      </c>
      <c r="D594" s="110" t="s">
        <v>81</v>
      </c>
      <c r="E594" s="47">
        <v>0</v>
      </c>
      <c r="F594" s="47">
        <v>0</v>
      </c>
      <c r="G594" s="47">
        <v>0</v>
      </c>
      <c r="H594" s="47">
        <v>0</v>
      </c>
      <c r="I594" s="47">
        <v>0</v>
      </c>
      <c r="J594" s="47">
        <v>0</v>
      </c>
      <c r="K594" s="47">
        <v>0</v>
      </c>
      <c r="L594" s="47">
        <v>0</v>
      </c>
      <c r="M594" s="47">
        <v>0</v>
      </c>
      <c r="N594" s="47">
        <v>0</v>
      </c>
      <c r="O594" s="47">
        <v>0</v>
      </c>
      <c r="P594" s="47">
        <v>1791572.79</v>
      </c>
      <c r="Q594" s="47">
        <v>0</v>
      </c>
      <c r="R594" s="47">
        <v>0</v>
      </c>
      <c r="S594" s="47">
        <v>0</v>
      </c>
      <c r="T594" s="47">
        <v>0</v>
      </c>
      <c r="U594" s="47">
        <v>0</v>
      </c>
      <c r="V594" s="47">
        <v>0</v>
      </c>
      <c r="W594" s="47">
        <v>0</v>
      </c>
      <c r="X594" s="47">
        <v>0</v>
      </c>
      <c r="Y594" s="48">
        <v>1791572.79</v>
      </c>
      <c r="Z594" s="58">
        <v>140219.39000000001</v>
      </c>
      <c r="AA594" s="50">
        <v>140219.39000000001</v>
      </c>
      <c r="AB594" s="50">
        <v>0</v>
      </c>
      <c r="AC594" s="50">
        <v>1143.24</v>
      </c>
      <c r="AD594" s="50">
        <v>8092.67</v>
      </c>
      <c r="AE594" s="50">
        <v>0</v>
      </c>
      <c r="AF594" s="50">
        <v>0</v>
      </c>
      <c r="AG594" s="49">
        <v>149455.29999999999</v>
      </c>
      <c r="AH594" s="51" t="s">
        <v>104</v>
      </c>
      <c r="AI594" s="51" t="s">
        <v>74</v>
      </c>
      <c r="AJ594" s="51" t="s">
        <v>437</v>
      </c>
      <c r="AK594" s="51" t="s">
        <v>136</v>
      </c>
      <c r="AL594" s="51" t="s">
        <v>74</v>
      </c>
      <c r="AM594" s="51" t="s">
        <v>74</v>
      </c>
      <c r="AN594" s="52">
        <v>0</v>
      </c>
      <c r="AO594" s="52">
        <v>0</v>
      </c>
      <c r="AP594" s="52">
        <v>0</v>
      </c>
      <c r="AQ594" s="52">
        <v>0</v>
      </c>
      <c r="AR594" s="52">
        <v>0</v>
      </c>
      <c r="AS594" s="52">
        <v>0</v>
      </c>
      <c r="AT594" s="53" t="s">
        <v>74</v>
      </c>
      <c r="AU594" s="52">
        <v>0</v>
      </c>
      <c r="AV594" s="52"/>
      <c r="AW594" s="52">
        <v>0</v>
      </c>
      <c r="AX594" s="52"/>
      <c r="AY594" s="52"/>
      <c r="AZ594" s="52">
        <v>0</v>
      </c>
      <c r="BA594" s="52">
        <v>0</v>
      </c>
      <c r="BB594" s="54" t="s">
        <v>74</v>
      </c>
      <c r="BC594" s="53" t="s">
        <v>74</v>
      </c>
      <c r="BD594" s="55" t="s">
        <v>74</v>
      </c>
      <c r="BE594" s="55" t="s">
        <v>74</v>
      </c>
      <c r="BF594" s="55" t="s">
        <v>74</v>
      </c>
      <c r="BG594" s="55" t="s">
        <v>74</v>
      </c>
      <c r="BH594" s="52">
        <v>0</v>
      </c>
      <c r="BI594" s="52">
        <v>1642117.49</v>
      </c>
      <c r="BJ594" s="52">
        <v>1642117.49</v>
      </c>
      <c r="BK594" s="56">
        <v>43586</v>
      </c>
      <c r="BL594" s="57">
        <v>1642117.49</v>
      </c>
      <c r="BM594" s="47">
        <v>0</v>
      </c>
      <c r="BN594" s="9"/>
      <c r="BO594" s="9"/>
      <c r="BP594" s="9"/>
      <c r="BQ594" s="9"/>
      <c r="BR594" s="9"/>
      <c r="BS594" s="9"/>
      <c r="BT594" s="9"/>
      <c r="BU594" s="9"/>
      <c r="BV594" s="9"/>
      <c r="BW594" s="9"/>
    </row>
    <row r="595" spans="1:75" ht="64.5" hidden="1" outlineLevel="2" x14ac:dyDescent="0.25">
      <c r="A595" s="43" t="s">
        <v>640</v>
      </c>
      <c r="B595" s="184" t="s">
        <v>693</v>
      </c>
      <c r="C595" s="45">
        <v>2019</v>
      </c>
      <c r="D595" s="110" t="s">
        <v>83</v>
      </c>
      <c r="E595" s="47">
        <v>0</v>
      </c>
      <c r="F595" s="47">
        <v>0</v>
      </c>
      <c r="G595" s="47">
        <v>0</v>
      </c>
      <c r="H595" s="47">
        <v>0</v>
      </c>
      <c r="I595" s="47">
        <v>0</v>
      </c>
      <c r="J595" s="47">
        <v>0</v>
      </c>
      <c r="K595" s="47">
        <v>0</v>
      </c>
      <c r="L595" s="47">
        <v>0</v>
      </c>
      <c r="M595" s="47">
        <v>0</v>
      </c>
      <c r="N595" s="47">
        <v>0</v>
      </c>
      <c r="O595" s="47">
        <v>0</v>
      </c>
      <c r="P595" s="47">
        <v>1612415.51</v>
      </c>
      <c r="Q595" s="47">
        <v>177299.73</v>
      </c>
      <c r="R595" s="47">
        <v>0</v>
      </c>
      <c r="S595" s="47">
        <v>0</v>
      </c>
      <c r="T595" s="47">
        <v>0</v>
      </c>
      <c r="U595" s="47">
        <v>0</v>
      </c>
      <c r="V595" s="47">
        <v>0</v>
      </c>
      <c r="W595" s="47">
        <v>0</v>
      </c>
      <c r="X595" s="47">
        <v>0</v>
      </c>
      <c r="Y595" s="48">
        <v>1789715.24</v>
      </c>
      <c r="Z595" s="58">
        <v>162835.76999999999</v>
      </c>
      <c r="AA595" s="50">
        <v>162835.76999999999</v>
      </c>
      <c r="AB595" s="50">
        <v>0</v>
      </c>
      <c r="AC595" s="50">
        <v>2369.19</v>
      </c>
      <c r="AD595" s="50">
        <v>20486.400000000001</v>
      </c>
      <c r="AE595" s="50">
        <v>0</v>
      </c>
      <c r="AF595" s="50">
        <v>0</v>
      </c>
      <c r="AG595" s="49">
        <v>185691.36</v>
      </c>
      <c r="AH595" s="51" t="s">
        <v>104</v>
      </c>
      <c r="AI595" s="51" t="s">
        <v>74</v>
      </c>
      <c r="AJ595" s="51" t="s">
        <v>708</v>
      </c>
      <c r="AK595" s="51" t="s">
        <v>709</v>
      </c>
      <c r="AL595" s="51" t="s">
        <v>74</v>
      </c>
      <c r="AM595" s="51" t="s">
        <v>74</v>
      </c>
      <c r="AN595" s="52">
        <v>0</v>
      </c>
      <c r="AO595" s="52">
        <v>0</v>
      </c>
      <c r="AP595" s="52">
        <v>0</v>
      </c>
      <c r="AQ595" s="52">
        <v>0</v>
      </c>
      <c r="AR595" s="52">
        <v>0</v>
      </c>
      <c r="AS595" s="52">
        <v>0</v>
      </c>
      <c r="AT595" s="53" t="s">
        <v>74</v>
      </c>
      <c r="AU595" s="52">
        <v>0</v>
      </c>
      <c r="AV595" s="52"/>
      <c r="AW595" s="52">
        <v>0</v>
      </c>
      <c r="AX595" s="52"/>
      <c r="AY595" s="52"/>
      <c r="AZ595" s="52">
        <v>0</v>
      </c>
      <c r="BA595" s="52">
        <v>0</v>
      </c>
      <c r="BB595" s="54" t="s">
        <v>74</v>
      </c>
      <c r="BC595" s="53" t="s">
        <v>74</v>
      </c>
      <c r="BD595" s="55" t="s">
        <v>74</v>
      </c>
      <c r="BE595" s="55" t="s">
        <v>74</v>
      </c>
      <c r="BF595" s="55" t="s">
        <v>74</v>
      </c>
      <c r="BG595" s="55" t="s">
        <v>74</v>
      </c>
      <c r="BH595" s="52">
        <v>0</v>
      </c>
      <c r="BI595" s="52">
        <v>1604023.88</v>
      </c>
      <c r="BJ595" s="52">
        <v>1604023.88</v>
      </c>
      <c r="BK595" s="56">
        <v>43617</v>
      </c>
      <c r="BL595" s="57">
        <v>1604023.88</v>
      </c>
      <c r="BM595" s="47">
        <v>0</v>
      </c>
      <c r="BN595" s="9"/>
      <c r="BO595" s="9"/>
      <c r="BP595" s="9"/>
      <c r="BQ595" s="9"/>
      <c r="BR595" s="9"/>
      <c r="BS595" s="9"/>
      <c r="BT595" s="9"/>
      <c r="BU595" s="9"/>
      <c r="BV595" s="9"/>
      <c r="BW595" s="9"/>
    </row>
    <row r="596" spans="1:75" ht="64.5" hidden="1" outlineLevel="2" x14ac:dyDescent="0.25">
      <c r="A596" s="43" t="s">
        <v>640</v>
      </c>
      <c r="B596" s="184" t="s">
        <v>693</v>
      </c>
      <c r="C596" s="45">
        <v>2019</v>
      </c>
      <c r="D596" s="110" t="s">
        <v>84</v>
      </c>
      <c r="E596" s="47">
        <v>0</v>
      </c>
      <c r="F596" s="47">
        <v>0</v>
      </c>
      <c r="G596" s="47">
        <v>0</v>
      </c>
      <c r="H596" s="47">
        <v>0</v>
      </c>
      <c r="I596" s="47">
        <v>0</v>
      </c>
      <c r="J596" s="47">
        <v>0</v>
      </c>
      <c r="K596" s="47">
        <v>0</v>
      </c>
      <c r="L596" s="47">
        <v>0</v>
      </c>
      <c r="M596" s="47">
        <v>0</v>
      </c>
      <c r="N596" s="47">
        <v>0</v>
      </c>
      <c r="O596" s="47">
        <v>0</v>
      </c>
      <c r="P596" s="47">
        <v>0</v>
      </c>
      <c r="Q596" s="47">
        <v>1772997.28</v>
      </c>
      <c r="R596" s="47">
        <v>0</v>
      </c>
      <c r="S596" s="47">
        <v>0</v>
      </c>
      <c r="T596" s="47">
        <v>0</v>
      </c>
      <c r="U596" s="47">
        <v>0</v>
      </c>
      <c r="V596" s="47">
        <v>0</v>
      </c>
      <c r="W596" s="47">
        <v>0</v>
      </c>
      <c r="X596" s="47">
        <v>0</v>
      </c>
      <c r="Y596" s="48">
        <v>1772997.28</v>
      </c>
      <c r="Z596" s="49">
        <v>143180.5</v>
      </c>
      <c r="AA596" s="50">
        <v>143180.5</v>
      </c>
      <c r="AB596" s="50">
        <v>0</v>
      </c>
      <c r="AC596" s="50">
        <v>1489.95</v>
      </c>
      <c r="AD596" s="50">
        <v>2808.14</v>
      </c>
      <c r="AE596" s="50">
        <v>0</v>
      </c>
      <c r="AF596" s="50">
        <v>0</v>
      </c>
      <c r="AG596" s="49">
        <v>147478.59</v>
      </c>
      <c r="AH596" s="51" t="s">
        <v>104</v>
      </c>
      <c r="AI596" s="51" t="s">
        <v>74</v>
      </c>
      <c r="AJ596" s="51" t="s">
        <v>710</v>
      </c>
      <c r="AK596" s="51" t="s">
        <v>711</v>
      </c>
      <c r="AL596" s="51" t="s">
        <v>74</v>
      </c>
      <c r="AM596" s="51" t="s">
        <v>74</v>
      </c>
      <c r="AN596" s="52">
        <v>0</v>
      </c>
      <c r="AO596" s="52">
        <v>0</v>
      </c>
      <c r="AP596" s="52">
        <v>0</v>
      </c>
      <c r="AQ596" s="52">
        <v>0</v>
      </c>
      <c r="AR596" s="52">
        <v>0</v>
      </c>
      <c r="AS596" s="52">
        <v>0</v>
      </c>
      <c r="AT596" s="53" t="s">
        <v>74</v>
      </c>
      <c r="AU596" s="52">
        <v>0</v>
      </c>
      <c r="AV596" s="52"/>
      <c r="AW596" s="52">
        <v>0</v>
      </c>
      <c r="AX596" s="52"/>
      <c r="AY596" s="52"/>
      <c r="AZ596" s="52">
        <v>0</v>
      </c>
      <c r="BA596" s="52">
        <v>0</v>
      </c>
      <c r="BB596" s="54" t="s">
        <v>74</v>
      </c>
      <c r="BC596" s="53" t="s">
        <v>74</v>
      </c>
      <c r="BD596" s="55" t="s">
        <v>74</v>
      </c>
      <c r="BE596" s="55" t="s">
        <v>74</v>
      </c>
      <c r="BF596" s="55" t="s">
        <v>74</v>
      </c>
      <c r="BG596" s="55" t="s">
        <v>74</v>
      </c>
      <c r="BH596" s="52">
        <v>0</v>
      </c>
      <c r="BI596" s="52">
        <v>1625518.69</v>
      </c>
      <c r="BJ596" s="52">
        <v>1625518.69</v>
      </c>
      <c r="BK596" s="56">
        <v>43647</v>
      </c>
      <c r="BL596" s="57">
        <v>1625518.69</v>
      </c>
      <c r="BM596" s="47">
        <v>0</v>
      </c>
      <c r="BN596" s="9"/>
      <c r="BO596" s="9"/>
      <c r="BP596" s="9"/>
      <c r="BQ596" s="9"/>
      <c r="BR596" s="9"/>
      <c r="BS596" s="9"/>
      <c r="BT596" s="9"/>
      <c r="BU596" s="9"/>
      <c r="BV596" s="9"/>
      <c r="BW596" s="9"/>
    </row>
    <row r="597" spans="1:75" ht="26.25" hidden="1" outlineLevel="2" x14ac:dyDescent="0.25">
      <c r="A597" s="43" t="s">
        <v>640</v>
      </c>
      <c r="B597" s="184" t="s">
        <v>693</v>
      </c>
      <c r="C597" s="45">
        <v>2019</v>
      </c>
      <c r="D597" s="110" t="s">
        <v>86</v>
      </c>
      <c r="E597" s="47">
        <v>0</v>
      </c>
      <c r="F597" s="47">
        <v>0</v>
      </c>
      <c r="G597" s="47">
        <v>0</v>
      </c>
      <c r="H597" s="47">
        <v>0</v>
      </c>
      <c r="I597" s="47">
        <v>0</v>
      </c>
      <c r="J597" s="47">
        <v>0</v>
      </c>
      <c r="K597" s="47">
        <v>0</v>
      </c>
      <c r="L597" s="47">
        <v>0</v>
      </c>
      <c r="M597" s="47">
        <v>0</v>
      </c>
      <c r="N597" s="47">
        <v>0</v>
      </c>
      <c r="O597" s="47">
        <v>0</v>
      </c>
      <c r="P597" s="47">
        <v>0</v>
      </c>
      <c r="Q597" s="47">
        <v>1772997.28</v>
      </c>
      <c r="R597" s="47">
        <v>0</v>
      </c>
      <c r="S597" s="47">
        <v>0</v>
      </c>
      <c r="T597" s="47">
        <v>0</v>
      </c>
      <c r="U597" s="47">
        <v>0</v>
      </c>
      <c r="V597" s="47">
        <v>0</v>
      </c>
      <c r="W597" s="47">
        <v>0</v>
      </c>
      <c r="X597" s="47">
        <v>0</v>
      </c>
      <c r="Y597" s="48">
        <v>1772997.28</v>
      </c>
      <c r="Z597" s="58">
        <v>128924.69</v>
      </c>
      <c r="AA597" s="50">
        <v>128924.69</v>
      </c>
      <c r="AB597" s="50">
        <v>0</v>
      </c>
      <c r="AC597" s="50">
        <v>0</v>
      </c>
      <c r="AD597" s="50">
        <v>0</v>
      </c>
      <c r="AE597" s="50">
        <v>0</v>
      </c>
      <c r="AF597" s="50">
        <v>0</v>
      </c>
      <c r="AG597" s="49">
        <v>128924.69</v>
      </c>
      <c r="AH597" s="51" t="s">
        <v>104</v>
      </c>
      <c r="AI597" s="51" t="s">
        <v>74</v>
      </c>
      <c r="AJ597" s="51" t="s">
        <v>74</v>
      </c>
      <c r="AK597" s="51" t="s">
        <v>74</v>
      </c>
      <c r="AL597" s="51" t="s">
        <v>74</v>
      </c>
      <c r="AM597" s="51" t="s">
        <v>74</v>
      </c>
      <c r="AN597" s="52">
        <v>0</v>
      </c>
      <c r="AO597" s="52">
        <v>0</v>
      </c>
      <c r="AP597" s="52">
        <v>0</v>
      </c>
      <c r="AQ597" s="52">
        <v>0</v>
      </c>
      <c r="AR597" s="52">
        <v>0</v>
      </c>
      <c r="AS597" s="52">
        <v>0</v>
      </c>
      <c r="AT597" s="53" t="s">
        <v>74</v>
      </c>
      <c r="AU597" s="52">
        <v>0</v>
      </c>
      <c r="AV597" s="52"/>
      <c r="AW597" s="52">
        <v>0</v>
      </c>
      <c r="AX597" s="52"/>
      <c r="AY597" s="52"/>
      <c r="AZ597" s="52">
        <v>0</v>
      </c>
      <c r="BA597" s="52">
        <v>0</v>
      </c>
      <c r="BB597" s="54" t="s">
        <v>74</v>
      </c>
      <c r="BC597" s="53" t="s">
        <v>74</v>
      </c>
      <c r="BD597" s="55" t="s">
        <v>74</v>
      </c>
      <c r="BE597" s="55" t="s">
        <v>74</v>
      </c>
      <c r="BF597" s="55" t="s">
        <v>74</v>
      </c>
      <c r="BG597" s="55" t="s">
        <v>74</v>
      </c>
      <c r="BH597" s="52">
        <v>0</v>
      </c>
      <c r="BI597" s="52">
        <v>1644072.59</v>
      </c>
      <c r="BJ597" s="52">
        <v>1644072.59</v>
      </c>
      <c r="BK597" s="56">
        <v>43678</v>
      </c>
      <c r="BL597" s="57">
        <v>1644072.59</v>
      </c>
      <c r="BM597" s="47">
        <v>0</v>
      </c>
      <c r="BN597" s="9"/>
      <c r="BO597" s="9"/>
      <c r="BP597" s="9"/>
      <c r="BQ597" s="9"/>
      <c r="BR597" s="9"/>
      <c r="BS597" s="9"/>
      <c r="BT597" s="9"/>
      <c r="BU597" s="9"/>
      <c r="BV597" s="9"/>
      <c r="BW597" s="9"/>
    </row>
    <row r="598" spans="1:75" ht="64.5" hidden="1" outlineLevel="2" x14ac:dyDescent="0.25">
      <c r="A598" s="43" t="s">
        <v>640</v>
      </c>
      <c r="B598" s="184" t="s">
        <v>693</v>
      </c>
      <c r="C598" s="45">
        <v>2019</v>
      </c>
      <c r="D598" s="110" t="s">
        <v>88</v>
      </c>
      <c r="E598" s="47">
        <v>0</v>
      </c>
      <c r="F598" s="47">
        <v>0</v>
      </c>
      <c r="G598" s="47">
        <v>0</v>
      </c>
      <c r="H598" s="47">
        <v>0</v>
      </c>
      <c r="I598" s="47">
        <v>0</v>
      </c>
      <c r="J598" s="47">
        <v>0</v>
      </c>
      <c r="K598" s="47">
        <v>0</v>
      </c>
      <c r="L598" s="47">
        <v>0</v>
      </c>
      <c r="M598" s="47">
        <v>0</v>
      </c>
      <c r="N598" s="47">
        <v>0</v>
      </c>
      <c r="O598" s="47">
        <v>0</v>
      </c>
      <c r="P598" s="47">
        <v>0</v>
      </c>
      <c r="Q598" s="47">
        <v>1772997.28</v>
      </c>
      <c r="R598" s="47">
        <v>0</v>
      </c>
      <c r="S598" s="47">
        <v>0</v>
      </c>
      <c r="T598" s="47">
        <v>0</v>
      </c>
      <c r="U598" s="47">
        <v>0</v>
      </c>
      <c r="V598" s="47">
        <v>0</v>
      </c>
      <c r="W598" s="47">
        <v>0</v>
      </c>
      <c r="X598" s="47">
        <v>0</v>
      </c>
      <c r="Y598" s="48">
        <v>1772997.28</v>
      </c>
      <c r="Z598" s="58">
        <v>175329.69</v>
      </c>
      <c r="AA598" s="50">
        <v>175329.69</v>
      </c>
      <c r="AB598" s="50">
        <v>0</v>
      </c>
      <c r="AC598" s="50">
        <v>2732.15</v>
      </c>
      <c r="AD598" s="50">
        <v>13375.15</v>
      </c>
      <c r="AE598" s="50">
        <v>0</v>
      </c>
      <c r="AF598" s="50">
        <v>0</v>
      </c>
      <c r="AG598" s="49">
        <v>191436.99</v>
      </c>
      <c r="AH598" s="51" t="s">
        <v>104</v>
      </c>
      <c r="AI598" s="51" t="s">
        <v>74</v>
      </c>
      <c r="AJ598" s="51" t="s">
        <v>712</v>
      </c>
      <c r="AK598" s="51" t="s">
        <v>713</v>
      </c>
      <c r="AL598" s="51" t="s">
        <v>74</v>
      </c>
      <c r="AM598" s="51" t="s">
        <v>74</v>
      </c>
      <c r="AN598" s="52">
        <v>0</v>
      </c>
      <c r="AO598" s="52">
        <v>0</v>
      </c>
      <c r="AP598" s="52">
        <v>0</v>
      </c>
      <c r="AQ598" s="52">
        <v>0</v>
      </c>
      <c r="AR598" s="52">
        <v>0</v>
      </c>
      <c r="AS598" s="52">
        <v>0</v>
      </c>
      <c r="AT598" s="53" t="s">
        <v>74</v>
      </c>
      <c r="AU598" s="52">
        <v>0</v>
      </c>
      <c r="AV598" s="52"/>
      <c r="AW598" s="52">
        <v>0</v>
      </c>
      <c r="AX598" s="52"/>
      <c r="AY598" s="52"/>
      <c r="AZ598" s="52">
        <v>0</v>
      </c>
      <c r="BA598" s="52">
        <v>0</v>
      </c>
      <c r="BB598" s="54" t="s">
        <v>74</v>
      </c>
      <c r="BC598" s="53" t="s">
        <v>74</v>
      </c>
      <c r="BD598" s="55" t="s">
        <v>74</v>
      </c>
      <c r="BE598" s="55" t="s">
        <v>74</v>
      </c>
      <c r="BF598" s="55" t="s">
        <v>74</v>
      </c>
      <c r="BG598" s="55" t="s">
        <v>74</v>
      </c>
      <c r="BH598" s="52">
        <v>0</v>
      </c>
      <c r="BI598" s="52">
        <v>1581560.29</v>
      </c>
      <c r="BJ598" s="52">
        <v>1581560.29</v>
      </c>
      <c r="BK598" s="56">
        <v>43709</v>
      </c>
      <c r="BL598" s="57">
        <v>1581560.29</v>
      </c>
      <c r="BM598" s="47">
        <v>0</v>
      </c>
      <c r="BN598" s="9"/>
      <c r="BO598" s="9"/>
      <c r="BP598" s="9"/>
      <c r="BQ598" s="9"/>
      <c r="BR598" s="9"/>
      <c r="BS598" s="9"/>
      <c r="BT598" s="9"/>
      <c r="BU598" s="9"/>
      <c r="BV598" s="9"/>
      <c r="BW598" s="9"/>
    </row>
    <row r="599" spans="1:75" ht="103.5" hidden="1" customHeight="1" outlineLevel="2" x14ac:dyDescent="0.25">
      <c r="A599" s="43" t="s">
        <v>640</v>
      </c>
      <c r="B599" s="184" t="s">
        <v>693</v>
      </c>
      <c r="C599" s="45">
        <v>2019</v>
      </c>
      <c r="D599" s="110" t="s">
        <v>89</v>
      </c>
      <c r="E599" s="47">
        <v>0</v>
      </c>
      <c r="F599" s="47">
        <v>0</v>
      </c>
      <c r="G599" s="47">
        <v>0</v>
      </c>
      <c r="H599" s="47">
        <v>0</v>
      </c>
      <c r="I599" s="47">
        <v>0</v>
      </c>
      <c r="J599" s="47">
        <v>0</v>
      </c>
      <c r="K599" s="47">
        <v>0</v>
      </c>
      <c r="L599" s="47">
        <v>0</v>
      </c>
      <c r="M599" s="47">
        <v>0</v>
      </c>
      <c r="N599" s="47">
        <v>0</v>
      </c>
      <c r="O599" s="47">
        <v>0</v>
      </c>
      <c r="P599" s="47">
        <v>0</v>
      </c>
      <c r="Q599" s="47">
        <v>1772997.28</v>
      </c>
      <c r="R599" s="47">
        <v>0</v>
      </c>
      <c r="S599" s="47">
        <v>0</v>
      </c>
      <c r="T599" s="47">
        <v>0</v>
      </c>
      <c r="U599" s="47">
        <v>0</v>
      </c>
      <c r="V599" s="47">
        <v>0</v>
      </c>
      <c r="W599" s="47">
        <v>0</v>
      </c>
      <c r="X599" s="47">
        <v>0</v>
      </c>
      <c r="Y599" s="48">
        <v>1772997.28</v>
      </c>
      <c r="Z599" s="58">
        <v>163809.57</v>
      </c>
      <c r="AA599" s="50">
        <v>140219.39000000001</v>
      </c>
      <c r="AB599" s="50">
        <v>0</v>
      </c>
      <c r="AC599" s="50">
        <v>0</v>
      </c>
      <c r="AD599" s="50">
        <v>0</v>
      </c>
      <c r="AE599" s="50">
        <v>0</v>
      </c>
      <c r="AF599" s="50">
        <v>0</v>
      </c>
      <c r="AG599" s="49">
        <v>140219.39000000001</v>
      </c>
      <c r="AH599" s="51" t="s">
        <v>714</v>
      </c>
      <c r="AI599" s="51" t="s">
        <v>74</v>
      </c>
      <c r="AJ599" s="51" t="s">
        <v>74</v>
      </c>
      <c r="AK599" s="51" t="s">
        <v>74</v>
      </c>
      <c r="AL599" s="51" t="s">
        <v>74</v>
      </c>
      <c r="AM599" s="51" t="s">
        <v>74</v>
      </c>
      <c r="AN599" s="52"/>
      <c r="AO599" s="52">
        <v>0</v>
      </c>
      <c r="AP599" s="52"/>
      <c r="AQ599" s="52"/>
      <c r="AR599" s="52"/>
      <c r="AS599" s="52">
        <v>0</v>
      </c>
      <c r="AT599" s="53" t="s">
        <v>74</v>
      </c>
      <c r="AU599" s="52">
        <v>480407.9</v>
      </c>
      <c r="AV599" s="52"/>
      <c r="AW599" s="52">
        <v>0</v>
      </c>
      <c r="AX599" s="52"/>
      <c r="AY599" s="52"/>
      <c r="AZ599" s="52">
        <v>0</v>
      </c>
      <c r="BA599" s="52">
        <v>480407.9</v>
      </c>
      <c r="BB599" s="55" t="s">
        <v>715</v>
      </c>
      <c r="BC599" s="51" t="s">
        <v>74</v>
      </c>
      <c r="BD599" s="54" t="s">
        <v>74</v>
      </c>
      <c r="BE599" s="54" t="s">
        <v>74</v>
      </c>
      <c r="BF599" s="54" t="s">
        <v>74</v>
      </c>
      <c r="BG599" s="54" t="s">
        <v>74</v>
      </c>
      <c r="BH599" s="52">
        <v>480407.9</v>
      </c>
      <c r="BI599" s="52">
        <v>2113185.79</v>
      </c>
      <c r="BJ599" s="52">
        <v>1632777.89</v>
      </c>
      <c r="BK599" s="56">
        <v>43739</v>
      </c>
      <c r="BL599" s="57">
        <v>2113185.79</v>
      </c>
      <c r="BM599" s="47">
        <v>0</v>
      </c>
      <c r="BN599" s="9"/>
      <c r="BO599" s="9"/>
      <c r="BP599" s="9"/>
      <c r="BQ599" s="9"/>
      <c r="BR599" s="9"/>
      <c r="BS599" s="9"/>
      <c r="BT599" s="9"/>
      <c r="BU599" s="9"/>
      <c r="BV599" s="9"/>
      <c r="BW599" s="9"/>
    </row>
    <row r="600" spans="1:75" ht="64.5" hidden="1" outlineLevel="2" x14ac:dyDescent="0.25">
      <c r="A600" s="43" t="s">
        <v>640</v>
      </c>
      <c r="B600" s="184" t="s">
        <v>693</v>
      </c>
      <c r="C600" s="45">
        <v>2019</v>
      </c>
      <c r="D600" s="110" t="s">
        <v>90</v>
      </c>
      <c r="E600" s="47">
        <v>0</v>
      </c>
      <c r="F600" s="47">
        <v>0</v>
      </c>
      <c r="G600" s="47">
        <v>0</v>
      </c>
      <c r="H600" s="47">
        <v>0</v>
      </c>
      <c r="I600" s="47">
        <v>0</v>
      </c>
      <c r="J600" s="47">
        <v>0</v>
      </c>
      <c r="K600" s="47">
        <v>0</v>
      </c>
      <c r="L600" s="47">
        <v>0</v>
      </c>
      <c r="M600" s="47">
        <v>0</v>
      </c>
      <c r="N600" s="47">
        <v>0</v>
      </c>
      <c r="O600" s="47">
        <v>0</v>
      </c>
      <c r="P600" s="47">
        <v>0</v>
      </c>
      <c r="Q600" s="47">
        <v>1772997.28</v>
      </c>
      <c r="R600" s="47">
        <v>0</v>
      </c>
      <c r="S600" s="47">
        <v>0</v>
      </c>
      <c r="T600" s="47">
        <v>0</v>
      </c>
      <c r="U600" s="47">
        <v>0</v>
      </c>
      <c r="V600" s="47">
        <v>0</v>
      </c>
      <c r="W600" s="47">
        <v>0</v>
      </c>
      <c r="X600" s="47">
        <v>0</v>
      </c>
      <c r="Y600" s="48">
        <v>1772997.28</v>
      </c>
      <c r="Z600" s="58">
        <v>119740.61</v>
      </c>
      <c r="AA600" s="50">
        <v>119740.61</v>
      </c>
      <c r="AB600" s="50">
        <v>23590.18</v>
      </c>
      <c r="AC600" s="50">
        <v>1506.34</v>
      </c>
      <c r="AD600" s="50">
        <v>9132.85</v>
      </c>
      <c r="AE600" s="50">
        <v>0</v>
      </c>
      <c r="AF600" s="50">
        <v>0</v>
      </c>
      <c r="AG600" s="49">
        <v>153969.98000000001</v>
      </c>
      <c r="AH600" s="51" t="s">
        <v>104</v>
      </c>
      <c r="AI600" s="51" t="s">
        <v>716</v>
      </c>
      <c r="AJ600" s="51" t="s">
        <v>149</v>
      </c>
      <c r="AK600" s="51" t="s">
        <v>212</v>
      </c>
      <c r="AL600" s="51" t="s">
        <v>74</v>
      </c>
      <c r="AM600" s="51" t="s">
        <v>74</v>
      </c>
      <c r="AN600" s="52">
        <v>0</v>
      </c>
      <c r="AO600" s="52">
        <v>0</v>
      </c>
      <c r="AP600" s="52">
        <v>0</v>
      </c>
      <c r="AQ600" s="52">
        <v>0</v>
      </c>
      <c r="AR600" s="52">
        <v>0</v>
      </c>
      <c r="AS600" s="52">
        <v>0</v>
      </c>
      <c r="AT600" s="53" t="s">
        <v>74</v>
      </c>
      <c r="AU600" s="52">
        <v>0</v>
      </c>
      <c r="AV600" s="52"/>
      <c r="AW600" s="52">
        <v>0</v>
      </c>
      <c r="AX600" s="52"/>
      <c r="AY600" s="52"/>
      <c r="AZ600" s="52">
        <v>0</v>
      </c>
      <c r="BA600" s="52">
        <v>0</v>
      </c>
      <c r="BB600" s="54" t="s">
        <v>74</v>
      </c>
      <c r="BC600" s="53" t="s">
        <v>74</v>
      </c>
      <c r="BD600" s="55" t="s">
        <v>74</v>
      </c>
      <c r="BE600" s="55" t="s">
        <v>74</v>
      </c>
      <c r="BF600" s="55" t="s">
        <v>74</v>
      </c>
      <c r="BG600" s="55" t="s">
        <v>74</v>
      </c>
      <c r="BH600" s="52">
        <v>0</v>
      </c>
      <c r="BI600" s="52">
        <v>1619027.3</v>
      </c>
      <c r="BJ600" s="52">
        <v>1619027.3</v>
      </c>
      <c r="BK600" s="56">
        <v>43770</v>
      </c>
      <c r="BL600" s="57">
        <v>1619027.3</v>
      </c>
      <c r="BM600" s="47">
        <v>0</v>
      </c>
      <c r="BN600" s="9"/>
      <c r="BO600" s="9"/>
      <c r="BP600" s="9"/>
      <c r="BQ600" s="9"/>
      <c r="BR600" s="9"/>
      <c r="BS600" s="9"/>
      <c r="BT600" s="9"/>
      <c r="BU600" s="9"/>
      <c r="BV600" s="9"/>
      <c r="BW600" s="9"/>
    </row>
    <row r="601" spans="1:75" ht="90" hidden="1" outlineLevel="2" x14ac:dyDescent="0.25">
      <c r="A601" s="43" t="s">
        <v>640</v>
      </c>
      <c r="B601" s="184" t="s">
        <v>693</v>
      </c>
      <c r="C601" s="45">
        <v>2019</v>
      </c>
      <c r="D601" s="110" t="s">
        <v>93</v>
      </c>
      <c r="E601" s="47">
        <v>0</v>
      </c>
      <c r="F601" s="47">
        <v>0</v>
      </c>
      <c r="G601" s="47">
        <v>0</v>
      </c>
      <c r="H601" s="47">
        <v>0</v>
      </c>
      <c r="I601" s="47">
        <v>0</v>
      </c>
      <c r="J601" s="47">
        <v>0</v>
      </c>
      <c r="K601" s="47">
        <v>0</v>
      </c>
      <c r="L601" s="47">
        <v>0</v>
      </c>
      <c r="M601" s="47">
        <v>0</v>
      </c>
      <c r="N601" s="47">
        <v>0</v>
      </c>
      <c r="O601" s="47">
        <v>0</v>
      </c>
      <c r="P601" s="47">
        <v>0</v>
      </c>
      <c r="Q601" s="47">
        <v>1595697.55</v>
      </c>
      <c r="R601" s="134">
        <v>354599.45600000001</v>
      </c>
      <c r="S601" s="47">
        <v>0</v>
      </c>
      <c r="T601" s="47">
        <v>0</v>
      </c>
      <c r="U601" s="47">
        <v>0</v>
      </c>
      <c r="V601" s="47">
        <v>0</v>
      </c>
      <c r="W601" s="47">
        <v>0</v>
      </c>
      <c r="X601" s="47">
        <v>0</v>
      </c>
      <c r="Y601" s="48">
        <v>1950297.0060000001</v>
      </c>
      <c r="Z601" s="58">
        <v>126447.23</v>
      </c>
      <c r="AA601" s="50">
        <v>126447.23</v>
      </c>
      <c r="AB601" s="50">
        <v>0</v>
      </c>
      <c r="AC601" s="111">
        <v>2646.7</v>
      </c>
      <c r="AD601" s="111">
        <v>28152.07</v>
      </c>
      <c r="AE601" s="50">
        <v>0</v>
      </c>
      <c r="AF601" s="50">
        <v>0</v>
      </c>
      <c r="AG601" s="49">
        <v>157246</v>
      </c>
      <c r="AH601" s="51" t="s">
        <v>104</v>
      </c>
      <c r="AI601" s="51" t="s">
        <v>74</v>
      </c>
      <c r="AJ601" s="51" t="s">
        <v>717</v>
      </c>
      <c r="AK601" s="51" t="s">
        <v>718</v>
      </c>
      <c r="AL601" s="51" t="s">
        <v>74</v>
      </c>
      <c r="AM601" s="51" t="s">
        <v>74</v>
      </c>
      <c r="AN601" s="52">
        <v>0</v>
      </c>
      <c r="AO601" s="52">
        <v>0</v>
      </c>
      <c r="AP601" s="52">
        <v>0</v>
      </c>
      <c r="AQ601" s="52">
        <v>0</v>
      </c>
      <c r="AR601" s="52">
        <v>0</v>
      </c>
      <c r="AS601" s="52">
        <v>0</v>
      </c>
      <c r="AT601" s="53" t="s">
        <v>74</v>
      </c>
      <c r="AU601" s="52">
        <v>0</v>
      </c>
      <c r="AV601" s="52"/>
      <c r="AW601" s="52">
        <v>0</v>
      </c>
      <c r="AX601" s="52"/>
      <c r="AY601" s="52"/>
      <c r="AZ601" s="52">
        <v>0</v>
      </c>
      <c r="BA601" s="52">
        <v>0</v>
      </c>
      <c r="BB601" s="54" t="s">
        <v>74</v>
      </c>
      <c r="BC601" s="53" t="s">
        <v>74</v>
      </c>
      <c r="BD601" s="55" t="s">
        <v>74</v>
      </c>
      <c r="BE601" s="55" t="s">
        <v>74</v>
      </c>
      <c r="BF601" s="55" t="s">
        <v>74</v>
      </c>
      <c r="BG601" s="55" t="s">
        <v>74</v>
      </c>
      <c r="BH601" s="52">
        <v>0</v>
      </c>
      <c r="BI601" s="52">
        <v>1793051.0060000001</v>
      </c>
      <c r="BJ601" s="52">
        <v>1793051.0060000001</v>
      </c>
      <c r="BK601" s="56">
        <v>43800</v>
      </c>
      <c r="BL601" s="57">
        <v>1793051.01</v>
      </c>
      <c r="BM601" s="47">
        <v>0</v>
      </c>
      <c r="BN601" s="9"/>
      <c r="BO601" s="9"/>
      <c r="BP601" s="9"/>
      <c r="BQ601" s="9"/>
      <c r="BR601" s="9"/>
      <c r="BS601" s="9"/>
      <c r="BT601" s="9"/>
      <c r="BU601" s="9"/>
      <c r="BV601" s="9"/>
      <c r="BW601" s="9"/>
    </row>
    <row r="602" spans="1:75" ht="64.5" hidden="1" outlineLevel="2" x14ac:dyDescent="0.25">
      <c r="A602" s="43" t="s">
        <v>640</v>
      </c>
      <c r="B602" s="184" t="s">
        <v>693</v>
      </c>
      <c r="C602" s="45">
        <v>2020</v>
      </c>
      <c r="D602" s="110" t="s">
        <v>73</v>
      </c>
      <c r="E602" s="47">
        <v>0</v>
      </c>
      <c r="F602" s="47">
        <v>0</v>
      </c>
      <c r="G602" s="47">
        <v>0</v>
      </c>
      <c r="H602" s="47">
        <v>0</v>
      </c>
      <c r="I602" s="47">
        <v>0</v>
      </c>
      <c r="J602" s="47">
        <v>0</v>
      </c>
      <c r="K602" s="47">
        <v>0</v>
      </c>
      <c r="L602" s="47">
        <v>0</v>
      </c>
      <c r="M602" s="47">
        <v>0</v>
      </c>
      <c r="N602" s="47">
        <v>0</v>
      </c>
      <c r="O602" s="47">
        <v>0</v>
      </c>
      <c r="P602" s="47">
        <v>0</v>
      </c>
      <c r="Q602" s="47">
        <v>0</v>
      </c>
      <c r="R602" s="47">
        <v>1772997.28</v>
      </c>
      <c r="S602" s="47">
        <v>0</v>
      </c>
      <c r="T602" s="47">
        <v>0</v>
      </c>
      <c r="U602" s="47">
        <v>0</v>
      </c>
      <c r="V602" s="47">
        <v>0</v>
      </c>
      <c r="W602" s="47">
        <v>0</v>
      </c>
      <c r="X602" s="47">
        <v>0</v>
      </c>
      <c r="Y602" s="48">
        <v>1772997.28</v>
      </c>
      <c r="Z602" s="58">
        <v>130461.02</v>
      </c>
      <c r="AA602" s="50">
        <v>130461.02</v>
      </c>
      <c r="AB602" s="50">
        <v>0</v>
      </c>
      <c r="AC602" s="50">
        <v>1602.81</v>
      </c>
      <c r="AD602" s="50">
        <v>340.4</v>
      </c>
      <c r="AE602" s="50">
        <v>0</v>
      </c>
      <c r="AF602" s="50">
        <v>0</v>
      </c>
      <c r="AG602" s="49">
        <v>132404.23000000001</v>
      </c>
      <c r="AH602" s="51" t="s">
        <v>104</v>
      </c>
      <c r="AI602" s="51" t="s">
        <v>74</v>
      </c>
      <c r="AJ602" s="51" t="s">
        <v>719</v>
      </c>
      <c r="AK602" s="51" t="s">
        <v>157</v>
      </c>
      <c r="AL602" s="51" t="s">
        <v>74</v>
      </c>
      <c r="AM602" s="51" t="s">
        <v>74</v>
      </c>
      <c r="AN602" s="52">
        <v>0</v>
      </c>
      <c r="AO602" s="52">
        <v>0</v>
      </c>
      <c r="AP602" s="52">
        <v>0</v>
      </c>
      <c r="AQ602" s="52">
        <v>0</v>
      </c>
      <c r="AR602" s="52">
        <v>0</v>
      </c>
      <c r="AS602" s="52">
        <v>0</v>
      </c>
      <c r="AT602" s="53" t="s">
        <v>74</v>
      </c>
      <c r="AU602" s="52">
        <v>0</v>
      </c>
      <c r="AV602" s="52"/>
      <c r="AW602" s="52">
        <v>0</v>
      </c>
      <c r="AX602" s="52"/>
      <c r="AY602" s="52"/>
      <c r="AZ602" s="52">
        <v>0</v>
      </c>
      <c r="BA602" s="52">
        <v>0</v>
      </c>
      <c r="BB602" s="54" t="s">
        <v>74</v>
      </c>
      <c r="BC602" s="53" t="s">
        <v>74</v>
      </c>
      <c r="BD602" s="55" t="s">
        <v>74</v>
      </c>
      <c r="BE602" s="55" t="s">
        <v>74</v>
      </c>
      <c r="BF602" s="55" t="s">
        <v>74</v>
      </c>
      <c r="BG602" s="55" t="s">
        <v>74</v>
      </c>
      <c r="BH602" s="52">
        <v>0</v>
      </c>
      <c r="BI602" s="52">
        <v>1640593.05</v>
      </c>
      <c r="BJ602" s="52">
        <v>1640593.05</v>
      </c>
      <c r="BK602" s="56">
        <v>43831</v>
      </c>
      <c r="BL602" s="57">
        <v>1640593.05</v>
      </c>
      <c r="BM602" s="47">
        <v>0</v>
      </c>
      <c r="BN602" s="9"/>
      <c r="BO602" s="9"/>
      <c r="BP602" s="9"/>
      <c r="BQ602" s="9"/>
      <c r="BR602" s="9"/>
      <c r="BS602" s="9"/>
      <c r="BT602" s="9"/>
      <c r="BU602" s="9"/>
      <c r="BV602" s="9"/>
      <c r="BW602" s="9"/>
    </row>
    <row r="603" spans="1:75" ht="26.25" hidden="1" outlineLevel="2" x14ac:dyDescent="0.25">
      <c r="A603" s="43" t="s">
        <v>640</v>
      </c>
      <c r="B603" s="184" t="s">
        <v>693</v>
      </c>
      <c r="C603" s="45">
        <v>2020</v>
      </c>
      <c r="D603" s="110" t="s">
        <v>75</v>
      </c>
      <c r="E603" s="47">
        <v>0</v>
      </c>
      <c r="F603" s="47">
        <v>0</v>
      </c>
      <c r="G603" s="47">
        <v>0</v>
      </c>
      <c r="H603" s="47">
        <v>0</v>
      </c>
      <c r="I603" s="47">
        <v>0</v>
      </c>
      <c r="J603" s="47">
        <v>0</v>
      </c>
      <c r="K603" s="47">
        <v>0</v>
      </c>
      <c r="L603" s="47">
        <v>0</v>
      </c>
      <c r="M603" s="47">
        <v>0</v>
      </c>
      <c r="N603" s="47">
        <v>0</v>
      </c>
      <c r="O603" s="47">
        <v>0</v>
      </c>
      <c r="P603" s="47">
        <v>0</v>
      </c>
      <c r="Q603" s="47">
        <v>0</v>
      </c>
      <c r="R603" s="47">
        <v>1772997.28</v>
      </c>
      <c r="S603" s="47">
        <v>0</v>
      </c>
      <c r="T603" s="47">
        <v>0</v>
      </c>
      <c r="U603" s="47">
        <v>0</v>
      </c>
      <c r="V603" s="47">
        <v>0</v>
      </c>
      <c r="W603" s="47">
        <v>0</v>
      </c>
      <c r="X603" s="47">
        <v>0</v>
      </c>
      <c r="Y603" s="48">
        <v>1772997.28</v>
      </c>
      <c r="Z603" s="58">
        <v>126350.01</v>
      </c>
      <c r="AA603" s="50">
        <v>126350.01</v>
      </c>
      <c r="AB603" s="50">
        <v>0</v>
      </c>
      <c r="AC603" s="50">
        <v>0</v>
      </c>
      <c r="AD603" s="62">
        <v>9471.5300000000007</v>
      </c>
      <c r="AE603" s="50">
        <v>0</v>
      </c>
      <c r="AF603" s="50">
        <v>0</v>
      </c>
      <c r="AG603" s="49">
        <v>135821.54</v>
      </c>
      <c r="AH603" s="51" t="s">
        <v>104</v>
      </c>
      <c r="AI603" s="51" t="s">
        <v>74</v>
      </c>
      <c r="AJ603" s="51" t="s">
        <v>74</v>
      </c>
      <c r="AK603" s="51" t="s">
        <v>219</v>
      </c>
      <c r="AL603" s="51" t="s">
        <v>74</v>
      </c>
      <c r="AM603" s="51" t="s">
        <v>74</v>
      </c>
      <c r="AN603" s="52">
        <v>0</v>
      </c>
      <c r="AO603" s="52">
        <v>0</v>
      </c>
      <c r="AP603" s="52">
        <v>0</v>
      </c>
      <c r="AQ603" s="52">
        <v>0</v>
      </c>
      <c r="AR603" s="52">
        <v>0</v>
      </c>
      <c r="AS603" s="52">
        <v>0</v>
      </c>
      <c r="AT603" s="53" t="s">
        <v>74</v>
      </c>
      <c r="AU603" s="52">
        <v>0</v>
      </c>
      <c r="AV603" s="52"/>
      <c r="AW603" s="52">
        <v>0</v>
      </c>
      <c r="AX603" s="52"/>
      <c r="AY603" s="52"/>
      <c r="AZ603" s="52">
        <v>0</v>
      </c>
      <c r="BA603" s="52">
        <v>0</v>
      </c>
      <c r="BB603" s="54" t="s">
        <v>74</v>
      </c>
      <c r="BC603" s="53" t="s">
        <v>74</v>
      </c>
      <c r="BD603" s="55" t="s">
        <v>74</v>
      </c>
      <c r="BE603" s="55" t="s">
        <v>74</v>
      </c>
      <c r="BF603" s="55" t="s">
        <v>74</v>
      </c>
      <c r="BG603" s="55" t="s">
        <v>74</v>
      </c>
      <c r="BH603" s="52">
        <v>0</v>
      </c>
      <c r="BI603" s="52">
        <v>1637175.74</v>
      </c>
      <c r="BJ603" s="52">
        <v>1621377.89</v>
      </c>
      <c r="BK603" s="56">
        <v>43862</v>
      </c>
      <c r="BL603" s="57">
        <v>1637175.74</v>
      </c>
      <c r="BM603" s="47">
        <v>0</v>
      </c>
      <c r="BN603" s="9"/>
      <c r="BO603" s="9"/>
      <c r="BP603" s="9"/>
      <c r="BQ603" s="9"/>
      <c r="BR603" s="9"/>
      <c r="BS603" s="9"/>
      <c r="BT603" s="9"/>
      <c r="BU603" s="9"/>
      <c r="BV603" s="9"/>
      <c r="BW603" s="9"/>
    </row>
    <row r="604" spans="1:75" ht="312" hidden="1" customHeight="1" outlineLevel="2" x14ac:dyDescent="0.25">
      <c r="A604" s="43" t="s">
        <v>640</v>
      </c>
      <c r="B604" s="184" t="s">
        <v>693</v>
      </c>
      <c r="C604" s="45">
        <v>2020</v>
      </c>
      <c r="D604" s="110" t="s">
        <v>77</v>
      </c>
      <c r="E604" s="47">
        <v>0</v>
      </c>
      <c r="F604" s="47">
        <v>0</v>
      </c>
      <c r="G604" s="47">
        <v>0</v>
      </c>
      <c r="H604" s="47">
        <v>0</v>
      </c>
      <c r="I604" s="47">
        <v>0</v>
      </c>
      <c r="J604" s="47">
        <v>0</v>
      </c>
      <c r="K604" s="47">
        <v>0</v>
      </c>
      <c r="L604" s="47">
        <v>0</v>
      </c>
      <c r="M604" s="47">
        <v>0</v>
      </c>
      <c r="N604" s="47">
        <v>0</v>
      </c>
      <c r="O604" s="47">
        <v>0</v>
      </c>
      <c r="P604" s="47">
        <v>0</v>
      </c>
      <c r="Q604" s="47">
        <v>0</v>
      </c>
      <c r="R604" s="47">
        <v>1772997.28</v>
      </c>
      <c r="S604" s="47">
        <v>0</v>
      </c>
      <c r="T604" s="47">
        <v>0</v>
      </c>
      <c r="U604" s="47">
        <v>0</v>
      </c>
      <c r="V604" s="47">
        <v>0</v>
      </c>
      <c r="W604" s="47">
        <v>0</v>
      </c>
      <c r="X604" s="47">
        <v>0</v>
      </c>
      <c r="Y604" s="48">
        <v>1772997.28</v>
      </c>
      <c r="Z604" s="58">
        <v>119171.32</v>
      </c>
      <c r="AA604" s="50">
        <v>119171.32</v>
      </c>
      <c r="AB604" s="50">
        <v>0</v>
      </c>
      <c r="AC604" s="50">
        <v>0</v>
      </c>
      <c r="AD604" s="62">
        <v>10539.89</v>
      </c>
      <c r="AE604" s="50">
        <v>0</v>
      </c>
      <c r="AF604" s="50">
        <v>0</v>
      </c>
      <c r="AG604" s="49">
        <v>129711.21</v>
      </c>
      <c r="AH604" s="51" t="s">
        <v>104</v>
      </c>
      <c r="AI604" s="51" t="s">
        <v>74</v>
      </c>
      <c r="AJ604" s="51" t="s">
        <v>74</v>
      </c>
      <c r="AK604" s="51" t="s">
        <v>313</v>
      </c>
      <c r="AL604" s="51" t="s">
        <v>74</v>
      </c>
      <c r="AM604" s="51" t="s">
        <v>74</v>
      </c>
      <c r="AN604" s="52"/>
      <c r="AO604" s="52"/>
      <c r="AP604" s="52"/>
      <c r="AQ604" s="52"/>
      <c r="AR604" s="52"/>
      <c r="AS604" s="52">
        <v>0</v>
      </c>
      <c r="AT604" s="53" t="s">
        <v>74</v>
      </c>
      <c r="AU604" s="52">
        <v>314368.84000000003</v>
      </c>
      <c r="AV604" s="52"/>
      <c r="AW604" s="52">
        <v>0</v>
      </c>
      <c r="AX604" s="52"/>
      <c r="AY604" s="52"/>
      <c r="AZ604" s="52">
        <v>0</v>
      </c>
      <c r="BA604" s="52">
        <v>314368.84000000003</v>
      </c>
      <c r="BB604" s="55" t="s">
        <v>720</v>
      </c>
      <c r="BC604" s="51" t="s">
        <v>74</v>
      </c>
      <c r="BD604" s="54" t="s">
        <v>74</v>
      </c>
      <c r="BE604" s="54" t="s">
        <v>74</v>
      </c>
      <c r="BF604" s="54" t="s">
        <v>74</v>
      </c>
      <c r="BG604" s="54" t="s">
        <v>74</v>
      </c>
      <c r="BH604" s="52">
        <v>314368.84000000003</v>
      </c>
      <c r="BI604" s="52">
        <v>1957654.91</v>
      </c>
      <c r="BJ604" s="52">
        <v>1643286.07</v>
      </c>
      <c r="BK604" s="56">
        <v>43891</v>
      </c>
      <c r="BL604" s="57">
        <v>1957654.91</v>
      </c>
      <c r="BM604" s="47">
        <v>0</v>
      </c>
      <c r="BN604" s="9"/>
      <c r="BO604" s="9"/>
      <c r="BP604" s="9"/>
      <c r="BQ604" s="9"/>
      <c r="BR604" s="9"/>
      <c r="BS604" s="9"/>
      <c r="BT604" s="9"/>
      <c r="BU604" s="9"/>
      <c r="BV604" s="9"/>
      <c r="BW604" s="9"/>
    </row>
    <row r="605" spans="1:75" ht="26.25" hidden="1" outlineLevel="2" x14ac:dyDescent="0.25">
      <c r="A605" s="43" t="s">
        <v>640</v>
      </c>
      <c r="B605" s="184" t="s">
        <v>693</v>
      </c>
      <c r="C605" s="45">
        <v>2020</v>
      </c>
      <c r="D605" s="110" t="s">
        <v>79</v>
      </c>
      <c r="E605" s="47">
        <v>0</v>
      </c>
      <c r="F605" s="47">
        <v>0</v>
      </c>
      <c r="G605" s="47">
        <v>0</v>
      </c>
      <c r="H605" s="47">
        <v>0</v>
      </c>
      <c r="I605" s="47">
        <v>0</v>
      </c>
      <c r="J605" s="47">
        <v>0</v>
      </c>
      <c r="K605" s="47">
        <v>0</v>
      </c>
      <c r="L605" s="47">
        <v>0</v>
      </c>
      <c r="M605" s="47">
        <v>0</v>
      </c>
      <c r="N605" s="47">
        <v>0</v>
      </c>
      <c r="O605" s="47">
        <v>0</v>
      </c>
      <c r="P605" s="47">
        <v>0</v>
      </c>
      <c r="Q605" s="47">
        <v>0</v>
      </c>
      <c r="R605" s="47">
        <v>1772997.28</v>
      </c>
      <c r="S605" s="47">
        <v>0</v>
      </c>
      <c r="T605" s="47">
        <v>0</v>
      </c>
      <c r="U605" s="47">
        <v>0</v>
      </c>
      <c r="V605" s="47">
        <v>0</v>
      </c>
      <c r="W605" s="47">
        <v>0</v>
      </c>
      <c r="X605" s="47">
        <v>0</v>
      </c>
      <c r="Y605" s="48">
        <v>1772997.28</v>
      </c>
      <c r="Z605" s="58">
        <v>119507.17</v>
      </c>
      <c r="AA605" s="50">
        <v>119507.17</v>
      </c>
      <c r="AB605" s="50">
        <v>0</v>
      </c>
      <c r="AC605" s="50">
        <v>0</v>
      </c>
      <c r="AD605" s="50">
        <v>9590.2000000000007</v>
      </c>
      <c r="AE605" s="50">
        <v>0</v>
      </c>
      <c r="AF605" s="50">
        <v>0</v>
      </c>
      <c r="AG605" s="49">
        <v>129097.37</v>
      </c>
      <c r="AH605" s="51" t="s">
        <v>104</v>
      </c>
      <c r="AI605" s="51" t="s">
        <v>74</v>
      </c>
      <c r="AJ605" s="51" t="s">
        <v>74</v>
      </c>
      <c r="AK605" s="51" t="s">
        <v>161</v>
      </c>
      <c r="AL605" s="51" t="s">
        <v>74</v>
      </c>
      <c r="AM605" s="51" t="s">
        <v>74</v>
      </c>
      <c r="AN605" s="52">
        <v>0</v>
      </c>
      <c r="AO605" s="52">
        <v>0</v>
      </c>
      <c r="AP605" s="52">
        <v>0</v>
      </c>
      <c r="AQ605" s="52">
        <v>0</v>
      </c>
      <c r="AR605" s="52">
        <v>0</v>
      </c>
      <c r="AS605" s="52">
        <v>0</v>
      </c>
      <c r="AT605" s="53" t="s">
        <v>74</v>
      </c>
      <c r="AU605" s="52">
        <v>0</v>
      </c>
      <c r="AV605" s="52"/>
      <c r="AW605" s="52">
        <v>0</v>
      </c>
      <c r="AX605" s="52"/>
      <c r="AY605" s="52"/>
      <c r="AZ605" s="52">
        <v>0</v>
      </c>
      <c r="BA605" s="52">
        <v>0</v>
      </c>
      <c r="BB605" s="54" t="s">
        <v>74</v>
      </c>
      <c r="BC605" s="53" t="s">
        <v>74</v>
      </c>
      <c r="BD605" s="55" t="s">
        <v>74</v>
      </c>
      <c r="BE605" s="55" t="s">
        <v>74</v>
      </c>
      <c r="BF605" s="55" t="s">
        <v>74</v>
      </c>
      <c r="BG605" s="55" t="s">
        <v>74</v>
      </c>
      <c r="BH605" s="52">
        <v>0</v>
      </c>
      <c r="BI605" s="52">
        <v>1643899.91</v>
      </c>
      <c r="BJ605" s="52">
        <v>1643899.91</v>
      </c>
      <c r="BK605" s="56">
        <v>43922</v>
      </c>
      <c r="BL605" s="57">
        <v>1643899.91</v>
      </c>
      <c r="BM605" s="47">
        <v>0</v>
      </c>
      <c r="BN605" s="9"/>
      <c r="BO605" s="9"/>
      <c r="BP605" s="9"/>
      <c r="BQ605" s="9"/>
      <c r="BR605" s="9"/>
      <c r="BS605" s="9"/>
      <c r="BT605" s="9"/>
      <c r="BU605" s="9"/>
      <c r="BV605" s="9"/>
      <c r="BW605" s="9"/>
    </row>
    <row r="606" spans="1:75" ht="26.25" hidden="1" outlineLevel="2" x14ac:dyDescent="0.25">
      <c r="A606" s="43" t="s">
        <v>640</v>
      </c>
      <c r="B606" s="184" t="s">
        <v>693</v>
      </c>
      <c r="C606" s="45">
        <v>2020</v>
      </c>
      <c r="D606" s="110" t="s">
        <v>81</v>
      </c>
      <c r="E606" s="47">
        <v>0</v>
      </c>
      <c r="F606" s="47">
        <v>0</v>
      </c>
      <c r="G606" s="47">
        <v>0</v>
      </c>
      <c r="H606" s="47">
        <v>0</v>
      </c>
      <c r="I606" s="47">
        <v>0</v>
      </c>
      <c r="J606" s="47">
        <v>0</v>
      </c>
      <c r="K606" s="47">
        <v>0</v>
      </c>
      <c r="L606" s="47">
        <v>0</v>
      </c>
      <c r="M606" s="47">
        <v>0</v>
      </c>
      <c r="N606" s="47">
        <v>0</v>
      </c>
      <c r="O606" s="47">
        <v>0</v>
      </c>
      <c r="P606" s="47">
        <v>0</v>
      </c>
      <c r="Q606" s="47">
        <v>0</v>
      </c>
      <c r="R606" s="47">
        <v>1772997.28</v>
      </c>
      <c r="S606" s="47">
        <v>0</v>
      </c>
      <c r="T606" s="47">
        <v>0</v>
      </c>
      <c r="U606" s="47">
        <v>0</v>
      </c>
      <c r="V606" s="47">
        <v>0</v>
      </c>
      <c r="W606" s="47">
        <v>0</v>
      </c>
      <c r="X606" s="47">
        <v>0</v>
      </c>
      <c r="Y606" s="48">
        <v>1772997.28</v>
      </c>
      <c r="Z606" s="60">
        <v>117109.3</v>
      </c>
      <c r="AA606" s="50">
        <v>117109.3</v>
      </c>
      <c r="AB606" s="50">
        <v>0</v>
      </c>
      <c r="AC606" s="50">
        <v>0</v>
      </c>
      <c r="AD606" s="50">
        <v>10818.69</v>
      </c>
      <c r="AE606" s="50">
        <v>0</v>
      </c>
      <c r="AF606" s="50">
        <v>0</v>
      </c>
      <c r="AG606" s="49">
        <v>127927.99</v>
      </c>
      <c r="AH606" s="51" t="s">
        <v>104</v>
      </c>
      <c r="AI606" s="51" t="s">
        <v>74</v>
      </c>
      <c r="AJ606" s="51" t="s">
        <v>74</v>
      </c>
      <c r="AK606" s="51" t="s">
        <v>162</v>
      </c>
      <c r="AL606" s="51" t="s">
        <v>74</v>
      </c>
      <c r="AM606" s="51" t="s">
        <v>74</v>
      </c>
      <c r="AN606" s="52">
        <v>0</v>
      </c>
      <c r="AO606" s="52">
        <v>0</v>
      </c>
      <c r="AP606" s="52">
        <v>0</v>
      </c>
      <c r="AQ606" s="52">
        <v>0</v>
      </c>
      <c r="AR606" s="52">
        <v>0</v>
      </c>
      <c r="AS606" s="52">
        <v>0</v>
      </c>
      <c r="AT606" s="53" t="s">
        <v>74</v>
      </c>
      <c r="AU606" s="52">
        <v>0</v>
      </c>
      <c r="AV606" s="52"/>
      <c r="AW606" s="52">
        <v>0</v>
      </c>
      <c r="AX606" s="52"/>
      <c r="AY606" s="52"/>
      <c r="AZ606" s="52">
        <v>0</v>
      </c>
      <c r="BA606" s="52">
        <v>0</v>
      </c>
      <c r="BB606" s="54" t="s">
        <v>74</v>
      </c>
      <c r="BC606" s="53" t="s">
        <v>74</v>
      </c>
      <c r="BD606" s="55" t="s">
        <v>74</v>
      </c>
      <c r="BE606" s="55" t="s">
        <v>74</v>
      </c>
      <c r="BF606" s="55" t="s">
        <v>74</v>
      </c>
      <c r="BG606" s="55" t="s">
        <v>74</v>
      </c>
      <c r="BH606" s="52">
        <v>0</v>
      </c>
      <c r="BI606" s="52">
        <v>1645069.29</v>
      </c>
      <c r="BJ606" s="52">
        <v>1645069.29</v>
      </c>
      <c r="BK606" s="56">
        <v>43952</v>
      </c>
      <c r="BL606" s="57">
        <v>1645069.29</v>
      </c>
      <c r="BM606" s="47">
        <v>0</v>
      </c>
      <c r="BN606" s="9"/>
      <c r="BO606" s="9"/>
      <c r="BP606" s="9"/>
      <c r="BQ606" s="9"/>
      <c r="BR606" s="9"/>
      <c r="BS606" s="9"/>
      <c r="BT606" s="9"/>
      <c r="BU606" s="9"/>
      <c r="BV606" s="9"/>
      <c r="BW606" s="9"/>
    </row>
    <row r="607" spans="1:75" ht="26.25" hidden="1" outlineLevel="2" x14ac:dyDescent="0.25">
      <c r="A607" s="43" t="s">
        <v>640</v>
      </c>
      <c r="B607" s="184" t="s">
        <v>693</v>
      </c>
      <c r="C607" s="45">
        <v>2020</v>
      </c>
      <c r="D607" s="110" t="s">
        <v>83</v>
      </c>
      <c r="E607" s="47">
        <v>0</v>
      </c>
      <c r="F607" s="47">
        <v>0</v>
      </c>
      <c r="G607" s="47">
        <v>0</v>
      </c>
      <c r="H607" s="47">
        <v>0</v>
      </c>
      <c r="I607" s="47">
        <v>0</v>
      </c>
      <c r="J607" s="47">
        <v>0</v>
      </c>
      <c r="K607" s="47">
        <v>0</v>
      </c>
      <c r="L607" s="47">
        <v>0</v>
      </c>
      <c r="M607" s="47">
        <v>0</v>
      </c>
      <c r="N607" s="47">
        <v>0</v>
      </c>
      <c r="O607" s="47">
        <v>0</v>
      </c>
      <c r="P607" s="47">
        <v>0</v>
      </c>
      <c r="Q607" s="47">
        <v>0</v>
      </c>
      <c r="R607" s="47">
        <v>1418397.824</v>
      </c>
      <c r="S607" s="134">
        <v>354599.45600000001</v>
      </c>
      <c r="T607" s="47">
        <v>0</v>
      </c>
      <c r="U607" s="47">
        <v>0</v>
      </c>
      <c r="V607" s="47">
        <v>0</v>
      </c>
      <c r="W607" s="47">
        <v>0</v>
      </c>
      <c r="X607" s="47">
        <v>0</v>
      </c>
      <c r="Y607" s="48">
        <v>1772997.28</v>
      </c>
      <c r="Z607" s="58">
        <v>125755.99</v>
      </c>
      <c r="AA607" s="50">
        <v>125755.99</v>
      </c>
      <c r="AB607" s="50">
        <v>0</v>
      </c>
      <c r="AC607" s="50">
        <v>0</v>
      </c>
      <c r="AD607" s="62">
        <v>7686.71</v>
      </c>
      <c r="AE607" s="50">
        <v>0</v>
      </c>
      <c r="AF607" s="50">
        <v>0</v>
      </c>
      <c r="AG607" s="49">
        <v>133442.70000000001</v>
      </c>
      <c r="AH607" s="51" t="s">
        <v>104</v>
      </c>
      <c r="AI607" s="51" t="s">
        <v>74</v>
      </c>
      <c r="AJ607" s="51" t="s">
        <v>74</v>
      </c>
      <c r="AK607" s="51" t="s">
        <v>163</v>
      </c>
      <c r="AL607" s="51" t="s">
        <v>74</v>
      </c>
      <c r="AM607" s="51" t="s">
        <v>74</v>
      </c>
      <c r="AN607" s="52">
        <v>0</v>
      </c>
      <c r="AO607" s="52">
        <v>0</v>
      </c>
      <c r="AP607" s="52">
        <v>0</v>
      </c>
      <c r="AQ607" s="52">
        <v>0</v>
      </c>
      <c r="AR607" s="52">
        <v>0</v>
      </c>
      <c r="AS607" s="52">
        <v>0</v>
      </c>
      <c r="AT607" s="53" t="s">
        <v>74</v>
      </c>
      <c r="AU607" s="52">
        <v>0</v>
      </c>
      <c r="AV607" s="52"/>
      <c r="AW607" s="52">
        <v>0</v>
      </c>
      <c r="AX607" s="52"/>
      <c r="AY607" s="52"/>
      <c r="AZ607" s="52">
        <v>0</v>
      </c>
      <c r="BA607" s="52">
        <v>0</v>
      </c>
      <c r="BB607" s="54" t="s">
        <v>74</v>
      </c>
      <c r="BC607" s="53" t="s">
        <v>74</v>
      </c>
      <c r="BD607" s="55" t="s">
        <v>74</v>
      </c>
      <c r="BE607" s="55" t="s">
        <v>74</v>
      </c>
      <c r="BF607" s="55" t="s">
        <v>74</v>
      </c>
      <c r="BG607" s="55" t="s">
        <v>74</v>
      </c>
      <c r="BH607" s="52">
        <v>0</v>
      </c>
      <c r="BI607" s="52">
        <v>1639554.58</v>
      </c>
      <c r="BJ607" s="52">
        <v>1639554.58</v>
      </c>
      <c r="BK607" s="56">
        <v>43983</v>
      </c>
      <c r="BL607" s="57">
        <v>1639554.58</v>
      </c>
      <c r="BM607" s="47">
        <v>0</v>
      </c>
      <c r="BN607" s="9"/>
      <c r="BO607" s="9"/>
      <c r="BP607" s="9"/>
      <c r="BQ607" s="9"/>
      <c r="BR607" s="9"/>
      <c r="BS607" s="9"/>
      <c r="BT607" s="9"/>
      <c r="BU607" s="9"/>
      <c r="BV607" s="9"/>
      <c r="BW607" s="9"/>
    </row>
    <row r="608" spans="1:75" ht="26.25" hidden="1" outlineLevel="2" x14ac:dyDescent="0.25">
      <c r="A608" s="43" t="s">
        <v>640</v>
      </c>
      <c r="B608" s="184" t="s">
        <v>693</v>
      </c>
      <c r="C608" s="45">
        <v>2020</v>
      </c>
      <c r="D608" s="110" t="s">
        <v>84</v>
      </c>
      <c r="E608" s="47">
        <v>0</v>
      </c>
      <c r="F608" s="47">
        <v>0</v>
      </c>
      <c r="G608" s="47">
        <v>0</v>
      </c>
      <c r="H608" s="47">
        <v>0</v>
      </c>
      <c r="I608" s="47">
        <v>0</v>
      </c>
      <c r="J608" s="47">
        <v>0</v>
      </c>
      <c r="K608" s="47">
        <v>0</v>
      </c>
      <c r="L608" s="47">
        <v>0</v>
      </c>
      <c r="M608" s="47">
        <v>0</v>
      </c>
      <c r="N608" s="47">
        <v>0</v>
      </c>
      <c r="O608" s="47">
        <v>0</v>
      </c>
      <c r="P608" s="47">
        <v>0</v>
      </c>
      <c r="Q608" s="47">
        <v>0</v>
      </c>
      <c r="R608" s="47">
        <v>0</v>
      </c>
      <c r="S608" s="134">
        <v>1772997.28</v>
      </c>
      <c r="T608" s="47">
        <v>0</v>
      </c>
      <c r="U608" s="47">
        <v>0</v>
      </c>
      <c r="V608" s="47">
        <v>0</v>
      </c>
      <c r="W608" s="47">
        <v>0</v>
      </c>
      <c r="X608" s="47">
        <v>0</v>
      </c>
      <c r="Y608" s="48">
        <v>1772997.28</v>
      </c>
      <c r="Z608" s="58">
        <v>120787.2</v>
      </c>
      <c r="AA608" s="50">
        <v>120787.2</v>
      </c>
      <c r="AB608" s="50">
        <v>0</v>
      </c>
      <c r="AC608" s="62">
        <v>1103</v>
      </c>
      <c r="AD608" s="62">
        <v>7397.84</v>
      </c>
      <c r="AE608" s="50">
        <v>0</v>
      </c>
      <c r="AF608" s="50">
        <v>0</v>
      </c>
      <c r="AG608" s="49">
        <v>129288.04</v>
      </c>
      <c r="AH608" s="51" t="s">
        <v>104</v>
      </c>
      <c r="AI608" s="51" t="s">
        <v>74</v>
      </c>
      <c r="AJ608" s="51" t="s">
        <v>164</v>
      </c>
      <c r="AK608" s="51" t="s">
        <v>165</v>
      </c>
      <c r="AL608" s="51" t="s">
        <v>74</v>
      </c>
      <c r="AM608" s="51" t="s">
        <v>74</v>
      </c>
      <c r="AN608" s="52">
        <v>0</v>
      </c>
      <c r="AO608" s="52">
        <v>0</v>
      </c>
      <c r="AP608" s="52">
        <v>0</v>
      </c>
      <c r="AQ608" s="52">
        <v>0</v>
      </c>
      <c r="AR608" s="52">
        <v>0</v>
      </c>
      <c r="AS608" s="52">
        <v>0</v>
      </c>
      <c r="AT608" s="53" t="s">
        <v>74</v>
      </c>
      <c r="AU608" s="52">
        <v>0</v>
      </c>
      <c r="AV608" s="52"/>
      <c r="AW608" s="52">
        <v>0</v>
      </c>
      <c r="AX608" s="52"/>
      <c r="AY608" s="52"/>
      <c r="AZ608" s="52">
        <v>0</v>
      </c>
      <c r="BA608" s="52">
        <v>0</v>
      </c>
      <c r="BB608" s="54" t="s">
        <v>74</v>
      </c>
      <c r="BC608" s="53" t="s">
        <v>74</v>
      </c>
      <c r="BD608" s="55" t="s">
        <v>74</v>
      </c>
      <c r="BE608" s="55" t="s">
        <v>74</v>
      </c>
      <c r="BF608" s="55" t="s">
        <v>74</v>
      </c>
      <c r="BG608" s="55" t="s">
        <v>74</v>
      </c>
      <c r="BH608" s="52">
        <v>0</v>
      </c>
      <c r="BI608" s="52">
        <v>1643709.24</v>
      </c>
      <c r="BJ608" s="52">
        <v>1643709.24</v>
      </c>
      <c r="BK608" s="56">
        <v>44013</v>
      </c>
      <c r="BL608" s="63">
        <v>1643709.24</v>
      </c>
      <c r="BM608" s="47">
        <v>0</v>
      </c>
      <c r="BN608" s="9"/>
      <c r="BO608" s="9"/>
      <c r="BP608" s="9"/>
      <c r="BQ608" s="9"/>
      <c r="BR608" s="9"/>
      <c r="BS608" s="9"/>
      <c r="BT608" s="9"/>
      <c r="BU608" s="9"/>
      <c r="BV608" s="9"/>
      <c r="BW608" s="9"/>
    </row>
    <row r="609" spans="1:75" ht="26.25" hidden="1" outlineLevel="2" x14ac:dyDescent="0.25">
      <c r="A609" s="43" t="s">
        <v>640</v>
      </c>
      <c r="B609" s="184" t="s">
        <v>693</v>
      </c>
      <c r="C609" s="45">
        <v>2020</v>
      </c>
      <c r="D609" s="110" t="s">
        <v>86</v>
      </c>
      <c r="E609" s="47">
        <v>0</v>
      </c>
      <c r="F609" s="47">
        <v>0</v>
      </c>
      <c r="G609" s="47">
        <v>0</v>
      </c>
      <c r="H609" s="47">
        <v>0</v>
      </c>
      <c r="I609" s="47">
        <v>0</v>
      </c>
      <c r="J609" s="47">
        <v>0</v>
      </c>
      <c r="K609" s="47">
        <v>0</v>
      </c>
      <c r="L609" s="47">
        <v>0</v>
      </c>
      <c r="M609" s="47">
        <v>0</v>
      </c>
      <c r="N609" s="47">
        <v>0</v>
      </c>
      <c r="O609" s="47">
        <v>0</v>
      </c>
      <c r="P609" s="47">
        <v>0</v>
      </c>
      <c r="Q609" s="47">
        <v>0</v>
      </c>
      <c r="R609" s="47">
        <v>0</v>
      </c>
      <c r="S609" s="134">
        <v>1772997.28</v>
      </c>
      <c r="T609" s="47">
        <v>0</v>
      </c>
      <c r="U609" s="47">
        <v>0</v>
      </c>
      <c r="V609" s="47">
        <v>0</v>
      </c>
      <c r="W609" s="47">
        <v>0</v>
      </c>
      <c r="X609" s="47">
        <v>0</v>
      </c>
      <c r="Y609" s="48">
        <v>1772997.28</v>
      </c>
      <c r="Z609" s="65">
        <v>107376.44</v>
      </c>
      <c r="AA609" s="61">
        <v>107376.44</v>
      </c>
      <c r="AB609" s="50">
        <v>0</v>
      </c>
      <c r="AC609" s="62">
        <v>1164.71</v>
      </c>
      <c r="AD609" s="62">
        <v>6910.77</v>
      </c>
      <c r="AE609" s="50">
        <v>0</v>
      </c>
      <c r="AF609" s="50">
        <v>0</v>
      </c>
      <c r="AG609" s="49">
        <v>115451.92</v>
      </c>
      <c r="AH609" s="51" t="s">
        <v>104</v>
      </c>
      <c r="AI609" s="51" t="s">
        <v>74</v>
      </c>
      <c r="AJ609" s="51" t="s">
        <v>167</v>
      </c>
      <c r="AK609" s="51" t="s">
        <v>168</v>
      </c>
      <c r="AL609" s="51" t="s">
        <v>74</v>
      </c>
      <c r="AM609" s="51" t="s">
        <v>74</v>
      </c>
      <c r="AN609" s="52">
        <v>0</v>
      </c>
      <c r="AO609" s="52">
        <v>0</v>
      </c>
      <c r="AP609" s="52">
        <v>0</v>
      </c>
      <c r="AQ609" s="52">
        <v>0</v>
      </c>
      <c r="AR609" s="52">
        <v>0</v>
      </c>
      <c r="AS609" s="52">
        <v>0</v>
      </c>
      <c r="AT609" s="53" t="s">
        <v>74</v>
      </c>
      <c r="AU609" s="52">
        <v>0</v>
      </c>
      <c r="AV609" s="52"/>
      <c r="AW609" s="52">
        <v>0</v>
      </c>
      <c r="AX609" s="52"/>
      <c r="AY609" s="52"/>
      <c r="AZ609" s="52">
        <v>0</v>
      </c>
      <c r="BA609" s="52">
        <v>0</v>
      </c>
      <c r="BB609" s="54" t="s">
        <v>74</v>
      </c>
      <c r="BC609" s="53" t="s">
        <v>74</v>
      </c>
      <c r="BD609" s="55" t="s">
        <v>74</v>
      </c>
      <c r="BE609" s="55" t="s">
        <v>74</v>
      </c>
      <c r="BF609" s="55" t="s">
        <v>74</v>
      </c>
      <c r="BG609" s="55" t="s">
        <v>74</v>
      </c>
      <c r="BH609" s="52">
        <v>0</v>
      </c>
      <c r="BI609" s="52">
        <v>1657545.36</v>
      </c>
      <c r="BJ609" s="52">
        <v>1657545.36</v>
      </c>
      <c r="BK609" s="56">
        <v>44044</v>
      </c>
      <c r="BL609" s="63">
        <v>1657545.36</v>
      </c>
      <c r="BM609" s="47">
        <v>0</v>
      </c>
      <c r="BN609" s="9"/>
      <c r="BO609" s="9"/>
      <c r="BP609" s="9"/>
      <c r="BQ609" s="9"/>
      <c r="BR609" s="9"/>
      <c r="BS609" s="9"/>
      <c r="BT609" s="9"/>
      <c r="BU609" s="9"/>
      <c r="BV609" s="9"/>
      <c r="BW609" s="9"/>
    </row>
    <row r="610" spans="1:75" ht="26.25" hidden="1" outlineLevel="2" x14ac:dyDescent="0.25">
      <c r="A610" s="43" t="s">
        <v>640</v>
      </c>
      <c r="B610" s="184" t="s">
        <v>693</v>
      </c>
      <c r="C610" s="45">
        <v>2020</v>
      </c>
      <c r="D610" s="110" t="s">
        <v>88</v>
      </c>
      <c r="E610" s="47">
        <v>0</v>
      </c>
      <c r="F610" s="47">
        <v>0</v>
      </c>
      <c r="G610" s="47">
        <v>0</v>
      </c>
      <c r="H610" s="47">
        <v>0</v>
      </c>
      <c r="I610" s="47">
        <v>0</v>
      </c>
      <c r="J610" s="47">
        <v>0</v>
      </c>
      <c r="K610" s="47">
        <v>0</v>
      </c>
      <c r="L610" s="47">
        <v>0</v>
      </c>
      <c r="M610" s="47">
        <v>0</v>
      </c>
      <c r="N610" s="47">
        <v>0</v>
      </c>
      <c r="O610" s="47">
        <v>0</v>
      </c>
      <c r="P610" s="47">
        <v>0</v>
      </c>
      <c r="Q610" s="47">
        <v>0</v>
      </c>
      <c r="R610" s="47">
        <v>0</v>
      </c>
      <c r="S610" s="134">
        <v>1772997.28</v>
      </c>
      <c r="T610" s="47">
        <v>0</v>
      </c>
      <c r="U610" s="47">
        <v>0</v>
      </c>
      <c r="V610" s="47">
        <v>0</v>
      </c>
      <c r="W610" s="47">
        <v>0</v>
      </c>
      <c r="X610" s="47">
        <v>0</v>
      </c>
      <c r="Y610" s="48">
        <v>1772997.28</v>
      </c>
      <c r="Z610" s="66">
        <v>109382.65</v>
      </c>
      <c r="AA610" s="62">
        <v>109382.65</v>
      </c>
      <c r="AB610" s="50">
        <v>0</v>
      </c>
      <c r="AC610" s="62">
        <v>1072.57</v>
      </c>
      <c r="AD610" s="62">
        <v>7602.66</v>
      </c>
      <c r="AE610" s="50">
        <v>0</v>
      </c>
      <c r="AF610" s="50">
        <v>0</v>
      </c>
      <c r="AG610" s="49">
        <v>118057.88</v>
      </c>
      <c r="AH610" s="51" t="s">
        <v>104</v>
      </c>
      <c r="AI610" s="51" t="s">
        <v>74</v>
      </c>
      <c r="AJ610" s="51" t="s">
        <v>169</v>
      </c>
      <c r="AK610" s="51" t="s">
        <v>170</v>
      </c>
      <c r="AL610" s="51" t="s">
        <v>74</v>
      </c>
      <c r="AM610" s="51" t="s">
        <v>74</v>
      </c>
      <c r="AN610" s="52">
        <v>0</v>
      </c>
      <c r="AO610" s="52">
        <v>0</v>
      </c>
      <c r="AP610" s="52">
        <v>0</v>
      </c>
      <c r="AQ610" s="52">
        <v>0</v>
      </c>
      <c r="AR610" s="52">
        <v>0</v>
      </c>
      <c r="AS610" s="52">
        <v>0</v>
      </c>
      <c r="AT610" s="53" t="s">
        <v>74</v>
      </c>
      <c r="AU610" s="52">
        <v>0</v>
      </c>
      <c r="AV610" s="52"/>
      <c r="AW610" s="52">
        <v>0</v>
      </c>
      <c r="AX610" s="52"/>
      <c r="AY610" s="52"/>
      <c r="AZ610" s="52">
        <v>0</v>
      </c>
      <c r="BA610" s="52">
        <v>0</v>
      </c>
      <c r="BB610" s="54" t="s">
        <v>74</v>
      </c>
      <c r="BC610" s="53" t="s">
        <v>74</v>
      </c>
      <c r="BD610" s="55" t="s">
        <v>74</v>
      </c>
      <c r="BE610" s="55" t="s">
        <v>74</v>
      </c>
      <c r="BF610" s="55" t="s">
        <v>74</v>
      </c>
      <c r="BG610" s="55" t="s">
        <v>74</v>
      </c>
      <c r="BH610" s="52">
        <v>0</v>
      </c>
      <c r="BI610" s="52">
        <v>1654939.4</v>
      </c>
      <c r="BJ610" s="52">
        <v>1654939.4</v>
      </c>
      <c r="BK610" s="56">
        <v>44075</v>
      </c>
      <c r="BL610" s="63">
        <v>1654939.4</v>
      </c>
      <c r="BM610" s="47">
        <v>0</v>
      </c>
      <c r="BN610" s="9"/>
      <c r="BO610" s="9"/>
      <c r="BP610" s="9"/>
      <c r="BQ610" s="9"/>
      <c r="BR610" s="9"/>
      <c r="BS610" s="9"/>
      <c r="BT610" s="9"/>
      <c r="BU610" s="9"/>
      <c r="BV610" s="9"/>
      <c r="BW610" s="9"/>
    </row>
    <row r="611" spans="1:75" ht="51.75" hidden="1" outlineLevel="2" x14ac:dyDescent="0.25">
      <c r="A611" s="43" t="s">
        <v>640</v>
      </c>
      <c r="B611" s="184" t="s">
        <v>693</v>
      </c>
      <c r="C611" s="45">
        <v>2020</v>
      </c>
      <c r="D611" s="110" t="s">
        <v>89</v>
      </c>
      <c r="E611" s="47">
        <v>0</v>
      </c>
      <c r="F611" s="47">
        <v>0</v>
      </c>
      <c r="G611" s="47">
        <v>0</v>
      </c>
      <c r="H611" s="47">
        <v>0</v>
      </c>
      <c r="I611" s="47">
        <v>0</v>
      </c>
      <c r="J611" s="47">
        <v>0</v>
      </c>
      <c r="K611" s="47">
        <v>0</v>
      </c>
      <c r="L611" s="47">
        <v>0</v>
      </c>
      <c r="M611" s="47">
        <v>0</v>
      </c>
      <c r="N611" s="47">
        <v>0</v>
      </c>
      <c r="O611" s="47">
        <v>0</v>
      </c>
      <c r="P611" s="47">
        <v>0</v>
      </c>
      <c r="Q611" s="47">
        <v>0</v>
      </c>
      <c r="R611" s="47">
        <v>0</v>
      </c>
      <c r="S611" s="134">
        <v>1772997.28</v>
      </c>
      <c r="T611" s="47">
        <v>0</v>
      </c>
      <c r="U611" s="47">
        <v>0</v>
      </c>
      <c r="V611" s="47">
        <v>0</v>
      </c>
      <c r="W611" s="47">
        <v>0</v>
      </c>
      <c r="X611" s="47">
        <v>0</v>
      </c>
      <c r="Y611" s="48">
        <v>1772997.28</v>
      </c>
      <c r="Z611" s="66">
        <v>103554.78</v>
      </c>
      <c r="AA611" s="62">
        <v>103554.78</v>
      </c>
      <c r="AB611" s="50">
        <v>0</v>
      </c>
      <c r="AC611" s="62">
        <v>6718.77</v>
      </c>
      <c r="AD611" s="62">
        <v>11976.5</v>
      </c>
      <c r="AE611" s="50">
        <v>0</v>
      </c>
      <c r="AF611" s="50">
        <v>0</v>
      </c>
      <c r="AG611" s="49">
        <v>122250.05</v>
      </c>
      <c r="AH611" s="51" t="s">
        <v>104</v>
      </c>
      <c r="AI611" s="51" t="s">
        <v>74</v>
      </c>
      <c r="AJ611" s="51" t="s">
        <v>171</v>
      </c>
      <c r="AK611" s="51" t="s">
        <v>172</v>
      </c>
      <c r="AL611" s="51" t="s">
        <v>74</v>
      </c>
      <c r="AM611" s="51" t="s">
        <v>74</v>
      </c>
      <c r="AN611" s="52">
        <v>0</v>
      </c>
      <c r="AO611" s="52">
        <v>0</v>
      </c>
      <c r="AP611" s="52">
        <v>0</v>
      </c>
      <c r="AQ611" s="52">
        <v>0</v>
      </c>
      <c r="AR611" s="52">
        <v>0</v>
      </c>
      <c r="AS611" s="52">
        <v>0</v>
      </c>
      <c r="AT611" s="53" t="s">
        <v>74</v>
      </c>
      <c r="AU611" s="52">
        <v>0</v>
      </c>
      <c r="AV611" s="52"/>
      <c r="AW611" s="52">
        <v>0</v>
      </c>
      <c r="AX611" s="52"/>
      <c r="AY611" s="52"/>
      <c r="AZ611" s="52">
        <v>0</v>
      </c>
      <c r="BA611" s="52">
        <v>0</v>
      </c>
      <c r="BB611" s="54" t="s">
        <v>74</v>
      </c>
      <c r="BC611" s="53" t="s">
        <v>74</v>
      </c>
      <c r="BD611" s="55" t="s">
        <v>74</v>
      </c>
      <c r="BE611" s="55" t="s">
        <v>74</v>
      </c>
      <c r="BF611" s="55" t="s">
        <v>74</v>
      </c>
      <c r="BG611" s="55" t="s">
        <v>74</v>
      </c>
      <c r="BH611" s="52">
        <v>0</v>
      </c>
      <c r="BI611" s="52">
        <v>1650747.23</v>
      </c>
      <c r="BJ611" s="52">
        <v>1650747.23</v>
      </c>
      <c r="BK611" s="56">
        <v>44105</v>
      </c>
      <c r="BL611" s="63">
        <v>1650747.23</v>
      </c>
      <c r="BM611" s="47">
        <v>0</v>
      </c>
      <c r="BN611" s="9"/>
      <c r="BO611" s="9"/>
      <c r="BP611" s="9"/>
      <c r="BQ611" s="9"/>
      <c r="BR611" s="9"/>
      <c r="BS611" s="9"/>
      <c r="BT611" s="9"/>
      <c r="BU611" s="9"/>
      <c r="BV611" s="9"/>
      <c r="BW611" s="9"/>
    </row>
    <row r="612" spans="1:75" hidden="1" outlineLevel="2" x14ac:dyDescent="0.25">
      <c r="A612" s="43" t="s">
        <v>640</v>
      </c>
      <c r="B612" s="184" t="s">
        <v>693</v>
      </c>
      <c r="C612" s="45">
        <v>2020</v>
      </c>
      <c r="D612" s="110" t="s">
        <v>90</v>
      </c>
      <c r="E612" s="47">
        <v>0</v>
      </c>
      <c r="F612" s="47">
        <v>0</v>
      </c>
      <c r="G612" s="47">
        <v>0</v>
      </c>
      <c r="H612" s="47">
        <v>0</v>
      </c>
      <c r="I612" s="47">
        <v>0</v>
      </c>
      <c r="J612" s="47">
        <v>0</v>
      </c>
      <c r="K612" s="47">
        <v>0</v>
      </c>
      <c r="L612" s="47">
        <v>0</v>
      </c>
      <c r="M612" s="47">
        <v>0</v>
      </c>
      <c r="N612" s="47">
        <v>0</v>
      </c>
      <c r="O612" s="47">
        <v>0</v>
      </c>
      <c r="P612" s="47">
        <v>0</v>
      </c>
      <c r="Q612" s="47">
        <v>0</v>
      </c>
      <c r="R612" s="47">
        <v>0</v>
      </c>
      <c r="S612" s="134">
        <v>1772997.28</v>
      </c>
      <c r="T612" s="47">
        <v>0</v>
      </c>
      <c r="U612" s="47">
        <v>0</v>
      </c>
      <c r="V612" s="47">
        <v>0</v>
      </c>
      <c r="W612" s="47">
        <v>0</v>
      </c>
      <c r="X612" s="47">
        <v>0</v>
      </c>
      <c r="Y612" s="48">
        <v>1772997.28</v>
      </c>
      <c r="Z612" s="66">
        <v>99326.2</v>
      </c>
      <c r="AA612" s="62">
        <v>99326.2</v>
      </c>
      <c r="AB612" s="50">
        <v>0</v>
      </c>
      <c r="AC612" s="62">
        <v>1376.09</v>
      </c>
      <c r="AD612" s="62">
        <v>14267.44</v>
      </c>
      <c r="AE612" s="50">
        <v>0</v>
      </c>
      <c r="AF612" s="50">
        <v>0</v>
      </c>
      <c r="AG612" s="49">
        <v>114969.73</v>
      </c>
      <c r="AH612" s="51" t="s">
        <v>173</v>
      </c>
      <c r="AI612" s="51" t="s">
        <v>74</v>
      </c>
      <c r="AJ612" s="51" t="s">
        <v>174</v>
      </c>
      <c r="AK612" s="51" t="s">
        <v>175</v>
      </c>
      <c r="AL612" s="51" t="s">
        <v>74</v>
      </c>
      <c r="AM612" s="51" t="s">
        <v>74</v>
      </c>
      <c r="AN612" s="52">
        <v>0</v>
      </c>
      <c r="AO612" s="52">
        <v>0</v>
      </c>
      <c r="AP612" s="52">
        <v>0</v>
      </c>
      <c r="AQ612" s="52">
        <v>0</v>
      </c>
      <c r="AR612" s="52">
        <v>0</v>
      </c>
      <c r="AS612" s="52">
        <v>0</v>
      </c>
      <c r="AT612" s="53" t="s">
        <v>74</v>
      </c>
      <c r="AU612" s="52">
        <v>0</v>
      </c>
      <c r="AV612" s="52"/>
      <c r="AW612" s="52">
        <v>0</v>
      </c>
      <c r="AX612" s="52"/>
      <c r="AY612" s="52"/>
      <c r="AZ612" s="52">
        <v>0</v>
      </c>
      <c r="BA612" s="52">
        <v>0</v>
      </c>
      <c r="BB612" s="54" t="s">
        <v>74</v>
      </c>
      <c r="BC612" s="53" t="s">
        <v>74</v>
      </c>
      <c r="BD612" s="55" t="s">
        <v>74</v>
      </c>
      <c r="BE612" s="55" t="s">
        <v>74</v>
      </c>
      <c r="BF612" s="55" t="s">
        <v>74</v>
      </c>
      <c r="BG612" s="55" t="s">
        <v>74</v>
      </c>
      <c r="BH612" s="52">
        <v>0</v>
      </c>
      <c r="BI612" s="52">
        <v>1658027.55</v>
      </c>
      <c r="BJ612" s="52">
        <v>1658027.55</v>
      </c>
      <c r="BK612" s="56">
        <v>44136</v>
      </c>
      <c r="BL612" s="63">
        <v>1658027.55</v>
      </c>
      <c r="BM612" s="47">
        <v>0</v>
      </c>
      <c r="BN612" s="9"/>
      <c r="BO612" s="9"/>
      <c r="BP612" s="9"/>
      <c r="BQ612" s="9"/>
      <c r="BR612" s="9"/>
      <c r="BS612" s="9"/>
      <c r="BT612" s="9"/>
      <c r="BU612" s="9"/>
      <c r="BV612" s="9"/>
      <c r="BW612" s="9"/>
    </row>
    <row r="613" spans="1:75" ht="90" hidden="1" outlineLevel="2" x14ac:dyDescent="0.25">
      <c r="A613" s="43" t="s">
        <v>640</v>
      </c>
      <c r="B613" s="184" t="s">
        <v>693</v>
      </c>
      <c r="C613" s="45">
        <v>2020</v>
      </c>
      <c r="D613" s="110" t="s">
        <v>93</v>
      </c>
      <c r="E613" s="47">
        <v>0</v>
      </c>
      <c r="F613" s="47">
        <v>0</v>
      </c>
      <c r="G613" s="47">
        <v>0</v>
      </c>
      <c r="H613" s="47">
        <v>0</v>
      </c>
      <c r="I613" s="47">
        <v>0</v>
      </c>
      <c r="J613" s="47">
        <v>0</v>
      </c>
      <c r="K613" s="47">
        <v>0</v>
      </c>
      <c r="L613" s="47">
        <v>0</v>
      </c>
      <c r="M613" s="47">
        <v>0</v>
      </c>
      <c r="N613" s="47">
        <v>0</v>
      </c>
      <c r="O613" s="47">
        <v>0</v>
      </c>
      <c r="P613" s="47">
        <v>0</v>
      </c>
      <c r="Q613" s="47">
        <v>0</v>
      </c>
      <c r="R613" s="47">
        <v>0</v>
      </c>
      <c r="S613" s="134">
        <v>1772997.28</v>
      </c>
      <c r="T613" s="47">
        <v>0</v>
      </c>
      <c r="U613" s="47">
        <v>0</v>
      </c>
      <c r="V613" s="47">
        <v>0</v>
      </c>
      <c r="W613" s="47">
        <v>0</v>
      </c>
      <c r="X613" s="47">
        <v>0</v>
      </c>
      <c r="Y613" s="48">
        <v>1772997.28</v>
      </c>
      <c r="Z613" s="67">
        <v>115111.85</v>
      </c>
      <c r="AA613" s="62">
        <v>115111.85</v>
      </c>
      <c r="AB613" s="50">
        <v>0</v>
      </c>
      <c r="AC613" s="62">
        <v>1237.24</v>
      </c>
      <c r="AD613" s="62">
        <v>22520.91</v>
      </c>
      <c r="AE613" s="50">
        <v>0</v>
      </c>
      <c r="AF613" s="50">
        <v>0</v>
      </c>
      <c r="AG613" s="49">
        <v>138870</v>
      </c>
      <c r="AH613" s="51" t="s">
        <v>104</v>
      </c>
      <c r="AI613" s="51" t="s">
        <v>74</v>
      </c>
      <c r="AJ613" s="51" t="s">
        <v>176</v>
      </c>
      <c r="AK613" s="51" t="s">
        <v>721</v>
      </c>
      <c r="AL613" s="51" t="s">
        <v>74</v>
      </c>
      <c r="AM613" s="51" t="s">
        <v>74</v>
      </c>
      <c r="AN613" s="52">
        <v>0</v>
      </c>
      <c r="AO613" s="52">
        <v>0</v>
      </c>
      <c r="AP613" s="52">
        <v>0</v>
      </c>
      <c r="AQ613" s="52">
        <v>0</v>
      </c>
      <c r="AR613" s="52">
        <v>0</v>
      </c>
      <c r="AS613" s="52">
        <v>0</v>
      </c>
      <c r="AT613" s="53" t="s">
        <v>74</v>
      </c>
      <c r="AU613" s="52">
        <v>0</v>
      </c>
      <c r="AV613" s="52"/>
      <c r="AW613" s="52">
        <v>0</v>
      </c>
      <c r="AX613" s="52"/>
      <c r="AY613" s="52"/>
      <c r="AZ613" s="52">
        <v>0</v>
      </c>
      <c r="BA613" s="52">
        <v>0</v>
      </c>
      <c r="BB613" s="54" t="s">
        <v>74</v>
      </c>
      <c r="BC613" s="53" t="s">
        <v>74</v>
      </c>
      <c r="BD613" s="55" t="s">
        <v>74</v>
      </c>
      <c r="BE613" s="55" t="s">
        <v>74</v>
      </c>
      <c r="BF613" s="55" t="s">
        <v>74</v>
      </c>
      <c r="BG613" s="55" t="s">
        <v>74</v>
      </c>
      <c r="BH613" s="52">
        <v>0</v>
      </c>
      <c r="BI613" s="52">
        <v>1634127.28</v>
      </c>
      <c r="BJ613" s="52">
        <v>1634127.28</v>
      </c>
      <c r="BK613" s="56">
        <v>44166</v>
      </c>
      <c r="BL613" s="63">
        <v>1634127.28</v>
      </c>
      <c r="BM613" s="47">
        <v>0</v>
      </c>
      <c r="BN613" s="9"/>
      <c r="BO613" s="9"/>
      <c r="BP613" s="9"/>
      <c r="BQ613" s="9"/>
      <c r="BR613" s="9"/>
      <c r="BS613" s="9"/>
      <c r="BT613" s="9"/>
      <c r="BU613" s="9"/>
      <c r="BV613" s="9"/>
      <c r="BW613" s="9"/>
    </row>
    <row r="614" spans="1:75" ht="26.25" hidden="1" outlineLevel="2" x14ac:dyDescent="0.25">
      <c r="A614" s="43" t="s">
        <v>640</v>
      </c>
      <c r="B614" s="184" t="s">
        <v>693</v>
      </c>
      <c r="C614" s="45">
        <v>2021</v>
      </c>
      <c r="D614" s="110" t="s">
        <v>73</v>
      </c>
      <c r="E614" s="47">
        <v>0</v>
      </c>
      <c r="F614" s="47">
        <v>0</v>
      </c>
      <c r="G614" s="47">
        <v>0</v>
      </c>
      <c r="H614" s="47">
        <v>0</v>
      </c>
      <c r="I614" s="47">
        <v>0</v>
      </c>
      <c r="J614" s="47">
        <v>0</v>
      </c>
      <c r="K614" s="47">
        <v>0</v>
      </c>
      <c r="L614" s="47">
        <v>0</v>
      </c>
      <c r="M614" s="47">
        <v>0</v>
      </c>
      <c r="N614" s="47">
        <v>0</v>
      </c>
      <c r="O614" s="47">
        <v>0</v>
      </c>
      <c r="P614" s="47">
        <v>0</v>
      </c>
      <c r="Q614" s="47">
        <v>0</v>
      </c>
      <c r="R614" s="47">
        <v>0</v>
      </c>
      <c r="S614" s="134">
        <v>1772997.28</v>
      </c>
      <c r="T614" s="47">
        <v>0</v>
      </c>
      <c r="U614" s="47">
        <v>0</v>
      </c>
      <c r="V614" s="47">
        <v>0</v>
      </c>
      <c r="W614" s="47">
        <v>0</v>
      </c>
      <c r="X614" s="47">
        <v>0</v>
      </c>
      <c r="Y614" s="48">
        <f t="shared" ref="Y614:Y619" si="87">SUM(E614:X614)</f>
        <v>1772997.28</v>
      </c>
      <c r="Z614" s="66">
        <v>108555.53</v>
      </c>
      <c r="AA614" s="62">
        <v>108555.53</v>
      </c>
      <c r="AB614" s="50">
        <v>0</v>
      </c>
      <c r="AC614" s="62">
        <v>1360.06</v>
      </c>
      <c r="AD614" s="50">
        <v>0</v>
      </c>
      <c r="AE614" s="50">
        <v>0</v>
      </c>
      <c r="AF614" s="50">
        <v>0</v>
      </c>
      <c r="AG614" s="49">
        <f t="shared" ref="AG614:AG619" si="88">SUM(AA614:AF614)</f>
        <v>109915.59</v>
      </c>
      <c r="AH614" s="51" t="s">
        <v>104</v>
      </c>
      <c r="AI614" s="51" t="s">
        <v>74</v>
      </c>
      <c r="AJ614" s="51" t="s">
        <v>178</v>
      </c>
      <c r="AK614" s="51" t="s">
        <v>74</v>
      </c>
      <c r="AL614" s="51" t="s">
        <v>74</v>
      </c>
      <c r="AM614" s="51" t="s">
        <v>74</v>
      </c>
      <c r="AN614" s="52">
        <v>0</v>
      </c>
      <c r="AO614" s="52">
        <v>0</v>
      </c>
      <c r="AP614" s="52">
        <v>0</v>
      </c>
      <c r="AQ614" s="52">
        <v>0</v>
      </c>
      <c r="AR614" s="52">
        <v>0</v>
      </c>
      <c r="AS614" s="52">
        <f t="shared" ref="AS614:AS619" si="89">AN614+AO614+AP614+AQ614+AR614</f>
        <v>0</v>
      </c>
      <c r="AT614" s="53" t="s">
        <v>74</v>
      </c>
      <c r="AU614" s="52">
        <v>0</v>
      </c>
      <c r="AV614" s="52"/>
      <c r="AW614" s="52">
        <v>0</v>
      </c>
      <c r="AX614" s="52"/>
      <c r="AY614" s="52"/>
      <c r="AZ614" s="52">
        <v>0</v>
      </c>
      <c r="BA614" s="52">
        <f t="shared" ref="BA614:BA622" si="90">AU614+AW614+AX614+AZ614</f>
        <v>0</v>
      </c>
      <c r="BB614" s="54" t="s">
        <v>74</v>
      </c>
      <c r="BC614" s="53" t="s">
        <v>74</v>
      </c>
      <c r="BD614" s="55" t="s">
        <v>74</v>
      </c>
      <c r="BE614" s="55" t="s">
        <v>74</v>
      </c>
      <c r="BF614" s="55" t="s">
        <v>74</v>
      </c>
      <c r="BG614" s="55" t="s">
        <v>74</v>
      </c>
      <c r="BH614" s="52">
        <f t="shared" ref="BH614:BH622" si="91">AS614+BA614</f>
        <v>0</v>
      </c>
      <c r="BI614" s="52">
        <f t="shared" ref="BI614:BI622" si="92">Y614-AG614+BH614</f>
        <v>1663081.69</v>
      </c>
      <c r="BJ614" s="52">
        <v>1663081.69</v>
      </c>
      <c r="BK614" s="56">
        <v>44197</v>
      </c>
      <c r="BL614" s="57">
        <v>1663081.69</v>
      </c>
      <c r="BM614" s="47">
        <v>0</v>
      </c>
      <c r="BN614" s="9"/>
      <c r="BO614" s="9"/>
      <c r="BP614" s="9"/>
      <c r="BQ614" s="9"/>
      <c r="BR614" s="9"/>
      <c r="BS614" s="9"/>
      <c r="BT614" s="9"/>
      <c r="BU614" s="9"/>
      <c r="BV614" s="9"/>
      <c r="BW614" s="9"/>
    </row>
    <row r="615" spans="1:75" ht="26.25" hidden="1" outlineLevel="2" x14ac:dyDescent="0.25">
      <c r="A615" s="43" t="s">
        <v>640</v>
      </c>
      <c r="B615" s="184" t="s">
        <v>693</v>
      </c>
      <c r="C615" s="45">
        <v>2021</v>
      </c>
      <c r="D615" s="110" t="s">
        <v>75</v>
      </c>
      <c r="E615" s="47">
        <v>0</v>
      </c>
      <c r="F615" s="47">
        <v>0</v>
      </c>
      <c r="G615" s="47">
        <v>0</v>
      </c>
      <c r="H615" s="47">
        <v>0</v>
      </c>
      <c r="I615" s="47">
        <v>0</v>
      </c>
      <c r="J615" s="47">
        <v>0</v>
      </c>
      <c r="K615" s="47">
        <v>0</v>
      </c>
      <c r="L615" s="47">
        <v>0</v>
      </c>
      <c r="M615" s="47">
        <v>0</v>
      </c>
      <c r="N615" s="47">
        <v>0</v>
      </c>
      <c r="O615" s="47">
        <v>0</v>
      </c>
      <c r="P615" s="47">
        <v>0</v>
      </c>
      <c r="Q615" s="47">
        <v>0</v>
      </c>
      <c r="R615" s="47">
        <v>0</v>
      </c>
      <c r="S615" s="134">
        <v>1772997.28</v>
      </c>
      <c r="T615" s="47">
        <v>0</v>
      </c>
      <c r="U615" s="47">
        <v>0</v>
      </c>
      <c r="V615" s="47">
        <v>0</v>
      </c>
      <c r="W615" s="47">
        <v>0</v>
      </c>
      <c r="X615" s="47">
        <v>0</v>
      </c>
      <c r="Y615" s="48">
        <f t="shared" si="87"/>
        <v>1772997.28</v>
      </c>
      <c r="Z615" s="66">
        <v>112874.27</v>
      </c>
      <c r="AA615" s="62">
        <v>112874.27</v>
      </c>
      <c r="AB615" s="50">
        <v>0</v>
      </c>
      <c r="AC615" s="62">
        <v>1005.61</v>
      </c>
      <c r="AD615" s="62">
        <v>12686.36</v>
      </c>
      <c r="AE615" s="50">
        <v>0</v>
      </c>
      <c r="AF615" s="50">
        <v>0</v>
      </c>
      <c r="AG615" s="49">
        <f t="shared" si="88"/>
        <v>126566.24</v>
      </c>
      <c r="AH615" s="51" t="s">
        <v>104</v>
      </c>
      <c r="AI615" s="51" t="s">
        <v>74</v>
      </c>
      <c r="AJ615" s="51" t="s">
        <v>578</v>
      </c>
      <c r="AK615" s="51" t="s">
        <v>180</v>
      </c>
      <c r="AL615" s="51" t="s">
        <v>74</v>
      </c>
      <c r="AM615" s="51" t="s">
        <v>74</v>
      </c>
      <c r="AN615" s="52">
        <v>0</v>
      </c>
      <c r="AO615" s="52">
        <v>0</v>
      </c>
      <c r="AP615" s="52">
        <v>0</v>
      </c>
      <c r="AQ615" s="52">
        <v>0</v>
      </c>
      <c r="AR615" s="52">
        <v>0</v>
      </c>
      <c r="AS615" s="52">
        <f t="shared" si="89"/>
        <v>0</v>
      </c>
      <c r="AT615" s="53" t="s">
        <v>74</v>
      </c>
      <c r="AU615" s="52">
        <v>0</v>
      </c>
      <c r="AV615" s="52"/>
      <c r="AW615" s="52">
        <v>0</v>
      </c>
      <c r="AX615" s="52"/>
      <c r="AY615" s="52"/>
      <c r="AZ615" s="52">
        <v>0</v>
      </c>
      <c r="BA615" s="52">
        <f t="shared" si="90"/>
        <v>0</v>
      </c>
      <c r="BB615" s="54" t="s">
        <v>74</v>
      </c>
      <c r="BC615" s="53" t="s">
        <v>74</v>
      </c>
      <c r="BD615" s="55" t="s">
        <v>74</v>
      </c>
      <c r="BE615" s="55" t="s">
        <v>74</v>
      </c>
      <c r="BF615" s="55" t="s">
        <v>74</v>
      </c>
      <c r="BG615" s="55" t="s">
        <v>74</v>
      </c>
      <c r="BH615" s="52">
        <f t="shared" si="91"/>
        <v>0</v>
      </c>
      <c r="BI615" s="52">
        <f t="shared" si="92"/>
        <v>1646431.04</v>
      </c>
      <c r="BJ615" s="52">
        <v>1646431.04</v>
      </c>
      <c r="BK615" s="56">
        <v>44228</v>
      </c>
      <c r="BL615" s="57">
        <v>1646431.04</v>
      </c>
      <c r="BM615" s="47">
        <v>0</v>
      </c>
      <c r="BN615" s="9"/>
      <c r="BO615" s="9"/>
      <c r="BP615" s="9"/>
      <c r="BQ615" s="9"/>
      <c r="BR615" s="9"/>
      <c r="BS615" s="9"/>
      <c r="BT615" s="9"/>
      <c r="BU615" s="9"/>
      <c r="BV615" s="9"/>
      <c r="BW615" s="9"/>
    </row>
    <row r="616" spans="1:75" ht="26.25" hidden="1" outlineLevel="2" x14ac:dyDescent="0.25">
      <c r="A616" s="43" t="s">
        <v>640</v>
      </c>
      <c r="B616" s="184" t="s">
        <v>693</v>
      </c>
      <c r="C616" s="45">
        <v>2021</v>
      </c>
      <c r="D616" s="110" t="s">
        <v>77</v>
      </c>
      <c r="E616" s="47">
        <v>0</v>
      </c>
      <c r="F616" s="47">
        <v>0</v>
      </c>
      <c r="G616" s="47">
        <v>0</v>
      </c>
      <c r="H616" s="47">
        <v>0</v>
      </c>
      <c r="I616" s="47">
        <v>0</v>
      </c>
      <c r="J616" s="47">
        <v>0</v>
      </c>
      <c r="K616" s="47">
        <v>0</v>
      </c>
      <c r="L616" s="47">
        <v>0</v>
      </c>
      <c r="M616" s="47">
        <v>0</v>
      </c>
      <c r="N616" s="47">
        <v>0</v>
      </c>
      <c r="O616" s="47">
        <v>0</v>
      </c>
      <c r="P616" s="47">
        <v>0</v>
      </c>
      <c r="Q616" s="47">
        <v>0</v>
      </c>
      <c r="R616" s="47">
        <v>0</v>
      </c>
      <c r="S616" s="134">
        <v>1772997.28</v>
      </c>
      <c r="T616" s="47">
        <v>0</v>
      </c>
      <c r="U616" s="47">
        <v>0</v>
      </c>
      <c r="V616" s="47">
        <v>0</v>
      </c>
      <c r="W616" s="47">
        <v>0</v>
      </c>
      <c r="X616" s="47">
        <v>0</v>
      </c>
      <c r="Y616" s="48">
        <f t="shared" si="87"/>
        <v>1772997.28</v>
      </c>
      <c r="Z616" s="66">
        <v>102127.16</v>
      </c>
      <c r="AA616" s="62">
        <v>102127.16</v>
      </c>
      <c r="AB616" s="50">
        <v>0</v>
      </c>
      <c r="AC616" s="62">
        <v>1176.83</v>
      </c>
      <c r="AD616" s="62">
        <v>11753.98</v>
      </c>
      <c r="AE616" s="50">
        <v>0</v>
      </c>
      <c r="AF616" s="50">
        <v>0</v>
      </c>
      <c r="AG616" s="49">
        <f t="shared" si="88"/>
        <v>115057.97</v>
      </c>
      <c r="AH616" s="51" t="s">
        <v>104</v>
      </c>
      <c r="AI616" s="51" t="s">
        <v>74</v>
      </c>
      <c r="AJ616" s="51" t="s">
        <v>687</v>
      </c>
      <c r="AK616" s="51" t="s">
        <v>182</v>
      </c>
      <c r="AL616" s="51" t="s">
        <v>74</v>
      </c>
      <c r="AM616" s="51" t="s">
        <v>74</v>
      </c>
      <c r="AN616" s="52">
        <v>0</v>
      </c>
      <c r="AO616" s="52">
        <v>0</v>
      </c>
      <c r="AP616" s="52">
        <v>0</v>
      </c>
      <c r="AQ616" s="52">
        <v>0</v>
      </c>
      <c r="AR616" s="52">
        <v>0</v>
      </c>
      <c r="AS616" s="52">
        <f t="shared" si="89"/>
        <v>0</v>
      </c>
      <c r="AT616" s="53" t="s">
        <v>74</v>
      </c>
      <c r="AU616" s="52">
        <v>0</v>
      </c>
      <c r="AV616" s="52"/>
      <c r="AW616" s="52">
        <v>0</v>
      </c>
      <c r="AX616" s="52"/>
      <c r="AY616" s="52"/>
      <c r="AZ616" s="52">
        <v>0</v>
      </c>
      <c r="BA616" s="52">
        <f t="shared" si="90"/>
        <v>0</v>
      </c>
      <c r="BB616" s="54" t="s">
        <v>74</v>
      </c>
      <c r="BC616" s="53" t="s">
        <v>74</v>
      </c>
      <c r="BD616" s="55" t="s">
        <v>74</v>
      </c>
      <c r="BE616" s="55" t="s">
        <v>74</v>
      </c>
      <c r="BF616" s="55" t="s">
        <v>74</v>
      </c>
      <c r="BG616" s="55" t="s">
        <v>74</v>
      </c>
      <c r="BH616" s="52">
        <f t="shared" si="91"/>
        <v>0</v>
      </c>
      <c r="BI616" s="52">
        <f t="shared" si="92"/>
        <v>1657939.31</v>
      </c>
      <c r="BJ616" s="52">
        <v>1657939.31</v>
      </c>
      <c r="BK616" s="56">
        <v>44256</v>
      </c>
      <c r="BL616" s="63">
        <v>1657939.31</v>
      </c>
      <c r="BM616" s="47">
        <v>0</v>
      </c>
      <c r="BN616" s="9"/>
      <c r="BO616" s="9"/>
      <c r="BP616" s="9"/>
      <c r="BQ616" s="9"/>
      <c r="BR616" s="9"/>
      <c r="BS616" s="9"/>
      <c r="BT616" s="9"/>
      <c r="BU616" s="9"/>
      <c r="BV616" s="9"/>
      <c r="BW616" s="9"/>
    </row>
    <row r="617" spans="1:75" ht="39" hidden="1" outlineLevel="2" x14ac:dyDescent="0.25">
      <c r="A617" s="43" t="s">
        <v>640</v>
      </c>
      <c r="B617" s="184" t="s">
        <v>693</v>
      </c>
      <c r="C617" s="45">
        <v>2021</v>
      </c>
      <c r="D617" s="110" t="s">
        <v>79</v>
      </c>
      <c r="E617" s="47">
        <v>0</v>
      </c>
      <c r="F617" s="47">
        <v>0</v>
      </c>
      <c r="G617" s="47">
        <v>0</v>
      </c>
      <c r="H617" s="47">
        <v>0</v>
      </c>
      <c r="I617" s="47">
        <v>0</v>
      </c>
      <c r="J617" s="47">
        <v>0</v>
      </c>
      <c r="K617" s="47">
        <v>0</v>
      </c>
      <c r="L617" s="47">
        <v>0</v>
      </c>
      <c r="M617" s="47">
        <v>0</v>
      </c>
      <c r="N617" s="47">
        <v>0</v>
      </c>
      <c r="O617" s="47">
        <v>0</v>
      </c>
      <c r="P617" s="47">
        <v>0</v>
      </c>
      <c r="Q617" s="47">
        <v>0</v>
      </c>
      <c r="R617" s="47">
        <v>0</v>
      </c>
      <c r="S617" s="134">
        <v>1772997.28</v>
      </c>
      <c r="T617" s="47">
        <v>0</v>
      </c>
      <c r="U617" s="47">
        <v>0</v>
      </c>
      <c r="V617" s="47">
        <v>0</v>
      </c>
      <c r="W617" s="47">
        <v>0</v>
      </c>
      <c r="X617" s="47">
        <v>0</v>
      </c>
      <c r="Y617" s="48">
        <f t="shared" si="87"/>
        <v>1772997.28</v>
      </c>
      <c r="Z617" s="66">
        <v>99942.82</v>
      </c>
      <c r="AA617" s="62">
        <v>99942.82</v>
      </c>
      <c r="AB617" s="50">
        <v>0</v>
      </c>
      <c r="AC617" s="62">
        <v>1198.03</v>
      </c>
      <c r="AD617" s="62">
        <v>11436.8</v>
      </c>
      <c r="AE617" s="50">
        <v>0</v>
      </c>
      <c r="AF617" s="50">
        <v>0</v>
      </c>
      <c r="AG617" s="49">
        <f t="shared" si="88"/>
        <v>112577.65000000001</v>
      </c>
      <c r="AH617" s="51" t="s">
        <v>104</v>
      </c>
      <c r="AI617" s="51" t="s">
        <v>74</v>
      </c>
      <c r="AJ617" s="51" t="s">
        <v>463</v>
      </c>
      <c r="AK617" s="51" t="s">
        <v>409</v>
      </c>
      <c r="AL617" s="51" t="s">
        <v>74</v>
      </c>
      <c r="AM617" s="51" t="s">
        <v>74</v>
      </c>
      <c r="AN617" s="52">
        <v>0</v>
      </c>
      <c r="AO617" s="52">
        <v>0</v>
      </c>
      <c r="AP617" s="52">
        <v>0</v>
      </c>
      <c r="AQ617" s="52">
        <v>0</v>
      </c>
      <c r="AR617" s="52">
        <v>0</v>
      </c>
      <c r="AS617" s="52">
        <f t="shared" si="89"/>
        <v>0</v>
      </c>
      <c r="AT617" s="53" t="s">
        <v>74</v>
      </c>
      <c r="AU617" s="52">
        <v>0</v>
      </c>
      <c r="AV617" s="52"/>
      <c r="AW617" s="52">
        <v>0</v>
      </c>
      <c r="AX617" s="52"/>
      <c r="AY617" s="52"/>
      <c r="AZ617" s="52">
        <v>0</v>
      </c>
      <c r="BA617" s="52">
        <f t="shared" si="90"/>
        <v>0</v>
      </c>
      <c r="BB617" s="54" t="s">
        <v>74</v>
      </c>
      <c r="BC617" s="53" t="s">
        <v>74</v>
      </c>
      <c r="BD617" s="55" t="s">
        <v>74</v>
      </c>
      <c r="BE617" s="55" t="s">
        <v>74</v>
      </c>
      <c r="BF617" s="55" t="s">
        <v>74</v>
      </c>
      <c r="BG617" s="55" t="s">
        <v>74</v>
      </c>
      <c r="BH617" s="52">
        <f t="shared" si="91"/>
        <v>0</v>
      </c>
      <c r="BI617" s="52">
        <f t="shared" si="92"/>
        <v>1660419.6300000001</v>
      </c>
      <c r="BJ617" s="52">
        <v>1660419.63</v>
      </c>
      <c r="BK617" s="56">
        <v>44287</v>
      </c>
      <c r="BL617" s="63">
        <v>1660419.63</v>
      </c>
      <c r="BM617" s="47">
        <v>0</v>
      </c>
      <c r="BN617" s="9"/>
      <c r="BO617" s="9"/>
      <c r="BP617" s="9"/>
      <c r="BQ617" s="9"/>
      <c r="BR617" s="9"/>
      <c r="BS617" s="9"/>
      <c r="BT617" s="9"/>
      <c r="BU617" s="9"/>
      <c r="BV617" s="9"/>
      <c r="BW617" s="9"/>
    </row>
    <row r="618" spans="1:75" ht="153.75" hidden="1" outlineLevel="2" x14ac:dyDescent="0.25">
      <c r="A618" s="43" t="s">
        <v>640</v>
      </c>
      <c r="B618" s="184" t="s">
        <v>693</v>
      </c>
      <c r="C618" s="45">
        <v>2021</v>
      </c>
      <c r="D618" s="110" t="s">
        <v>81</v>
      </c>
      <c r="E618" s="47">
        <v>0</v>
      </c>
      <c r="F618" s="47">
        <v>0</v>
      </c>
      <c r="G618" s="47">
        <v>0</v>
      </c>
      <c r="H618" s="47">
        <v>0</v>
      </c>
      <c r="I618" s="47">
        <v>0</v>
      </c>
      <c r="J618" s="47">
        <v>0</v>
      </c>
      <c r="K618" s="47">
        <v>0</v>
      </c>
      <c r="L618" s="47">
        <v>0</v>
      </c>
      <c r="M618" s="47">
        <v>0</v>
      </c>
      <c r="N618" s="47">
        <v>0</v>
      </c>
      <c r="O618" s="47">
        <v>0</v>
      </c>
      <c r="P618" s="47">
        <v>0</v>
      </c>
      <c r="Q618" s="47">
        <v>0</v>
      </c>
      <c r="R618" s="47">
        <v>0</v>
      </c>
      <c r="S618" s="134">
        <v>1772997.28</v>
      </c>
      <c r="T618" s="47">
        <v>0</v>
      </c>
      <c r="U618" s="47">
        <v>0</v>
      </c>
      <c r="V618" s="47">
        <v>0</v>
      </c>
      <c r="W618" s="47">
        <v>0</v>
      </c>
      <c r="X618" s="47">
        <v>0</v>
      </c>
      <c r="Y618" s="48">
        <f t="shared" si="87"/>
        <v>1772997.28</v>
      </c>
      <c r="Z618" s="66">
        <v>103853.71</v>
      </c>
      <c r="AA618" s="62">
        <v>103853.71</v>
      </c>
      <c r="AB618" s="50">
        <v>0</v>
      </c>
      <c r="AC618" s="62">
        <v>1301.8699999999999</v>
      </c>
      <c r="AD618" s="62">
        <v>12177.06</v>
      </c>
      <c r="AE618" s="50">
        <v>0</v>
      </c>
      <c r="AF618" s="50">
        <v>0</v>
      </c>
      <c r="AG618" s="49">
        <f t="shared" si="88"/>
        <v>117332.64</v>
      </c>
      <c r="AH618" s="51" t="s">
        <v>104</v>
      </c>
      <c r="AI618" s="51" t="s">
        <v>74</v>
      </c>
      <c r="AJ618" s="51" t="s">
        <v>584</v>
      </c>
      <c r="AK618" s="51" t="s">
        <v>411</v>
      </c>
      <c r="AL618" s="51" t="s">
        <v>74</v>
      </c>
      <c r="AM618" s="51" t="s">
        <v>74</v>
      </c>
      <c r="AN618" s="52">
        <v>0</v>
      </c>
      <c r="AO618" s="52">
        <v>0</v>
      </c>
      <c r="AP618" s="52">
        <v>0</v>
      </c>
      <c r="AQ618" s="52">
        <v>0</v>
      </c>
      <c r="AR618" s="52">
        <v>0</v>
      </c>
      <c r="AS618" s="52">
        <f t="shared" si="89"/>
        <v>0</v>
      </c>
      <c r="AT618" s="53" t="s">
        <v>74</v>
      </c>
      <c r="AU618" s="68">
        <v>343399.41</v>
      </c>
      <c r="AV618" s="52"/>
      <c r="AW618" s="52">
        <v>0</v>
      </c>
      <c r="AX618" s="52"/>
      <c r="AY618" s="52"/>
      <c r="AZ618" s="52">
        <v>0</v>
      </c>
      <c r="BA618" s="52">
        <f t="shared" si="90"/>
        <v>343399.41</v>
      </c>
      <c r="BB618" s="53" t="s">
        <v>722</v>
      </c>
      <c r="BC618" s="53" t="s">
        <v>74</v>
      </c>
      <c r="BD618" s="55" t="s">
        <v>74</v>
      </c>
      <c r="BE618" s="55" t="s">
        <v>74</v>
      </c>
      <c r="BF618" s="55" t="s">
        <v>74</v>
      </c>
      <c r="BG618" s="55" t="s">
        <v>74</v>
      </c>
      <c r="BH618" s="52">
        <f t="shared" si="91"/>
        <v>343399.41</v>
      </c>
      <c r="BI618" s="52">
        <f t="shared" si="92"/>
        <v>1999064.05</v>
      </c>
      <c r="BJ618" s="52">
        <v>1655664.6399999999</v>
      </c>
      <c r="BK618" s="56">
        <v>44317</v>
      </c>
      <c r="BL618" s="63">
        <f>1655664.64+343399.41</f>
        <v>1999064.0499999998</v>
      </c>
      <c r="BM618" s="47">
        <v>0</v>
      </c>
      <c r="BN618" s="9"/>
      <c r="BO618" s="9"/>
      <c r="BP618" s="9"/>
      <c r="BQ618" s="9"/>
      <c r="BR618" s="9"/>
      <c r="BS618" s="9"/>
      <c r="BT618" s="9"/>
      <c r="BU618" s="9"/>
      <c r="BV618" s="9"/>
      <c r="BW618" s="9"/>
    </row>
    <row r="619" spans="1:75" ht="166.5" hidden="1" outlineLevel="2" x14ac:dyDescent="0.25">
      <c r="A619" s="43" t="s">
        <v>640</v>
      </c>
      <c r="B619" s="184" t="s">
        <v>693</v>
      </c>
      <c r="C619" s="45">
        <v>2021</v>
      </c>
      <c r="D619" s="110" t="s">
        <v>83</v>
      </c>
      <c r="E619" s="47">
        <v>0</v>
      </c>
      <c r="F619" s="47">
        <v>0</v>
      </c>
      <c r="G619" s="47">
        <v>0</v>
      </c>
      <c r="H619" s="47">
        <v>0</v>
      </c>
      <c r="I619" s="47">
        <v>0</v>
      </c>
      <c r="J619" s="47">
        <v>0</v>
      </c>
      <c r="K619" s="47">
        <v>0</v>
      </c>
      <c r="L619" s="47">
        <v>0</v>
      </c>
      <c r="M619" s="47">
        <v>0</v>
      </c>
      <c r="N619" s="47">
        <v>0</v>
      </c>
      <c r="O619" s="47">
        <v>0</v>
      </c>
      <c r="P619" s="47">
        <v>0</v>
      </c>
      <c r="Q619" s="47">
        <v>0</v>
      </c>
      <c r="R619" s="47">
        <v>0</v>
      </c>
      <c r="S619" s="134">
        <v>1418397.824</v>
      </c>
      <c r="T619" s="47">
        <v>0</v>
      </c>
      <c r="U619" s="47">
        <v>0</v>
      </c>
      <c r="V619" s="47">
        <v>0</v>
      </c>
      <c r="W619" s="47">
        <v>0</v>
      </c>
      <c r="X619" s="47">
        <v>0</v>
      </c>
      <c r="Y619" s="48">
        <f t="shared" si="87"/>
        <v>1418397.824</v>
      </c>
      <c r="Z619" s="185">
        <v>115271.46</v>
      </c>
      <c r="AA619" s="147">
        <v>115271.46</v>
      </c>
      <c r="AB619" s="159">
        <v>0</v>
      </c>
      <c r="AC619" s="159"/>
      <c r="AD619" s="148">
        <v>12320.09</v>
      </c>
      <c r="AE619" s="50">
        <v>0</v>
      </c>
      <c r="AF619" s="50">
        <v>0</v>
      </c>
      <c r="AG619" s="49">
        <f t="shared" si="88"/>
        <v>127591.55</v>
      </c>
      <c r="AH619" s="51" t="s">
        <v>104</v>
      </c>
      <c r="AI619" s="51" t="s">
        <v>74</v>
      </c>
      <c r="AJ619" s="51" t="s">
        <v>74</v>
      </c>
      <c r="AK619" s="51" t="s">
        <v>413</v>
      </c>
      <c r="AL619" s="51" t="s">
        <v>74</v>
      </c>
      <c r="AM619" s="51" t="s">
        <v>74</v>
      </c>
      <c r="AN619" s="52">
        <v>0</v>
      </c>
      <c r="AO619" s="52">
        <v>0</v>
      </c>
      <c r="AP619" s="52">
        <v>0</v>
      </c>
      <c r="AQ619" s="52">
        <v>0</v>
      </c>
      <c r="AR619" s="52">
        <v>0</v>
      </c>
      <c r="AS619" s="52">
        <f t="shared" si="89"/>
        <v>0</v>
      </c>
      <c r="AT619" s="53" t="s">
        <v>74</v>
      </c>
      <c r="AU619" s="52">
        <v>0</v>
      </c>
      <c r="AV619" s="52"/>
      <c r="AW619" s="52">
        <v>0</v>
      </c>
      <c r="AX619" s="68">
        <v>354599.45</v>
      </c>
      <c r="AY619" s="52"/>
      <c r="AZ619" s="52">
        <v>0</v>
      </c>
      <c r="BA619" s="52">
        <f t="shared" si="90"/>
        <v>354599.45</v>
      </c>
      <c r="BB619" s="54" t="s">
        <v>74</v>
      </c>
      <c r="BC619" s="53" t="s">
        <v>74</v>
      </c>
      <c r="BD619" s="55" t="s">
        <v>74</v>
      </c>
      <c r="BE619" s="55" t="s">
        <v>723</v>
      </c>
      <c r="BF619" s="55" t="s">
        <v>74</v>
      </c>
      <c r="BG619" s="55" t="s">
        <v>74</v>
      </c>
      <c r="BH619" s="52">
        <f t="shared" si="91"/>
        <v>354599.45</v>
      </c>
      <c r="BI619" s="52">
        <f t="shared" si="92"/>
        <v>1645405.7239999999</v>
      </c>
      <c r="BJ619" s="52">
        <f>Y619-AG619+AX619</f>
        <v>1645405.7239999999</v>
      </c>
      <c r="BK619" s="56">
        <v>44348</v>
      </c>
      <c r="BL619" s="63">
        <f>1251397.82+39408.45+354599.45</f>
        <v>1645405.72</v>
      </c>
      <c r="BM619" s="47">
        <v>0</v>
      </c>
      <c r="BN619" s="9"/>
      <c r="BO619" s="9"/>
      <c r="BP619" s="9"/>
      <c r="BQ619" s="9"/>
      <c r="BR619" s="9"/>
      <c r="BS619" s="9"/>
      <c r="BT619" s="9"/>
      <c r="BU619" s="9"/>
      <c r="BV619" s="9"/>
      <c r="BW619" s="9"/>
    </row>
    <row r="620" spans="1:75" ht="166.5" hidden="1" outlineLevel="2" x14ac:dyDescent="0.25">
      <c r="A620" s="43" t="s">
        <v>640</v>
      </c>
      <c r="B620" s="184" t="s">
        <v>693</v>
      </c>
      <c r="C620" s="45">
        <v>2021</v>
      </c>
      <c r="D620" s="110" t="s">
        <v>84</v>
      </c>
      <c r="E620" s="47"/>
      <c r="F620" s="47"/>
      <c r="G620" s="47"/>
      <c r="H620" s="47"/>
      <c r="I620" s="47"/>
      <c r="J620" s="47"/>
      <c r="K620" s="47"/>
      <c r="L620" s="47"/>
      <c r="M620" s="47"/>
      <c r="N620" s="47"/>
      <c r="O620" s="47"/>
      <c r="P620" s="47"/>
      <c r="Q620" s="47"/>
      <c r="R620" s="47"/>
      <c r="S620" s="134"/>
      <c r="T620" s="47"/>
      <c r="U620" s="47"/>
      <c r="V620" s="47"/>
      <c r="W620" s="47">
        <v>0</v>
      </c>
      <c r="X620" s="47">
        <v>0</v>
      </c>
      <c r="Y620" s="48"/>
      <c r="Z620" s="146"/>
      <c r="AA620" s="147"/>
      <c r="AB620" s="159"/>
      <c r="AC620" s="159"/>
      <c r="AD620" s="148"/>
      <c r="AE620" s="50"/>
      <c r="AF620" s="50"/>
      <c r="AG620" s="49"/>
      <c r="AH620" s="70" t="s">
        <v>74</v>
      </c>
      <c r="AI620" s="70" t="s">
        <v>74</v>
      </c>
      <c r="AJ620" s="70" t="s">
        <v>74</v>
      </c>
      <c r="AK620" s="70" t="s">
        <v>74</v>
      </c>
      <c r="AL620" s="70" t="s">
        <v>74</v>
      </c>
      <c r="AM620" s="70" t="s">
        <v>74</v>
      </c>
      <c r="AN620" s="52"/>
      <c r="AO620" s="52"/>
      <c r="AP620" s="52"/>
      <c r="AQ620" s="52"/>
      <c r="AR620" s="52"/>
      <c r="AS620" s="52"/>
      <c r="AT620" s="70" t="s">
        <v>74</v>
      </c>
      <c r="AU620" s="52"/>
      <c r="AV620" s="52"/>
      <c r="AW620" s="52"/>
      <c r="AX620" s="68">
        <v>1772997.28</v>
      </c>
      <c r="AY620" s="52"/>
      <c r="AZ620" s="52"/>
      <c r="BA620" s="52">
        <f t="shared" si="90"/>
        <v>1772997.28</v>
      </c>
      <c r="BB620" s="52" t="s">
        <v>74</v>
      </c>
      <c r="BC620" s="52" t="s">
        <v>74</v>
      </c>
      <c r="BD620" s="52" t="s">
        <v>74</v>
      </c>
      <c r="BE620" s="55" t="s">
        <v>724</v>
      </c>
      <c r="BF620" s="52" t="s">
        <v>74</v>
      </c>
      <c r="BG620" s="52"/>
      <c r="BH620" s="52">
        <f t="shared" si="91"/>
        <v>1772997.28</v>
      </c>
      <c r="BI620" s="52">
        <f t="shared" si="92"/>
        <v>1772997.28</v>
      </c>
      <c r="BJ620" s="52">
        <f>Y620-AG620+AX620</f>
        <v>1772997.28</v>
      </c>
      <c r="BK620" s="56">
        <v>44378</v>
      </c>
      <c r="BL620" s="63">
        <v>1772997.28</v>
      </c>
      <c r="BM620" s="47">
        <v>0</v>
      </c>
      <c r="BN620" s="9"/>
      <c r="BO620" s="9"/>
      <c r="BP620" s="9"/>
      <c r="BQ620" s="9"/>
      <c r="BR620" s="9"/>
      <c r="BS620" s="9"/>
      <c r="BT620" s="9"/>
      <c r="BU620" s="9"/>
      <c r="BV620" s="9"/>
      <c r="BW620" s="9"/>
    </row>
    <row r="621" spans="1:75" ht="357.75" hidden="1" outlineLevel="2" x14ac:dyDescent="0.25">
      <c r="A621" s="43" t="s">
        <v>640</v>
      </c>
      <c r="B621" s="184" t="s">
        <v>693</v>
      </c>
      <c r="C621" s="45">
        <v>2021</v>
      </c>
      <c r="D621" s="110" t="s">
        <v>86</v>
      </c>
      <c r="E621" s="47"/>
      <c r="F621" s="47"/>
      <c r="G621" s="47"/>
      <c r="H621" s="47"/>
      <c r="I621" s="47"/>
      <c r="J621" s="47"/>
      <c r="K621" s="47"/>
      <c r="L621" s="47"/>
      <c r="M621" s="47"/>
      <c r="N621" s="47"/>
      <c r="O621" s="47"/>
      <c r="P621" s="47"/>
      <c r="Q621" s="47"/>
      <c r="R621" s="47"/>
      <c r="S621" s="134"/>
      <c r="T621" s="47"/>
      <c r="U621" s="47"/>
      <c r="V621" s="47"/>
      <c r="W621" s="47">
        <v>0</v>
      </c>
      <c r="X621" s="47">
        <v>0</v>
      </c>
      <c r="Y621" s="48"/>
      <c r="Z621" s="146"/>
      <c r="AA621" s="147"/>
      <c r="AB621" s="159"/>
      <c r="AC621" s="159"/>
      <c r="AD621" s="148"/>
      <c r="AE621" s="50"/>
      <c r="AF621" s="50"/>
      <c r="AG621" s="49"/>
      <c r="AH621" s="70" t="s">
        <v>74</v>
      </c>
      <c r="AI621" s="70" t="s">
        <v>74</v>
      </c>
      <c r="AJ621" s="70" t="s">
        <v>74</v>
      </c>
      <c r="AK621" s="70" t="s">
        <v>74</v>
      </c>
      <c r="AL621" s="70" t="s">
        <v>74</v>
      </c>
      <c r="AM621" s="70" t="s">
        <v>74</v>
      </c>
      <c r="AN621" s="52"/>
      <c r="AO621" s="52"/>
      <c r="AP621" s="52"/>
      <c r="AQ621" s="52"/>
      <c r="AR621" s="52"/>
      <c r="AS621" s="52"/>
      <c r="AT621" s="70" t="s">
        <v>74</v>
      </c>
      <c r="AU621" s="52"/>
      <c r="AV621" s="52"/>
      <c r="AW621" s="52"/>
      <c r="AX621" s="68">
        <f>590999.09+1181998.19</f>
        <v>1772997.2799999998</v>
      </c>
      <c r="AY621" s="52"/>
      <c r="AZ621" s="52"/>
      <c r="BA621" s="52">
        <f t="shared" si="90"/>
        <v>1772997.2799999998</v>
      </c>
      <c r="BB621" s="52" t="s">
        <v>74</v>
      </c>
      <c r="BC621" s="52" t="s">
        <v>74</v>
      </c>
      <c r="BD621" s="52" t="s">
        <v>74</v>
      </c>
      <c r="BE621" s="55" t="s">
        <v>725</v>
      </c>
      <c r="BF621" s="52" t="s">
        <v>74</v>
      </c>
      <c r="BG621" s="52"/>
      <c r="BH621" s="52">
        <f t="shared" si="91"/>
        <v>1772997.2799999998</v>
      </c>
      <c r="BI621" s="52">
        <f t="shared" si="92"/>
        <v>1772997.2799999998</v>
      </c>
      <c r="BJ621" s="52">
        <f>Y621-AG621+AX621</f>
        <v>1772997.2799999998</v>
      </c>
      <c r="BK621" s="56">
        <v>44409</v>
      </c>
      <c r="BL621" s="63">
        <f>590999.09+1181998.19</f>
        <v>1772997.2799999998</v>
      </c>
      <c r="BM621" s="47">
        <v>0</v>
      </c>
      <c r="BN621" s="9"/>
      <c r="BO621" s="9"/>
      <c r="BP621" s="9"/>
      <c r="BQ621" s="9"/>
      <c r="BR621" s="9"/>
      <c r="BS621" s="9"/>
      <c r="BT621" s="9"/>
      <c r="BU621" s="9"/>
      <c r="BV621" s="9"/>
      <c r="BW621" s="9"/>
    </row>
    <row r="622" spans="1:75" ht="153.75" hidden="1" outlineLevel="2" x14ac:dyDescent="0.25">
      <c r="A622" s="71" t="s">
        <v>640</v>
      </c>
      <c r="B622" s="186" t="s">
        <v>693</v>
      </c>
      <c r="C622" s="73">
        <v>2021</v>
      </c>
      <c r="D622" s="116" t="s">
        <v>88</v>
      </c>
      <c r="E622" s="75"/>
      <c r="F622" s="75"/>
      <c r="G622" s="75"/>
      <c r="H622" s="75"/>
      <c r="I622" s="75"/>
      <c r="J622" s="75"/>
      <c r="K622" s="75"/>
      <c r="L622" s="75"/>
      <c r="M622" s="75"/>
      <c r="N622" s="75"/>
      <c r="O622" s="75"/>
      <c r="P622" s="75"/>
      <c r="Q622" s="75"/>
      <c r="R622" s="75"/>
      <c r="S622" s="139"/>
      <c r="T622" s="75"/>
      <c r="U622" s="75"/>
      <c r="V622" s="75"/>
      <c r="W622" s="75">
        <v>0</v>
      </c>
      <c r="X622" s="75">
        <v>0</v>
      </c>
      <c r="Y622" s="76"/>
      <c r="Z622" s="185"/>
      <c r="AA622" s="151"/>
      <c r="AB622" s="160"/>
      <c r="AC622" s="160"/>
      <c r="AD622" s="153"/>
      <c r="AE622" s="79"/>
      <c r="AF622" s="79"/>
      <c r="AG622" s="80"/>
      <c r="AH622" s="81" t="s">
        <v>74</v>
      </c>
      <c r="AI622" s="81" t="s">
        <v>74</v>
      </c>
      <c r="AJ622" s="81" t="s">
        <v>74</v>
      </c>
      <c r="AK622" s="81" t="s">
        <v>74</v>
      </c>
      <c r="AL622" s="81" t="s">
        <v>74</v>
      </c>
      <c r="AM622" s="81" t="s">
        <v>74</v>
      </c>
      <c r="AN622" s="82"/>
      <c r="AO622" s="82"/>
      <c r="AP622" s="82"/>
      <c r="AQ622" s="82"/>
      <c r="AR622" s="82"/>
      <c r="AS622" s="82"/>
      <c r="AT622" s="81" t="s">
        <v>74</v>
      </c>
      <c r="AU622" s="82"/>
      <c r="AV622" s="82"/>
      <c r="AW622" s="82"/>
      <c r="AX622" s="119">
        <v>886498.64</v>
      </c>
      <c r="AY622" s="82"/>
      <c r="AZ622" s="82"/>
      <c r="BA622" s="82">
        <f t="shared" si="90"/>
        <v>886498.64</v>
      </c>
      <c r="BB622" s="82" t="s">
        <v>74</v>
      </c>
      <c r="BC622" s="82" t="s">
        <v>74</v>
      </c>
      <c r="BD622" s="82" t="s">
        <v>74</v>
      </c>
      <c r="BE622" s="126" t="s">
        <v>726</v>
      </c>
      <c r="BF622" s="82" t="s">
        <v>74</v>
      </c>
      <c r="BG622" s="82"/>
      <c r="BH622" s="82">
        <f t="shared" si="91"/>
        <v>886498.64</v>
      </c>
      <c r="BI622" s="82">
        <f t="shared" si="92"/>
        <v>886498.64</v>
      </c>
      <c r="BJ622" s="52">
        <f>Y622-AG622+AX622</f>
        <v>886498.64</v>
      </c>
      <c r="BK622" s="56">
        <v>44440</v>
      </c>
      <c r="BL622" s="83">
        <v>886498.64</v>
      </c>
      <c r="BM622" s="75">
        <v>0</v>
      </c>
      <c r="BN622" s="9"/>
      <c r="BO622" s="9"/>
      <c r="BP622" s="9"/>
      <c r="BQ622" s="9"/>
      <c r="BR622" s="9"/>
      <c r="BS622" s="9"/>
      <c r="BT622" s="9"/>
      <c r="BU622" s="9"/>
      <c r="BV622" s="9"/>
      <c r="BW622" s="9"/>
    </row>
    <row r="623" spans="1:75" hidden="1" outlineLevel="1" collapsed="1" x14ac:dyDescent="0.25">
      <c r="A623" s="84"/>
      <c r="B623" s="187" t="s">
        <v>727</v>
      </c>
      <c r="C623" s="86"/>
      <c r="D623" s="120"/>
      <c r="E623" s="88"/>
      <c r="F623" s="88"/>
      <c r="G623" s="88"/>
      <c r="H623" s="88"/>
      <c r="I623" s="88"/>
      <c r="J623" s="88"/>
      <c r="K623" s="88"/>
      <c r="L623" s="88"/>
      <c r="M623" s="88"/>
      <c r="N623" s="88"/>
      <c r="O623" s="88"/>
      <c r="P623" s="88"/>
      <c r="Q623" s="88"/>
      <c r="R623" s="88"/>
      <c r="S623" s="95"/>
      <c r="T623" s="88"/>
      <c r="U623" s="88"/>
      <c r="V623" s="88"/>
      <c r="W623" s="88"/>
      <c r="X623" s="88"/>
      <c r="Y623" s="89">
        <f t="shared" ref="Y623:AG623" si="93">SUBTOTAL(9,Y566:Y622)</f>
        <v>0</v>
      </c>
      <c r="Z623" s="154">
        <f t="shared" si="93"/>
        <v>0</v>
      </c>
      <c r="AA623" s="154">
        <f t="shared" si="93"/>
        <v>0</v>
      </c>
      <c r="AB623" s="162">
        <f t="shared" si="93"/>
        <v>0</v>
      </c>
      <c r="AC623" s="162">
        <f t="shared" si="93"/>
        <v>0</v>
      </c>
      <c r="AD623" s="156">
        <f t="shared" si="93"/>
        <v>0</v>
      </c>
      <c r="AE623" s="89">
        <f t="shared" si="93"/>
        <v>0</v>
      </c>
      <c r="AF623" s="89">
        <f t="shared" si="93"/>
        <v>0</v>
      </c>
      <c r="AG623" s="89">
        <f t="shared" si="93"/>
        <v>0</v>
      </c>
      <c r="AH623" s="91"/>
      <c r="AI623" s="91"/>
      <c r="AJ623" s="91"/>
      <c r="AK623" s="91"/>
      <c r="AL623" s="91"/>
      <c r="AM623" s="91"/>
      <c r="AN623" s="92">
        <f t="shared" ref="AN623:AS623" si="94">SUBTOTAL(9,AN566:AN622)</f>
        <v>0</v>
      </c>
      <c r="AO623" s="92">
        <f t="shared" si="94"/>
        <v>0</v>
      </c>
      <c r="AP623" s="92">
        <f t="shared" si="94"/>
        <v>0</v>
      </c>
      <c r="AQ623" s="92">
        <f t="shared" si="94"/>
        <v>0</v>
      </c>
      <c r="AR623" s="92">
        <f t="shared" si="94"/>
        <v>0</v>
      </c>
      <c r="AS623" s="92">
        <f t="shared" si="94"/>
        <v>0</v>
      </c>
      <c r="AT623" s="91"/>
      <c r="AU623" s="92">
        <f t="shared" ref="AU623:BA623" si="95">SUBTOTAL(9,AU566:AU622)</f>
        <v>0</v>
      </c>
      <c r="AV623" s="92">
        <f t="shared" si="95"/>
        <v>0</v>
      </c>
      <c r="AW623" s="92">
        <f t="shared" si="95"/>
        <v>0</v>
      </c>
      <c r="AX623" s="122">
        <f t="shared" si="95"/>
        <v>0</v>
      </c>
      <c r="AY623" s="92">
        <f t="shared" si="95"/>
        <v>0</v>
      </c>
      <c r="AZ623" s="92">
        <f t="shared" si="95"/>
        <v>0</v>
      </c>
      <c r="BA623" s="92">
        <f t="shared" si="95"/>
        <v>0</v>
      </c>
      <c r="BB623" s="92"/>
      <c r="BC623" s="92"/>
      <c r="BD623" s="92"/>
      <c r="BE623" s="132"/>
      <c r="BF623" s="92"/>
      <c r="BG623" s="92"/>
      <c r="BH623" s="92">
        <f>SUBTOTAL(9,BH566:BH622)</f>
        <v>0</v>
      </c>
      <c r="BI623" s="92">
        <f>SUBTOTAL(9,BI566:BI622)</f>
        <v>0</v>
      </c>
      <c r="BJ623" s="93"/>
      <c r="BK623" s="94"/>
      <c r="BL623" s="95">
        <f>SUBTOTAL(9,BL566:BL622)</f>
        <v>0</v>
      </c>
      <c r="BM623" s="88">
        <f>SUBTOTAL(9,BM566:BM622)</f>
        <v>0</v>
      </c>
      <c r="BN623" s="9"/>
      <c r="BO623" s="9"/>
      <c r="BP623" s="9"/>
      <c r="BQ623" s="9"/>
      <c r="BR623" s="9"/>
      <c r="BS623" s="9"/>
      <c r="BT623" s="9"/>
      <c r="BU623" s="9"/>
      <c r="BV623" s="9"/>
      <c r="BW623" s="9"/>
    </row>
    <row r="624" spans="1:75" ht="39" hidden="1" outlineLevel="2" x14ac:dyDescent="0.25">
      <c r="A624" s="96" t="s">
        <v>728</v>
      </c>
      <c r="B624" s="97" t="s">
        <v>729</v>
      </c>
      <c r="C624" s="98">
        <v>2017</v>
      </c>
      <c r="D624" s="97" t="s">
        <v>73</v>
      </c>
      <c r="E624" s="100">
        <v>0</v>
      </c>
      <c r="F624" s="100">
        <v>0</v>
      </c>
      <c r="G624" s="100">
        <v>0</v>
      </c>
      <c r="H624" s="100">
        <v>0</v>
      </c>
      <c r="I624" s="100">
        <v>0</v>
      </c>
      <c r="J624" s="100">
        <v>0</v>
      </c>
      <c r="K624" s="100">
        <v>0</v>
      </c>
      <c r="L624" s="100">
        <v>0</v>
      </c>
      <c r="M624" s="100">
        <v>2862729.58</v>
      </c>
      <c r="N624" s="100">
        <v>786959.03</v>
      </c>
      <c r="O624" s="100">
        <v>0</v>
      </c>
      <c r="P624" s="100">
        <v>1774181.35</v>
      </c>
      <c r="Q624" s="100">
        <v>0</v>
      </c>
      <c r="R624" s="100">
        <v>0</v>
      </c>
      <c r="S624" s="100">
        <v>0</v>
      </c>
      <c r="T624" s="100">
        <v>0</v>
      </c>
      <c r="U624" s="100">
        <v>0</v>
      </c>
      <c r="V624" s="100">
        <v>0</v>
      </c>
      <c r="W624" s="100">
        <v>0</v>
      </c>
      <c r="X624" s="100">
        <v>0</v>
      </c>
      <c r="Y624" s="101">
        <v>5423869.96</v>
      </c>
      <c r="Z624" s="102">
        <v>0</v>
      </c>
      <c r="AA624" s="103">
        <v>0</v>
      </c>
      <c r="AB624" s="103">
        <v>0</v>
      </c>
      <c r="AC624" s="103">
        <v>0</v>
      </c>
      <c r="AD624" s="103">
        <v>0</v>
      </c>
      <c r="AE624" s="188">
        <v>32863.58</v>
      </c>
      <c r="AF624" s="103">
        <v>0</v>
      </c>
      <c r="AG624" s="102">
        <v>32863.58</v>
      </c>
      <c r="AH624" s="104" t="s">
        <v>74</v>
      </c>
      <c r="AI624" s="104" t="s">
        <v>74</v>
      </c>
      <c r="AJ624" s="104" t="s">
        <v>74</v>
      </c>
      <c r="AK624" s="104" t="s">
        <v>74</v>
      </c>
      <c r="AL624" s="104" t="s">
        <v>730</v>
      </c>
      <c r="AM624" s="104" t="s">
        <v>74</v>
      </c>
      <c r="AN624" s="105">
        <v>0</v>
      </c>
      <c r="AO624" s="105">
        <v>0</v>
      </c>
      <c r="AP624" s="105">
        <v>0</v>
      </c>
      <c r="AQ624" s="105">
        <v>0</v>
      </c>
      <c r="AR624" s="105">
        <v>32863.58</v>
      </c>
      <c r="AS624" s="105">
        <v>32863.58</v>
      </c>
      <c r="AT624" s="104" t="s">
        <v>730</v>
      </c>
      <c r="AU624" s="105">
        <v>0</v>
      </c>
      <c r="AV624" s="105"/>
      <c r="AW624" s="105">
        <v>0</v>
      </c>
      <c r="AX624" s="105"/>
      <c r="AY624" s="105"/>
      <c r="AZ624" s="105">
        <v>0</v>
      </c>
      <c r="BA624" s="105">
        <v>0</v>
      </c>
      <c r="BB624" s="107" t="s">
        <v>74</v>
      </c>
      <c r="BC624" s="106" t="s">
        <v>74</v>
      </c>
      <c r="BD624" s="108" t="s">
        <v>74</v>
      </c>
      <c r="BE624" s="108" t="s">
        <v>74</v>
      </c>
      <c r="BF624" s="108" t="s">
        <v>74</v>
      </c>
      <c r="BG624" s="108" t="s">
        <v>74</v>
      </c>
      <c r="BH624" s="105">
        <v>32863.58</v>
      </c>
      <c r="BI624" s="105">
        <v>5423869.96</v>
      </c>
      <c r="BJ624" s="52">
        <v>5423869.96</v>
      </c>
      <c r="BK624" s="56">
        <v>42736</v>
      </c>
      <c r="BL624" s="109">
        <v>5423869.96</v>
      </c>
      <c r="BM624" s="100">
        <v>0</v>
      </c>
      <c r="BN624" s="9"/>
      <c r="BO624" s="9"/>
      <c r="BP624" s="9"/>
      <c r="BQ624" s="9"/>
      <c r="BR624" s="9"/>
      <c r="BS624" s="9"/>
      <c r="BT624" s="9"/>
      <c r="BU624" s="9"/>
      <c r="BV624" s="9"/>
      <c r="BW624" s="9"/>
    </row>
    <row r="625" spans="1:75" hidden="1" outlineLevel="2" x14ac:dyDescent="0.25">
      <c r="A625" s="43" t="s">
        <v>728</v>
      </c>
      <c r="B625" s="110" t="s">
        <v>729</v>
      </c>
      <c r="C625" s="45">
        <v>2017</v>
      </c>
      <c r="D625" s="110" t="s">
        <v>75</v>
      </c>
      <c r="E625" s="47">
        <v>0</v>
      </c>
      <c r="F625" s="47">
        <v>0</v>
      </c>
      <c r="G625" s="47">
        <v>0</v>
      </c>
      <c r="H625" s="47">
        <v>0</v>
      </c>
      <c r="I625" s="47">
        <v>0</v>
      </c>
      <c r="J625" s="47">
        <v>0</v>
      </c>
      <c r="K625" s="47">
        <v>0</v>
      </c>
      <c r="L625" s="47">
        <v>0</v>
      </c>
      <c r="M625" s="47">
        <v>2862729.58</v>
      </c>
      <c r="N625" s="47">
        <v>786959.03</v>
      </c>
      <c r="O625" s="47">
        <v>0</v>
      </c>
      <c r="P625" s="47">
        <v>1774181.35</v>
      </c>
      <c r="Q625" s="47">
        <v>0</v>
      </c>
      <c r="R625" s="47">
        <v>0</v>
      </c>
      <c r="S625" s="47">
        <v>0</v>
      </c>
      <c r="T625" s="47">
        <v>0</v>
      </c>
      <c r="U625" s="47">
        <v>0</v>
      </c>
      <c r="V625" s="47">
        <v>0</v>
      </c>
      <c r="W625" s="47">
        <v>0</v>
      </c>
      <c r="X625" s="47">
        <v>0</v>
      </c>
      <c r="Y625" s="48">
        <v>5423869.96</v>
      </c>
      <c r="Z625" s="49">
        <v>0</v>
      </c>
      <c r="AA625" s="50">
        <v>0</v>
      </c>
      <c r="AB625" s="50">
        <v>0</v>
      </c>
      <c r="AC625" s="50">
        <v>0</v>
      </c>
      <c r="AD625" s="50">
        <v>0</v>
      </c>
      <c r="AE625" s="50">
        <v>0</v>
      </c>
      <c r="AF625" s="50">
        <v>0</v>
      </c>
      <c r="AG625" s="49">
        <v>0</v>
      </c>
      <c r="AH625" s="51" t="s">
        <v>74</v>
      </c>
      <c r="AI625" s="51" t="s">
        <v>74</v>
      </c>
      <c r="AJ625" s="51" t="s">
        <v>74</v>
      </c>
      <c r="AK625" s="51" t="s">
        <v>74</v>
      </c>
      <c r="AL625" s="51" t="s">
        <v>74</v>
      </c>
      <c r="AM625" s="51" t="s">
        <v>74</v>
      </c>
      <c r="AN625" s="52">
        <v>0</v>
      </c>
      <c r="AO625" s="52">
        <v>0</v>
      </c>
      <c r="AP625" s="52">
        <v>0</v>
      </c>
      <c r="AQ625" s="52">
        <v>0</v>
      </c>
      <c r="AR625" s="52">
        <v>0</v>
      </c>
      <c r="AS625" s="52">
        <v>0</v>
      </c>
      <c r="AT625" s="53" t="s">
        <v>74</v>
      </c>
      <c r="AU625" s="52">
        <v>0</v>
      </c>
      <c r="AV625" s="52"/>
      <c r="AW625" s="52">
        <v>0</v>
      </c>
      <c r="AX625" s="52"/>
      <c r="AY625" s="52"/>
      <c r="AZ625" s="52">
        <v>0</v>
      </c>
      <c r="BA625" s="52">
        <v>0</v>
      </c>
      <c r="BB625" s="54" t="s">
        <v>74</v>
      </c>
      <c r="BC625" s="53" t="s">
        <v>74</v>
      </c>
      <c r="BD625" s="55" t="s">
        <v>74</v>
      </c>
      <c r="BE625" s="55" t="s">
        <v>74</v>
      </c>
      <c r="BF625" s="55" t="s">
        <v>74</v>
      </c>
      <c r="BG625" s="55" t="s">
        <v>74</v>
      </c>
      <c r="BH625" s="52">
        <v>0</v>
      </c>
      <c r="BI625" s="52">
        <v>5423869.96</v>
      </c>
      <c r="BJ625" s="52">
        <v>5423869.96</v>
      </c>
      <c r="BK625" s="56">
        <v>42767</v>
      </c>
      <c r="BL625" s="57">
        <v>5423869.96</v>
      </c>
      <c r="BM625" s="47">
        <v>0</v>
      </c>
      <c r="BN625" s="9"/>
      <c r="BO625" s="9"/>
      <c r="BP625" s="9"/>
      <c r="BQ625" s="9"/>
      <c r="BR625" s="9"/>
      <c r="BS625" s="9"/>
      <c r="BT625" s="9"/>
      <c r="BU625" s="9"/>
      <c r="BV625" s="9"/>
      <c r="BW625" s="9"/>
    </row>
    <row r="626" spans="1:75" hidden="1" outlineLevel="2" x14ac:dyDescent="0.25">
      <c r="A626" s="43" t="s">
        <v>728</v>
      </c>
      <c r="B626" s="110" t="s">
        <v>729</v>
      </c>
      <c r="C626" s="45">
        <v>2017</v>
      </c>
      <c r="D626" s="110" t="s">
        <v>77</v>
      </c>
      <c r="E626" s="47">
        <v>0</v>
      </c>
      <c r="F626" s="47">
        <v>0</v>
      </c>
      <c r="G626" s="47">
        <v>0</v>
      </c>
      <c r="H626" s="47">
        <v>0</v>
      </c>
      <c r="I626" s="47">
        <v>0</v>
      </c>
      <c r="J626" s="47">
        <v>0</v>
      </c>
      <c r="K626" s="47">
        <v>0</v>
      </c>
      <c r="L626" s="47">
        <v>0</v>
      </c>
      <c r="M626" s="47">
        <v>2862729.58</v>
      </c>
      <c r="N626" s="47">
        <v>786959.03</v>
      </c>
      <c r="O626" s="47">
        <v>0</v>
      </c>
      <c r="P626" s="47">
        <v>1774181.35</v>
      </c>
      <c r="Q626" s="47">
        <v>0</v>
      </c>
      <c r="R626" s="47">
        <v>0</v>
      </c>
      <c r="S626" s="47">
        <v>0</v>
      </c>
      <c r="T626" s="47">
        <v>0</v>
      </c>
      <c r="U626" s="47">
        <v>0</v>
      </c>
      <c r="V626" s="47">
        <v>0</v>
      </c>
      <c r="W626" s="47">
        <v>0</v>
      </c>
      <c r="X626" s="47">
        <v>0</v>
      </c>
      <c r="Y626" s="48">
        <v>5423869.96</v>
      </c>
      <c r="Z626" s="49">
        <v>0</v>
      </c>
      <c r="AA626" s="50">
        <v>0</v>
      </c>
      <c r="AB626" s="50">
        <v>0</v>
      </c>
      <c r="AC626" s="50">
        <v>0</v>
      </c>
      <c r="AD626" s="50">
        <v>0</v>
      </c>
      <c r="AE626" s="50">
        <v>0</v>
      </c>
      <c r="AF626" s="50">
        <v>0</v>
      </c>
      <c r="AG626" s="49">
        <v>0</v>
      </c>
      <c r="AH626" s="51" t="s">
        <v>74</v>
      </c>
      <c r="AI626" s="51" t="s">
        <v>74</v>
      </c>
      <c r="AJ626" s="51" t="s">
        <v>74</v>
      </c>
      <c r="AK626" s="51" t="s">
        <v>74</v>
      </c>
      <c r="AL626" s="51" t="s">
        <v>74</v>
      </c>
      <c r="AM626" s="51" t="s">
        <v>74</v>
      </c>
      <c r="AN626" s="52">
        <v>0</v>
      </c>
      <c r="AO626" s="52">
        <v>0</v>
      </c>
      <c r="AP626" s="52">
        <v>0</v>
      </c>
      <c r="AQ626" s="52">
        <v>0</v>
      </c>
      <c r="AR626" s="52">
        <v>0</v>
      </c>
      <c r="AS626" s="52">
        <v>0</v>
      </c>
      <c r="AT626" s="53" t="s">
        <v>74</v>
      </c>
      <c r="AU626" s="52">
        <v>0</v>
      </c>
      <c r="AV626" s="52"/>
      <c r="AW626" s="52">
        <v>0</v>
      </c>
      <c r="AX626" s="52"/>
      <c r="AY626" s="52"/>
      <c r="AZ626" s="52">
        <v>0</v>
      </c>
      <c r="BA626" s="52">
        <v>0</v>
      </c>
      <c r="BB626" s="54" t="s">
        <v>74</v>
      </c>
      <c r="BC626" s="53" t="s">
        <v>74</v>
      </c>
      <c r="BD626" s="55" t="s">
        <v>74</v>
      </c>
      <c r="BE626" s="55" t="s">
        <v>74</v>
      </c>
      <c r="BF626" s="55" t="s">
        <v>74</v>
      </c>
      <c r="BG626" s="55" t="s">
        <v>74</v>
      </c>
      <c r="BH626" s="52">
        <v>0</v>
      </c>
      <c r="BI626" s="52">
        <v>5423869.96</v>
      </c>
      <c r="BJ626" s="52">
        <v>5423869.96</v>
      </c>
      <c r="BK626" s="56">
        <v>42795</v>
      </c>
      <c r="BL626" s="57">
        <v>5423869.96</v>
      </c>
      <c r="BM626" s="47">
        <v>0</v>
      </c>
      <c r="BN626" s="9"/>
      <c r="BO626" s="9"/>
      <c r="BP626" s="9"/>
      <c r="BQ626" s="9"/>
      <c r="BR626" s="9"/>
      <c r="BS626" s="9"/>
      <c r="BT626" s="9"/>
      <c r="BU626" s="9"/>
      <c r="BV626" s="9"/>
      <c r="BW626" s="9"/>
    </row>
    <row r="627" spans="1:75" hidden="1" outlineLevel="2" x14ac:dyDescent="0.25">
      <c r="A627" s="43" t="s">
        <v>728</v>
      </c>
      <c r="B627" s="110" t="s">
        <v>729</v>
      </c>
      <c r="C627" s="45">
        <v>2017</v>
      </c>
      <c r="D627" s="110" t="s">
        <v>79</v>
      </c>
      <c r="E627" s="47">
        <v>0</v>
      </c>
      <c r="F627" s="47">
        <v>0</v>
      </c>
      <c r="G627" s="47">
        <v>0</v>
      </c>
      <c r="H627" s="47">
        <v>0</v>
      </c>
      <c r="I627" s="47">
        <v>0</v>
      </c>
      <c r="J627" s="47">
        <v>0</v>
      </c>
      <c r="K627" s="47">
        <v>0</v>
      </c>
      <c r="L627" s="47">
        <v>0</v>
      </c>
      <c r="M627" s="47">
        <v>2862729.58</v>
      </c>
      <c r="N627" s="47">
        <v>786959.03</v>
      </c>
      <c r="O627" s="47">
        <v>0</v>
      </c>
      <c r="P627" s="47">
        <v>1774181.35</v>
      </c>
      <c r="Q627" s="47">
        <v>0</v>
      </c>
      <c r="R627" s="47">
        <v>0</v>
      </c>
      <c r="S627" s="47">
        <v>0</v>
      </c>
      <c r="T627" s="47">
        <v>0</v>
      </c>
      <c r="U627" s="47">
        <v>0</v>
      </c>
      <c r="V627" s="47">
        <v>0</v>
      </c>
      <c r="W627" s="47">
        <v>0</v>
      </c>
      <c r="X627" s="47">
        <v>0</v>
      </c>
      <c r="Y627" s="48">
        <v>5423869.96</v>
      </c>
      <c r="Z627" s="49">
        <v>0</v>
      </c>
      <c r="AA627" s="50">
        <v>0</v>
      </c>
      <c r="AB627" s="50">
        <v>0</v>
      </c>
      <c r="AC627" s="50">
        <v>0</v>
      </c>
      <c r="AD627" s="50">
        <v>0</v>
      </c>
      <c r="AE627" s="50">
        <v>0</v>
      </c>
      <c r="AF627" s="50">
        <v>0</v>
      </c>
      <c r="AG627" s="49">
        <v>0</v>
      </c>
      <c r="AH627" s="51" t="s">
        <v>74</v>
      </c>
      <c r="AI627" s="51" t="s">
        <v>74</v>
      </c>
      <c r="AJ627" s="51" t="s">
        <v>74</v>
      </c>
      <c r="AK627" s="51" t="s">
        <v>74</v>
      </c>
      <c r="AL627" s="51" t="s">
        <v>74</v>
      </c>
      <c r="AM627" s="51" t="s">
        <v>74</v>
      </c>
      <c r="AN627" s="52">
        <v>0</v>
      </c>
      <c r="AO627" s="52">
        <v>0</v>
      </c>
      <c r="AP627" s="52">
        <v>0</v>
      </c>
      <c r="AQ627" s="52">
        <v>0</v>
      </c>
      <c r="AR627" s="52">
        <v>0</v>
      </c>
      <c r="AS627" s="52">
        <v>0</v>
      </c>
      <c r="AT627" s="53" t="s">
        <v>74</v>
      </c>
      <c r="AU627" s="52">
        <v>0</v>
      </c>
      <c r="AV627" s="52"/>
      <c r="AW627" s="52">
        <v>0</v>
      </c>
      <c r="AX627" s="52"/>
      <c r="AY627" s="52"/>
      <c r="AZ627" s="52">
        <v>0</v>
      </c>
      <c r="BA627" s="52">
        <v>0</v>
      </c>
      <c r="BB627" s="54" t="s">
        <v>74</v>
      </c>
      <c r="BC627" s="53" t="s">
        <v>74</v>
      </c>
      <c r="BD627" s="55" t="s">
        <v>74</v>
      </c>
      <c r="BE627" s="55" t="s">
        <v>74</v>
      </c>
      <c r="BF627" s="55" t="s">
        <v>74</v>
      </c>
      <c r="BG627" s="55" t="s">
        <v>74</v>
      </c>
      <c r="BH627" s="52">
        <v>0</v>
      </c>
      <c r="BI627" s="52">
        <v>5423869.96</v>
      </c>
      <c r="BJ627" s="52">
        <v>5423869.96</v>
      </c>
      <c r="BK627" s="56">
        <v>42826</v>
      </c>
      <c r="BL627" s="57">
        <v>5423869.96</v>
      </c>
      <c r="BM627" s="47">
        <v>0</v>
      </c>
      <c r="BN627" s="9"/>
      <c r="BO627" s="9"/>
      <c r="BP627" s="9"/>
      <c r="BQ627" s="9"/>
      <c r="BR627" s="9"/>
      <c r="BS627" s="9"/>
      <c r="BT627" s="9"/>
      <c r="BU627" s="9"/>
      <c r="BV627" s="9"/>
      <c r="BW627" s="9"/>
    </row>
    <row r="628" spans="1:75" hidden="1" outlineLevel="2" x14ac:dyDescent="0.25">
      <c r="A628" s="43" t="s">
        <v>728</v>
      </c>
      <c r="B628" s="110" t="s">
        <v>729</v>
      </c>
      <c r="C628" s="45">
        <v>2017</v>
      </c>
      <c r="D628" s="110" t="s">
        <v>81</v>
      </c>
      <c r="E628" s="47">
        <v>0</v>
      </c>
      <c r="F628" s="47">
        <v>0</v>
      </c>
      <c r="G628" s="47">
        <v>0</v>
      </c>
      <c r="H628" s="47">
        <v>0</v>
      </c>
      <c r="I628" s="47">
        <v>0</v>
      </c>
      <c r="J628" s="47">
        <v>0</v>
      </c>
      <c r="K628" s="47">
        <v>0</v>
      </c>
      <c r="L628" s="47">
        <v>0</v>
      </c>
      <c r="M628" s="47">
        <v>2862729.58</v>
      </c>
      <c r="N628" s="47">
        <v>786959.03</v>
      </c>
      <c r="O628" s="47">
        <v>0</v>
      </c>
      <c r="P628" s="47">
        <v>1774181.35</v>
      </c>
      <c r="Q628" s="47">
        <v>0</v>
      </c>
      <c r="R628" s="47">
        <v>0</v>
      </c>
      <c r="S628" s="47">
        <v>0</v>
      </c>
      <c r="T628" s="47">
        <v>0</v>
      </c>
      <c r="U628" s="47">
        <v>0</v>
      </c>
      <c r="V628" s="47">
        <v>0</v>
      </c>
      <c r="W628" s="47">
        <v>0</v>
      </c>
      <c r="X628" s="47">
        <v>0</v>
      </c>
      <c r="Y628" s="48">
        <v>5423869.96</v>
      </c>
      <c r="Z628" s="49">
        <v>0</v>
      </c>
      <c r="AA628" s="50">
        <v>0</v>
      </c>
      <c r="AB628" s="50">
        <v>0</v>
      </c>
      <c r="AC628" s="50">
        <v>0</v>
      </c>
      <c r="AD628" s="50">
        <v>0</v>
      </c>
      <c r="AE628" s="50">
        <v>0</v>
      </c>
      <c r="AF628" s="50">
        <v>0</v>
      </c>
      <c r="AG628" s="49">
        <v>0</v>
      </c>
      <c r="AH628" s="51" t="s">
        <v>74</v>
      </c>
      <c r="AI628" s="51" t="s">
        <v>74</v>
      </c>
      <c r="AJ628" s="51" t="s">
        <v>74</v>
      </c>
      <c r="AK628" s="51" t="s">
        <v>74</v>
      </c>
      <c r="AL628" s="51" t="s">
        <v>74</v>
      </c>
      <c r="AM628" s="51" t="s">
        <v>74</v>
      </c>
      <c r="AN628" s="52">
        <v>0</v>
      </c>
      <c r="AO628" s="52">
        <v>0</v>
      </c>
      <c r="AP628" s="52">
        <v>0</v>
      </c>
      <c r="AQ628" s="52">
        <v>0</v>
      </c>
      <c r="AR628" s="52">
        <v>0</v>
      </c>
      <c r="AS628" s="52">
        <v>0</v>
      </c>
      <c r="AT628" s="53" t="s">
        <v>74</v>
      </c>
      <c r="AU628" s="52">
        <v>0</v>
      </c>
      <c r="AV628" s="52"/>
      <c r="AW628" s="52">
        <v>0</v>
      </c>
      <c r="AX628" s="52"/>
      <c r="AY628" s="52"/>
      <c r="AZ628" s="52">
        <v>0</v>
      </c>
      <c r="BA628" s="52">
        <v>0</v>
      </c>
      <c r="BB628" s="54" t="s">
        <v>74</v>
      </c>
      <c r="BC628" s="53" t="s">
        <v>74</v>
      </c>
      <c r="BD628" s="55" t="s">
        <v>74</v>
      </c>
      <c r="BE628" s="55" t="s">
        <v>74</v>
      </c>
      <c r="BF628" s="55" t="s">
        <v>74</v>
      </c>
      <c r="BG628" s="55" t="s">
        <v>74</v>
      </c>
      <c r="BH628" s="52">
        <v>0</v>
      </c>
      <c r="BI628" s="52">
        <v>5423869.96</v>
      </c>
      <c r="BJ628" s="52">
        <v>5423869.96</v>
      </c>
      <c r="BK628" s="56">
        <v>42856</v>
      </c>
      <c r="BL628" s="57">
        <v>5423869.96</v>
      </c>
      <c r="BM628" s="47">
        <v>0</v>
      </c>
      <c r="BN628" s="9"/>
      <c r="BO628" s="9"/>
      <c r="BP628" s="9"/>
      <c r="BQ628" s="9"/>
      <c r="BR628" s="9"/>
      <c r="BS628" s="9"/>
      <c r="BT628" s="9"/>
      <c r="BU628" s="9"/>
      <c r="BV628" s="9"/>
      <c r="BW628" s="9"/>
    </row>
    <row r="629" spans="1:75" hidden="1" outlineLevel="2" x14ac:dyDescent="0.25">
      <c r="A629" s="43" t="s">
        <v>728</v>
      </c>
      <c r="B629" s="110" t="s">
        <v>729</v>
      </c>
      <c r="C629" s="45">
        <v>2017</v>
      </c>
      <c r="D629" s="110" t="s">
        <v>83</v>
      </c>
      <c r="E629" s="47">
        <v>0</v>
      </c>
      <c r="F629" s="47">
        <v>0</v>
      </c>
      <c r="G629" s="47">
        <v>0</v>
      </c>
      <c r="H629" s="47">
        <v>0</v>
      </c>
      <c r="I629" s="47">
        <v>0</v>
      </c>
      <c r="J629" s="47">
        <v>0</v>
      </c>
      <c r="K629" s="47">
        <v>0</v>
      </c>
      <c r="L629" s="47">
        <v>0</v>
      </c>
      <c r="M629" s="47">
        <v>2862729.58</v>
      </c>
      <c r="N629" s="47">
        <v>786959.03</v>
      </c>
      <c r="O629" s="47">
        <v>0</v>
      </c>
      <c r="P629" s="47">
        <v>1774181.35</v>
      </c>
      <c r="Q629" s="47">
        <v>0</v>
      </c>
      <c r="R629" s="47">
        <v>0</v>
      </c>
      <c r="S629" s="47">
        <v>0</v>
      </c>
      <c r="T629" s="47">
        <v>0</v>
      </c>
      <c r="U629" s="47">
        <v>0</v>
      </c>
      <c r="V629" s="47">
        <v>0</v>
      </c>
      <c r="W629" s="47">
        <v>0</v>
      </c>
      <c r="X629" s="47">
        <v>0</v>
      </c>
      <c r="Y629" s="48">
        <v>5423869.96</v>
      </c>
      <c r="Z629" s="49">
        <v>0</v>
      </c>
      <c r="AA629" s="50">
        <v>0</v>
      </c>
      <c r="AB629" s="50">
        <v>0</v>
      </c>
      <c r="AC629" s="50">
        <v>0</v>
      </c>
      <c r="AD629" s="50">
        <v>0</v>
      </c>
      <c r="AE629" s="50">
        <v>0</v>
      </c>
      <c r="AF629" s="50">
        <v>0</v>
      </c>
      <c r="AG629" s="49">
        <v>0</v>
      </c>
      <c r="AH629" s="51" t="s">
        <v>74</v>
      </c>
      <c r="AI629" s="51" t="s">
        <v>74</v>
      </c>
      <c r="AJ629" s="51" t="s">
        <v>74</v>
      </c>
      <c r="AK629" s="51" t="s">
        <v>74</v>
      </c>
      <c r="AL629" s="51" t="s">
        <v>74</v>
      </c>
      <c r="AM629" s="51" t="s">
        <v>74</v>
      </c>
      <c r="AN629" s="52">
        <v>0</v>
      </c>
      <c r="AO629" s="52">
        <v>0</v>
      </c>
      <c r="AP629" s="52">
        <v>0</v>
      </c>
      <c r="AQ629" s="52">
        <v>0</v>
      </c>
      <c r="AR629" s="52">
        <v>0</v>
      </c>
      <c r="AS629" s="52">
        <v>0</v>
      </c>
      <c r="AT629" s="53" t="s">
        <v>74</v>
      </c>
      <c r="AU629" s="52">
        <v>0</v>
      </c>
      <c r="AV629" s="52"/>
      <c r="AW629" s="52">
        <v>0</v>
      </c>
      <c r="AX629" s="52"/>
      <c r="AY629" s="52"/>
      <c r="AZ629" s="52">
        <v>0</v>
      </c>
      <c r="BA629" s="52">
        <v>0</v>
      </c>
      <c r="BB629" s="54" t="s">
        <v>74</v>
      </c>
      <c r="BC629" s="53" t="s">
        <v>74</v>
      </c>
      <c r="BD629" s="55" t="s">
        <v>74</v>
      </c>
      <c r="BE629" s="55" t="s">
        <v>74</v>
      </c>
      <c r="BF629" s="55" t="s">
        <v>74</v>
      </c>
      <c r="BG629" s="55" t="s">
        <v>74</v>
      </c>
      <c r="BH629" s="52">
        <v>0</v>
      </c>
      <c r="BI629" s="52">
        <v>5423869.96</v>
      </c>
      <c r="BJ629" s="52">
        <v>5423869.96</v>
      </c>
      <c r="BK629" s="56">
        <v>42887</v>
      </c>
      <c r="BL629" s="57">
        <v>5423869.96</v>
      </c>
      <c r="BM629" s="47">
        <v>0</v>
      </c>
      <c r="BN629" s="9"/>
      <c r="BO629" s="9"/>
      <c r="BP629" s="9"/>
      <c r="BQ629" s="9"/>
      <c r="BR629" s="9"/>
      <c r="BS629" s="9"/>
      <c r="BT629" s="9"/>
      <c r="BU629" s="9"/>
      <c r="BV629" s="9"/>
      <c r="BW629" s="9"/>
    </row>
    <row r="630" spans="1:75" hidden="1" outlineLevel="2" x14ac:dyDescent="0.25">
      <c r="A630" s="43" t="s">
        <v>728</v>
      </c>
      <c r="B630" s="110" t="s">
        <v>729</v>
      </c>
      <c r="C630" s="45">
        <v>2017</v>
      </c>
      <c r="D630" s="110" t="s">
        <v>84</v>
      </c>
      <c r="E630" s="47">
        <v>0</v>
      </c>
      <c r="F630" s="47">
        <v>0</v>
      </c>
      <c r="G630" s="47">
        <v>0</v>
      </c>
      <c r="H630" s="47">
        <v>0</v>
      </c>
      <c r="I630" s="47">
        <v>0</v>
      </c>
      <c r="J630" s="47">
        <v>0</v>
      </c>
      <c r="K630" s="47">
        <v>0</v>
      </c>
      <c r="L630" s="47">
        <v>0</v>
      </c>
      <c r="M630" s="47">
        <v>2862729.58</v>
      </c>
      <c r="N630" s="47">
        <v>786959.03</v>
      </c>
      <c r="O630" s="47">
        <v>0</v>
      </c>
      <c r="P630" s="47">
        <v>1774181.35</v>
      </c>
      <c r="Q630" s="47">
        <v>0</v>
      </c>
      <c r="R630" s="47">
        <v>0</v>
      </c>
      <c r="S630" s="47">
        <v>0</v>
      </c>
      <c r="T630" s="47">
        <v>0</v>
      </c>
      <c r="U630" s="47">
        <v>0</v>
      </c>
      <c r="V630" s="47">
        <v>0</v>
      </c>
      <c r="W630" s="47">
        <v>0</v>
      </c>
      <c r="X630" s="47">
        <v>0</v>
      </c>
      <c r="Y630" s="48">
        <v>5423869.96</v>
      </c>
      <c r="Z630" s="49">
        <v>0</v>
      </c>
      <c r="AA630" s="50">
        <v>0</v>
      </c>
      <c r="AB630" s="50">
        <v>0</v>
      </c>
      <c r="AC630" s="50">
        <v>0</v>
      </c>
      <c r="AD630" s="50">
        <v>0</v>
      </c>
      <c r="AE630" s="50">
        <v>0</v>
      </c>
      <c r="AF630" s="50">
        <v>0</v>
      </c>
      <c r="AG630" s="49">
        <v>0</v>
      </c>
      <c r="AH630" s="51" t="s">
        <v>74</v>
      </c>
      <c r="AI630" s="51" t="s">
        <v>74</v>
      </c>
      <c r="AJ630" s="51" t="s">
        <v>74</v>
      </c>
      <c r="AK630" s="51" t="s">
        <v>74</v>
      </c>
      <c r="AL630" s="51" t="s">
        <v>74</v>
      </c>
      <c r="AM630" s="51" t="s">
        <v>74</v>
      </c>
      <c r="AN630" s="52">
        <v>0</v>
      </c>
      <c r="AO630" s="52">
        <v>0</v>
      </c>
      <c r="AP630" s="52">
        <v>0</v>
      </c>
      <c r="AQ630" s="52">
        <v>0</v>
      </c>
      <c r="AR630" s="52">
        <v>0</v>
      </c>
      <c r="AS630" s="52">
        <v>0</v>
      </c>
      <c r="AT630" s="53" t="s">
        <v>74</v>
      </c>
      <c r="AU630" s="52">
        <v>0</v>
      </c>
      <c r="AV630" s="52"/>
      <c r="AW630" s="52">
        <v>0</v>
      </c>
      <c r="AX630" s="52"/>
      <c r="AY630" s="52"/>
      <c r="AZ630" s="52">
        <v>0</v>
      </c>
      <c r="BA630" s="52">
        <v>0</v>
      </c>
      <c r="BB630" s="54" t="s">
        <v>74</v>
      </c>
      <c r="BC630" s="53" t="s">
        <v>74</v>
      </c>
      <c r="BD630" s="55" t="s">
        <v>74</v>
      </c>
      <c r="BE630" s="55" t="s">
        <v>74</v>
      </c>
      <c r="BF630" s="55" t="s">
        <v>74</v>
      </c>
      <c r="BG630" s="55" t="s">
        <v>74</v>
      </c>
      <c r="BH630" s="52">
        <v>0</v>
      </c>
      <c r="BI630" s="52">
        <v>5423869.96</v>
      </c>
      <c r="BJ630" s="52">
        <v>5423869.96</v>
      </c>
      <c r="BK630" s="56">
        <v>42917</v>
      </c>
      <c r="BL630" s="57">
        <v>5423869.96</v>
      </c>
      <c r="BM630" s="47">
        <v>0</v>
      </c>
      <c r="BN630" s="9"/>
      <c r="BO630" s="9"/>
      <c r="BP630" s="9"/>
      <c r="BQ630" s="9"/>
      <c r="BR630" s="9"/>
      <c r="BS630" s="9"/>
      <c r="BT630" s="9"/>
      <c r="BU630" s="9"/>
      <c r="BV630" s="9"/>
      <c r="BW630" s="9"/>
    </row>
    <row r="631" spans="1:75" hidden="1" outlineLevel="2" x14ac:dyDescent="0.25">
      <c r="A631" s="43" t="s">
        <v>728</v>
      </c>
      <c r="B631" s="110" t="s">
        <v>729</v>
      </c>
      <c r="C631" s="45">
        <v>2017</v>
      </c>
      <c r="D631" s="110" t="s">
        <v>86</v>
      </c>
      <c r="E631" s="47">
        <v>0</v>
      </c>
      <c r="F631" s="47">
        <v>0</v>
      </c>
      <c r="G631" s="47">
        <v>0</v>
      </c>
      <c r="H631" s="47">
        <v>0</v>
      </c>
      <c r="I631" s="47">
        <v>0</v>
      </c>
      <c r="J631" s="47">
        <v>0</v>
      </c>
      <c r="K631" s="47">
        <v>0</v>
      </c>
      <c r="L631" s="47">
        <v>0</v>
      </c>
      <c r="M631" s="47">
        <v>2862729.58</v>
      </c>
      <c r="N631" s="47">
        <v>786959.03</v>
      </c>
      <c r="O631" s="47">
        <v>0</v>
      </c>
      <c r="P631" s="47">
        <v>1774181.35</v>
      </c>
      <c r="Q631" s="47">
        <v>0</v>
      </c>
      <c r="R631" s="47">
        <v>0</v>
      </c>
      <c r="S631" s="47">
        <v>0</v>
      </c>
      <c r="T631" s="47">
        <v>0</v>
      </c>
      <c r="U631" s="47">
        <v>0</v>
      </c>
      <c r="V631" s="47">
        <v>0</v>
      </c>
      <c r="W631" s="47">
        <v>0</v>
      </c>
      <c r="X631" s="47">
        <v>0</v>
      </c>
      <c r="Y631" s="48">
        <v>5423869.96</v>
      </c>
      <c r="Z631" s="49">
        <v>0</v>
      </c>
      <c r="AA631" s="50">
        <v>0</v>
      </c>
      <c r="AB631" s="50">
        <v>0</v>
      </c>
      <c r="AC631" s="50">
        <v>0</v>
      </c>
      <c r="AD631" s="50">
        <v>0</v>
      </c>
      <c r="AE631" s="50">
        <v>0</v>
      </c>
      <c r="AF631" s="50">
        <v>0</v>
      </c>
      <c r="AG631" s="49">
        <v>0</v>
      </c>
      <c r="AH631" s="51" t="s">
        <v>74</v>
      </c>
      <c r="AI631" s="51" t="s">
        <v>74</v>
      </c>
      <c r="AJ631" s="51" t="s">
        <v>74</v>
      </c>
      <c r="AK631" s="51" t="s">
        <v>74</v>
      </c>
      <c r="AL631" s="51" t="s">
        <v>74</v>
      </c>
      <c r="AM631" s="51" t="s">
        <v>74</v>
      </c>
      <c r="AN631" s="52">
        <v>0</v>
      </c>
      <c r="AO631" s="52">
        <v>0</v>
      </c>
      <c r="AP631" s="52">
        <v>0</v>
      </c>
      <c r="AQ631" s="52">
        <v>0</v>
      </c>
      <c r="AR631" s="52">
        <v>0</v>
      </c>
      <c r="AS631" s="52">
        <v>0</v>
      </c>
      <c r="AT631" s="53" t="s">
        <v>74</v>
      </c>
      <c r="AU631" s="52">
        <v>0</v>
      </c>
      <c r="AV631" s="52"/>
      <c r="AW631" s="52">
        <v>0</v>
      </c>
      <c r="AX631" s="52"/>
      <c r="AY631" s="52"/>
      <c r="AZ631" s="52">
        <v>0</v>
      </c>
      <c r="BA631" s="52">
        <v>0</v>
      </c>
      <c r="BB631" s="54" t="s">
        <v>74</v>
      </c>
      <c r="BC631" s="53" t="s">
        <v>74</v>
      </c>
      <c r="BD631" s="55" t="s">
        <v>74</v>
      </c>
      <c r="BE631" s="55" t="s">
        <v>74</v>
      </c>
      <c r="BF631" s="55" t="s">
        <v>74</v>
      </c>
      <c r="BG631" s="55" t="s">
        <v>74</v>
      </c>
      <c r="BH631" s="52">
        <v>0</v>
      </c>
      <c r="BI631" s="52">
        <v>5423869.96</v>
      </c>
      <c r="BJ631" s="52">
        <v>5423869.96</v>
      </c>
      <c r="BK631" s="56">
        <v>42948</v>
      </c>
      <c r="BL631" s="57">
        <v>5423869.96</v>
      </c>
      <c r="BM631" s="47">
        <v>0</v>
      </c>
      <c r="BN631" s="9"/>
      <c r="BO631" s="9"/>
      <c r="BP631" s="9"/>
      <c r="BQ631" s="9"/>
      <c r="BR631" s="9"/>
      <c r="BS631" s="9"/>
      <c r="BT631" s="9"/>
      <c r="BU631" s="9"/>
      <c r="BV631" s="9"/>
      <c r="BW631" s="9"/>
    </row>
    <row r="632" spans="1:75" hidden="1" outlineLevel="2" x14ac:dyDescent="0.25">
      <c r="A632" s="43" t="s">
        <v>728</v>
      </c>
      <c r="B632" s="110" t="s">
        <v>729</v>
      </c>
      <c r="C632" s="45">
        <v>2017</v>
      </c>
      <c r="D632" s="110" t="s">
        <v>88</v>
      </c>
      <c r="E632" s="47">
        <v>0</v>
      </c>
      <c r="F632" s="47">
        <v>0</v>
      </c>
      <c r="G632" s="47">
        <v>0</v>
      </c>
      <c r="H632" s="47">
        <v>0</v>
      </c>
      <c r="I632" s="47">
        <v>0</v>
      </c>
      <c r="J632" s="47">
        <v>0</v>
      </c>
      <c r="K632" s="47">
        <v>0</v>
      </c>
      <c r="L632" s="47">
        <v>0</v>
      </c>
      <c r="M632" s="47">
        <v>2862729.58</v>
      </c>
      <c r="N632" s="47">
        <v>786959.03</v>
      </c>
      <c r="O632" s="47">
        <v>0</v>
      </c>
      <c r="P632" s="47">
        <v>1774181.35</v>
      </c>
      <c r="Q632" s="47">
        <v>0</v>
      </c>
      <c r="R632" s="47">
        <v>0</v>
      </c>
      <c r="S632" s="47">
        <v>0</v>
      </c>
      <c r="T632" s="47">
        <v>0</v>
      </c>
      <c r="U632" s="47">
        <v>0</v>
      </c>
      <c r="V632" s="47">
        <v>0</v>
      </c>
      <c r="W632" s="47">
        <v>0</v>
      </c>
      <c r="X632" s="47">
        <v>0</v>
      </c>
      <c r="Y632" s="48">
        <v>5423869.96</v>
      </c>
      <c r="Z632" s="49">
        <v>0</v>
      </c>
      <c r="AA632" s="50">
        <v>0</v>
      </c>
      <c r="AB632" s="50">
        <v>0</v>
      </c>
      <c r="AC632" s="50">
        <v>0</v>
      </c>
      <c r="AD632" s="50">
        <v>0</v>
      </c>
      <c r="AE632" s="50">
        <v>0</v>
      </c>
      <c r="AF632" s="50">
        <v>0</v>
      </c>
      <c r="AG632" s="49">
        <v>0</v>
      </c>
      <c r="AH632" s="51" t="s">
        <v>74</v>
      </c>
      <c r="AI632" s="51" t="s">
        <v>74</v>
      </c>
      <c r="AJ632" s="51" t="s">
        <v>74</v>
      </c>
      <c r="AK632" s="51" t="s">
        <v>74</v>
      </c>
      <c r="AL632" s="51" t="s">
        <v>74</v>
      </c>
      <c r="AM632" s="51" t="s">
        <v>74</v>
      </c>
      <c r="AN632" s="52">
        <v>0</v>
      </c>
      <c r="AO632" s="52">
        <v>0</v>
      </c>
      <c r="AP632" s="52">
        <v>0</v>
      </c>
      <c r="AQ632" s="52">
        <v>0</v>
      </c>
      <c r="AR632" s="52">
        <v>0</v>
      </c>
      <c r="AS632" s="52">
        <v>0</v>
      </c>
      <c r="AT632" s="53" t="s">
        <v>74</v>
      </c>
      <c r="AU632" s="52">
        <v>0</v>
      </c>
      <c r="AV632" s="52"/>
      <c r="AW632" s="52">
        <v>0</v>
      </c>
      <c r="AX632" s="52"/>
      <c r="AY632" s="52"/>
      <c r="AZ632" s="52">
        <v>0</v>
      </c>
      <c r="BA632" s="52">
        <v>0</v>
      </c>
      <c r="BB632" s="54" t="s">
        <v>74</v>
      </c>
      <c r="BC632" s="53" t="s">
        <v>74</v>
      </c>
      <c r="BD632" s="55" t="s">
        <v>74</v>
      </c>
      <c r="BE632" s="55" t="s">
        <v>74</v>
      </c>
      <c r="BF632" s="55" t="s">
        <v>74</v>
      </c>
      <c r="BG632" s="55" t="s">
        <v>74</v>
      </c>
      <c r="BH632" s="52">
        <v>0</v>
      </c>
      <c r="BI632" s="52">
        <v>5423869.96</v>
      </c>
      <c r="BJ632" s="52">
        <v>5423869.96</v>
      </c>
      <c r="BK632" s="56">
        <v>42979</v>
      </c>
      <c r="BL632" s="57">
        <v>5423869.96</v>
      </c>
      <c r="BM632" s="47">
        <v>0</v>
      </c>
      <c r="BN632" s="9"/>
      <c r="BO632" s="9"/>
      <c r="BP632" s="9"/>
      <c r="BQ632" s="9"/>
      <c r="BR632" s="9"/>
      <c r="BS632" s="9"/>
      <c r="BT632" s="9"/>
      <c r="BU632" s="9"/>
      <c r="BV632" s="9"/>
      <c r="BW632" s="9"/>
    </row>
    <row r="633" spans="1:75" hidden="1" outlineLevel="2" x14ac:dyDescent="0.25">
      <c r="A633" s="43" t="s">
        <v>728</v>
      </c>
      <c r="B633" s="110" t="s">
        <v>729</v>
      </c>
      <c r="C633" s="45">
        <v>2017</v>
      </c>
      <c r="D633" s="110" t="s">
        <v>89</v>
      </c>
      <c r="E633" s="47">
        <v>0</v>
      </c>
      <c r="F633" s="47">
        <v>0</v>
      </c>
      <c r="G633" s="47">
        <v>0</v>
      </c>
      <c r="H633" s="47">
        <v>0</v>
      </c>
      <c r="I633" s="47">
        <v>0</v>
      </c>
      <c r="J633" s="47">
        <v>0</v>
      </c>
      <c r="K633" s="47">
        <v>0</v>
      </c>
      <c r="L633" s="47">
        <v>0</v>
      </c>
      <c r="M633" s="47">
        <v>2862729.58</v>
      </c>
      <c r="N633" s="47">
        <v>786959.03</v>
      </c>
      <c r="O633" s="47">
        <v>0</v>
      </c>
      <c r="P633" s="47">
        <v>1774181.35</v>
      </c>
      <c r="Q633" s="47">
        <v>0</v>
      </c>
      <c r="R633" s="47">
        <v>0</v>
      </c>
      <c r="S633" s="47">
        <v>0</v>
      </c>
      <c r="T633" s="47">
        <v>0</v>
      </c>
      <c r="U633" s="47">
        <v>0</v>
      </c>
      <c r="V633" s="47">
        <v>0</v>
      </c>
      <c r="W633" s="47">
        <v>0</v>
      </c>
      <c r="X633" s="47">
        <v>0</v>
      </c>
      <c r="Y633" s="48">
        <v>5423869.96</v>
      </c>
      <c r="Z633" s="49">
        <v>0</v>
      </c>
      <c r="AA633" s="50">
        <v>0</v>
      </c>
      <c r="AB633" s="50">
        <v>0</v>
      </c>
      <c r="AC633" s="50">
        <v>0</v>
      </c>
      <c r="AD633" s="50">
        <v>0</v>
      </c>
      <c r="AE633" s="50">
        <v>0</v>
      </c>
      <c r="AF633" s="50">
        <v>0</v>
      </c>
      <c r="AG633" s="49">
        <v>0</v>
      </c>
      <c r="AH633" s="51" t="s">
        <v>74</v>
      </c>
      <c r="AI633" s="51" t="s">
        <v>74</v>
      </c>
      <c r="AJ633" s="51" t="s">
        <v>74</v>
      </c>
      <c r="AK633" s="51" t="s">
        <v>74</v>
      </c>
      <c r="AL633" s="51" t="s">
        <v>74</v>
      </c>
      <c r="AM633" s="51" t="s">
        <v>74</v>
      </c>
      <c r="AN633" s="52">
        <v>0</v>
      </c>
      <c r="AO633" s="52">
        <v>0</v>
      </c>
      <c r="AP633" s="52">
        <v>0</v>
      </c>
      <c r="AQ633" s="52">
        <v>0</v>
      </c>
      <c r="AR633" s="52">
        <v>0</v>
      </c>
      <c r="AS633" s="52">
        <v>0</v>
      </c>
      <c r="AT633" s="53" t="s">
        <v>74</v>
      </c>
      <c r="AU633" s="52">
        <v>0</v>
      </c>
      <c r="AV633" s="52"/>
      <c r="AW633" s="52">
        <v>0</v>
      </c>
      <c r="AX633" s="52"/>
      <c r="AY633" s="52"/>
      <c r="AZ633" s="52">
        <v>0</v>
      </c>
      <c r="BA633" s="52">
        <v>0</v>
      </c>
      <c r="BB633" s="54" t="s">
        <v>74</v>
      </c>
      <c r="BC633" s="53" t="s">
        <v>74</v>
      </c>
      <c r="BD633" s="55" t="s">
        <v>74</v>
      </c>
      <c r="BE633" s="55" t="s">
        <v>74</v>
      </c>
      <c r="BF633" s="55" t="s">
        <v>74</v>
      </c>
      <c r="BG633" s="55" t="s">
        <v>74</v>
      </c>
      <c r="BH633" s="52">
        <v>0</v>
      </c>
      <c r="BI633" s="52">
        <v>5423869.96</v>
      </c>
      <c r="BJ633" s="52">
        <v>5423869.96</v>
      </c>
      <c r="BK633" s="56">
        <v>43009</v>
      </c>
      <c r="BL633" s="57">
        <v>5423869.96</v>
      </c>
      <c r="BM633" s="47">
        <v>0</v>
      </c>
      <c r="BN633" s="9"/>
      <c r="BO633" s="9"/>
      <c r="BP633" s="9"/>
      <c r="BQ633" s="9"/>
      <c r="BR633" s="9"/>
      <c r="BS633" s="9"/>
      <c r="BT633" s="9"/>
      <c r="BU633" s="9"/>
      <c r="BV633" s="9"/>
      <c r="BW633" s="9"/>
    </row>
    <row r="634" spans="1:75" ht="90" hidden="1" outlineLevel="2" x14ac:dyDescent="0.25">
      <c r="A634" s="43" t="s">
        <v>728</v>
      </c>
      <c r="B634" s="110" t="s">
        <v>729</v>
      </c>
      <c r="C634" s="45">
        <v>2017</v>
      </c>
      <c r="D634" s="110" t="s">
        <v>90</v>
      </c>
      <c r="E634" s="47">
        <v>0</v>
      </c>
      <c r="F634" s="47">
        <v>0</v>
      </c>
      <c r="G634" s="47">
        <v>0</v>
      </c>
      <c r="H634" s="47">
        <v>0</v>
      </c>
      <c r="I634" s="47">
        <v>0</v>
      </c>
      <c r="J634" s="47">
        <v>0</v>
      </c>
      <c r="K634" s="47">
        <v>0</v>
      </c>
      <c r="L634" s="47">
        <v>0</v>
      </c>
      <c r="M634" s="47">
        <v>2862729.58</v>
      </c>
      <c r="N634" s="47">
        <v>786959.03</v>
      </c>
      <c r="O634" s="47">
        <v>0</v>
      </c>
      <c r="P634" s="47">
        <v>1774181.35</v>
      </c>
      <c r="Q634" s="47">
        <v>0</v>
      </c>
      <c r="R634" s="47">
        <v>0</v>
      </c>
      <c r="S634" s="47">
        <v>0</v>
      </c>
      <c r="T634" s="47">
        <v>0</v>
      </c>
      <c r="U634" s="47">
        <v>0</v>
      </c>
      <c r="V634" s="47">
        <v>0</v>
      </c>
      <c r="W634" s="47">
        <v>0</v>
      </c>
      <c r="X634" s="47">
        <v>0</v>
      </c>
      <c r="Y634" s="48">
        <v>5423869.96</v>
      </c>
      <c r="Z634" s="49">
        <v>0</v>
      </c>
      <c r="AA634" s="50">
        <v>0</v>
      </c>
      <c r="AB634" s="50">
        <v>0</v>
      </c>
      <c r="AC634" s="50">
        <v>0</v>
      </c>
      <c r="AD634" s="50">
        <v>34148.31</v>
      </c>
      <c r="AE634" s="50">
        <v>0</v>
      </c>
      <c r="AF634" s="50">
        <v>0</v>
      </c>
      <c r="AG634" s="49">
        <v>34148.31</v>
      </c>
      <c r="AH634" s="51" t="s">
        <v>74</v>
      </c>
      <c r="AI634" s="51" t="s">
        <v>74</v>
      </c>
      <c r="AJ634" s="51" t="s">
        <v>74</v>
      </c>
      <c r="AK634" s="51" t="s">
        <v>92</v>
      </c>
      <c r="AL634" s="51" t="s">
        <v>74</v>
      </c>
      <c r="AM634" s="51" t="s">
        <v>74</v>
      </c>
      <c r="AN634" s="52">
        <v>0</v>
      </c>
      <c r="AO634" s="52">
        <v>0</v>
      </c>
      <c r="AP634" s="52">
        <v>0</v>
      </c>
      <c r="AQ634" s="52">
        <v>0</v>
      </c>
      <c r="AR634" s="52">
        <v>0</v>
      </c>
      <c r="AS634" s="52">
        <v>0</v>
      </c>
      <c r="AT634" s="53" t="s">
        <v>74</v>
      </c>
      <c r="AU634" s="52">
        <v>0</v>
      </c>
      <c r="AV634" s="52"/>
      <c r="AW634" s="52">
        <v>999990</v>
      </c>
      <c r="AX634" s="52"/>
      <c r="AY634" s="52"/>
      <c r="AZ634" s="52">
        <v>0</v>
      </c>
      <c r="BA634" s="52">
        <v>999990</v>
      </c>
      <c r="BB634" s="54" t="s">
        <v>74</v>
      </c>
      <c r="BC634" s="53" t="s">
        <v>74</v>
      </c>
      <c r="BD634" s="55" t="s">
        <v>731</v>
      </c>
      <c r="BE634" s="55" t="s">
        <v>74</v>
      </c>
      <c r="BF634" s="55" t="s">
        <v>74</v>
      </c>
      <c r="BG634" s="55" t="s">
        <v>74</v>
      </c>
      <c r="BH634" s="52">
        <v>999990</v>
      </c>
      <c r="BI634" s="52">
        <v>6389711.6500000004</v>
      </c>
      <c r="BJ634" s="52">
        <v>5389721.6500000004</v>
      </c>
      <c r="BK634" s="56">
        <v>43040</v>
      </c>
      <c r="BL634" s="57">
        <v>6389711.6500000004</v>
      </c>
      <c r="BM634" s="47">
        <v>0</v>
      </c>
      <c r="BN634" s="9"/>
      <c r="BO634" s="9"/>
      <c r="BP634" s="9"/>
      <c r="BQ634" s="9"/>
      <c r="BR634" s="9"/>
      <c r="BS634" s="9"/>
      <c r="BT634" s="9"/>
      <c r="BU634" s="9"/>
      <c r="BV634" s="9"/>
      <c r="BW634" s="9"/>
    </row>
    <row r="635" spans="1:75" ht="26.25" hidden="1" outlineLevel="2" x14ac:dyDescent="0.25">
      <c r="A635" s="43" t="s">
        <v>728</v>
      </c>
      <c r="B635" s="110" t="s">
        <v>729</v>
      </c>
      <c r="C635" s="45">
        <v>2017</v>
      </c>
      <c r="D635" s="110" t="s">
        <v>93</v>
      </c>
      <c r="E635" s="47">
        <v>0</v>
      </c>
      <c r="F635" s="47">
        <v>0</v>
      </c>
      <c r="G635" s="47">
        <v>0</v>
      </c>
      <c r="H635" s="47">
        <v>0</v>
      </c>
      <c r="I635" s="47">
        <v>0</v>
      </c>
      <c r="J635" s="47">
        <v>0</v>
      </c>
      <c r="K635" s="47">
        <v>0</v>
      </c>
      <c r="L635" s="47">
        <v>0</v>
      </c>
      <c r="M635" s="47">
        <v>2862729.58</v>
      </c>
      <c r="N635" s="47">
        <v>786959.03</v>
      </c>
      <c r="O635" s="47">
        <v>0</v>
      </c>
      <c r="P635" s="47">
        <v>1774181.35</v>
      </c>
      <c r="Q635" s="47">
        <v>0</v>
      </c>
      <c r="R635" s="47">
        <v>0</v>
      </c>
      <c r="S635" s="47">
        <v>0</v>
      </c>
      <c r="T635" s="47">
        <v>0</v>
      </c>
      <c r="U635" s="47">
        <v>0</v>
      </c>
      <c r="V635" s="47">
        <v>0</v>
      </c>
      <c r="W635" s="47">
        <v>0</v>
      </c>
      <c r="X635" s="47">
        <v>0</v>
      </c>
      <c r="Y635" s="48">
        <v>5423869.96</v>
      </c>
      <c r="Z635" s="49">
        <v>0</v>
      </c>
      <c r="AA635" s="50">
        <v>0</v>
      </c>
      <c r="AB635" s="50">
        <v>0</v>
      </c>
      <c r="AC635" s="50">
        <v>0</v>
      </c>
      <c r="AD635" s="50">
        <v>86872.02</v>
      </c>
      <c r="AE635" s="50">
        <v>0</v>
      </c>
      <c r="AF635" s="50">
        <v>0</v>
      </c>
      <c r="AG635" s="49">
        <v>86872.02</v>
      </c>
      <c r="AH635" s="51" t="s">
        <v>74</v>
      </c>
      <c r="AI635" s="51" t="s">
        <v>74</v>
      </c>
      <c r="AJ635" s="51" t="s">
        <v>74</v>
      </c>
      <c r="AK635" s="51" t="s">
        <v>732</v>
      </c>
      <c r="AL635" s="51" t="s">
        <v>74</v>
      </c>
      <c r="AM635" s="51" t="s">
        <v>74</v>
      </c>
      <c r="AN635" s="52">
        <v>0</v>
      </c>
      <c r="AO635" s="52">
        <v>0</v>
      </c>
      <c r="AP635" s="52">
        <v>0</v>
      </c>
      <c r="AQ635" s="52">
        <v>0</v>
      </c>
      <c r="AR635" s="52">
        <v>0</v>
      </c>
      <c r="AS635" s="52">
        <v>0</v>
      </c>
      <c r="AT635" s="53" t="s">
        <v>74</v>
      </c>
      <c r="AU635" s="52">
        <v>0</v>
      </c>
      <c r="AV635" s="52"/>
      <c r="AW635" s="52">
        <v>0</v>
      </c>
      <c r="AX635" s="52"/>
      <c r="AY635" s="52"/>
      <c r="AZ635" s="52">
        <v>0</v>
      </c>
      <c r="BA635" s="52">
        <v>0</v>
      </c>
      <c r="BB635" s="54" t="s">
        <v>74</v>
      </c>
      <c r="BC635" s="53" t="s">
        <v>74</v>
      </c>
      <c r="BD635" s="55" t="s">
        <v>74</v>
      </c>
      <c r="BE635" s="55" t="s">
        <v>74</v>
      </c>
      <c r="BF635" s="55" t="s">
        <v>74</v>
      </c>
      <c r="BG635" s="55" t="s">
        <v>74</v>
      </c>
      <c r="BH635" s="52">
        <v>0</v>
      </c>
      <c r="BI635" s="52">
        <v>5336997.9400000004</v>
      </c>
      <c r="BJ635" s="52">
        <v>5336997.9400000004</v>
      </c>
      <c r="BK635" s="56">
        <v>43070</v>
      </c>
      <c r="BL635" s="57">
        <v>5336997.9400000004</v>
      </c>
      <c r="BM635" s="47">
        <v>0</v>
      </c>
      <c r="BN635" s="9"/>
      <c r="BO635" s="9"/>
      <c r="BP635" s="9"/>
      <c r="BQ635" s="9"/>
      <c r="BR635" s="9"/>
      <c r="BS635" s="9"/>
      <c r="BT635" s="9"/>
      <c r="BU635" s="9"/>
      <c r="BV635" s="9"/>
      <c r="BW635" s="9"/>
    </row>
    <row r="636" spans="1:75" ht="51.75" hidden="1" outlineLevel="2" x14ac:dyDescent="0.25">
      <c r="A636" s="43" t="s">
        <v>728</v>
      </c>
      <c r="B636" s="110" t="s">
        <v>729</v>
      </c>
      <c r="C636" s="45">
        <v>2018</v>
      </c>
      <c r="D636" s="110" t="s">
        <v>73</v>
      </c>
      <c r="E636" s="47">
        <v>0</v>
      </c>
      <c r="F636" s="47">
        <v>0</v>
      </c>
      <c r="G636" s="47">
        <v>0</v>
      </c>
      <c r="H636" s="47">
        <v>0</v>
      </c>
      <c r="I636" s="47">
        <v>0</v>
      </c>
      <c r="J636" s="47">
        <v>0</v>
      </c>
      <c r="K636" s="47">
        <v>0</v>
      </c>
      <c r="L636" s="47">
        <v>0</v>
      </c>
      <c r="M636" s="47">
        <v>2862729.58</v>
      </c>
      <c r="N636" s="47">
        <v>786959.03</v>
      </c>
      <c r="O636" s="47">
        <v>0</v>
      </c>
      <c r="P636" s="47">
        <v>1774181.35</v>
      </c>
      <c r="Q636" s="47">
        <v>0</v>
      </c>
      <c r="R636" s="47">
        <v>0</v>
      </c>
      <c r="S636" s="47">
        <v>0</v>
      </c>
      <c r="T636" s="47">
        <v>0</v>
      </c>
      <c r="U636" s="47">
        <v>0</v>
      </c>
      <c r="V636" s="47">
        <v>0</v>
      </c>
      <c r="W636" s="47">
        <v>0</v>
      </c>
      <c r="X636" s="47">
        <v>0</v>
      </c>
      <c r="Y636" s="48">
        <v>5423869.96</v>
      </c>
      <c r="Z636" s="49">
        <v>0</v>
      </c>
      <c r="AA636" s="50">
        <v>0</v>
      </c>
      <c r="AB636" s="50">
        <v>0</v>
      </c>
      <c r="AC636" s="50">
        <v>0</v>
      </c>
      <c r="AD636" s="50">
        <v>40836.97</v>
      </c>
      <c r="AE636" s="50">
        <v>0</v>
      </c>
      <c r="AF636" s="50">
        <v>0</v>
      </c>
      <c r="AG636" s="49">
        <v>40836.97</v>
      </c>
      <c r="AH636" s="51" t="s">
        <v>74</v>
      </c>
      <c r="AI636" s="51" t="s">
        <v>74</v>
      </c>
      <c r="AJ636" s="51" t="s">
        <v>74</v>
      </c>
      <c r="AK636" s="51" t="s">
        <v>97</v>
      </c>
      <c r="AL636" s="51" t="s">
        <v>74</v>
      </c>
      <c r="AM636" s="51" t="s">
        <v>74</v>
      </c>
      <c r="AN636" s="52">
        <v>0</v>
      </c>
      <c r="AO636" s="52">
        <v>0</v>
      </c>
      <c r="AP636" s="52"/>
      <c r="AQ636" s="52">
        <v>0</v>
      </c>
      <c r="AR636" s="52">
        <v>0</v>
      </c>
      <c r="AS636" s="52">
        <v>0</v>
      </c>
      <c r="AT636" s="53" t="s">
        <v>74</v>
      </c>
      <c r="AU636" s="52">
        <v>191908.15</v>
      </c>
      <c r="AV636" s="52"/>
      <c r="AW636" s="52">
        <v>0</v>
      </c>
      <c r="AX636" s="52"/>
      <c r="AY636" s="52"/>
      <c r="AZ636" s="52">
        <v>0</v>
      </c>
      <c r="BA636" s="52">
        <v>191908.15</v>
      </c>
      <c r="BB636" s="55" t="s">
        <v>733</v>
      </c>
      <c r="BC636" s="51" t="s">
        <v>74</v>
      </c>
      <c r="BD636" s="54" t="s">
        <v>74</v>
      </c>
      <c r="BE636" s="54" t="s">
        <v>74</v>
      </c>
      <c r="BF636" s="54" t="s">
        <v>74</v>
      </c>
      <c r="BG636" s="54" t="s">
        <v>74</v>
      </c>
      <c r="BH636" s="52">
        <v>191908.15</v>
      </c>
      <c r="BI636" s="52">
        <v>5574941.1399999997</v>
      </c>
      <c r="BJ636" s="52">
        <v>5383032.9900000002</v>
      </c>
      <c r="BK636" s="56">
        <v>43101</v>
      </c>
      <c r="BL636" s="57">
        <v>5574941.1399999997</v>
      </c>
      <c r="BM636" s="47">
        <v>0</v>
      </c>
      <c r="BN636" s="9"/>
      <c r="BO636" s="9"/>
      <c r="BP636" s="9"/>
      <c r="BQ636" s="9"/>
      <c r="BR636" s="9"/>
      <c r="BS636" s="9"/>
      <c r="BT636" s="9"/>
      <c r="BU636" s="9"/>
      <c r="BV636" s="9"/>
      <c r="BW636" s="9"/>
    </row>
    <row r="637" spans="1:75" ht="26.25" hidden="1" outlineLevel="2" x14ac:dyDescent="0.25">
      <c r="A637" s="43" t="s">
        <v>728</v>
      </c>
      <c r="B637" s="110" t="s">
        <v>729</v>
      </c>
      <c r="C637" s="45">
        <v>2018</v>
      </c>
      <c r="D637" s="110" t="s">
        <v>75</v>
      </c>
      <c r="E637" s="47">
        <v>0</v>
      </c>
      <c r="F637" s="47">
        <v>0</v>
      </c>
      <c r="G637" s="47">
        <v>0</v>
      </c>
      <c r="H637" s="47">
        <v>0</v>
      </c>
      <c r="I637" s="47">
        <v>0</v>
      </c>
      <c r="J637" s="47">
        <v>0</v>
      </c>
      <c r="K637" s="47">
        <v>0</v>
      </c>
      <c r="L637" s="47">
        <v>0</v>
      </c>
      <c r="M637" s="47">
        <v>1908486.38666667</v>
      </c>
      <c r="N637" s="47">
        <v>524639.35</v>
      </c>
      <c r="O637" s="47">
        <v>0</v>
      </c>
      <c r="P637" s="47">
        <v>1182787.57</v>
      </c>
      <c r="Q637" s="47">
        <v>1807956.65</v>
      </c>
      <c r="R637" s="47">
        <v>0</v>
      </c>
      <c r="S637" s="47">
        <v>0</v>
      </c>
      <c r="T637" s="47">
        <v>0</v>
      </c>
      <c r="U637" s="47">
        <v>0</v>
      </c>
      <c r="V637" s="47">
        <v>0</v>
      </c>
      <c r="W637" s="47">
        <v>0</v>
      </c>
      <c r="X637" s="47">
        <v>0</v>
      </c>
      <c r="Y637" s="48">
        <v>5423869.9566666698</v>
      </c>
      <c r="Z637" s="58">
        <v>13818.47</v>
      </c>
      <c r="AA637" s="50">
        <v>13818.47</v>
      </c>
      <c r="AB637" s="50">
        <v>0</v>
      </c>
      <c r="AC637" s="50">
        <v>0</v>
      </c>
      <c r="AD637" s="50">
        <v>40821.5</v>
      </c>
      <c r="AE637" s="50">
        <v>0</v>
      </c>
      <c r="AF637" s="50">
        <v>0</v>
      </c>
      <c r="AG637" s="49">
        <v>54639.97</v>
      </c>
      <c r="AH637" s="51" t="s">
        <v>104</v>
      </c>
      <c r="AI637" s="51" t="s">
        <v>74</v>
      </c>
      <c r="AJ637" s="51" t="s">
        <v>74</v>
      </c>
      <c r="AK637" s="51" t="s">
        <v>99</v>
      </c>
      <c r="AL637" s="51" t="s">
        <v>74</v>
      </c>
      <c r="AM637" s="51" t="s">
        <v>74</v>
      </c>
      <c r="AN637" s="52">
        <v>0</v>
      </c>
      <c r="AO637" s="52">
        <v>0</v>
      </c>
      <c r="AP637" s="52">
        <v>0</v>
      </c>
      <c r="AQ637" s="52">
        <v>0</v>
      </c>
      <c r="AR637" s="52">
        <v>0</v>
      </c>
      <c r="AS637" s="52">
        <v>0</v>
      </c>
      <c r="AT637" s="53" t="s">
        <v>74</v>
      </c>
      <c r="AU637" s="52">
        <v>0</v>
      </c>
      <c r="AV637" s="52"/>
      <c r="AW637" s="52">
        <v>0</v>
      </c>
      <c r="AX637" s="52"/>
      <c r="AY637" s="52"/>
      <c r="AZ637" s="52">
        <v>0</v>
      </c>
      <c r="BA637" s="52">
        <v>0</v>
      </c>
      <c r="BB637" s="54" t="s">
        <v>74</v>
      </c>
      <c r="BC637" s="53" t="s">
        <v>74</v>
      </c>
      <c r="BD637" s="55" t="s">
        <v>74</v>
      </c>
      <c r="BE637" s="55" t="s">
        <v>74</v>
      </c>
      <c r="BF637" s="55" t="s">
        <v>74</v>
      </c>
      <c r="BG637" s="55" t="s">
        <v>74</v>
      </c>
      <c r="BH637" s="52">
        <v>0</v>
      </c>
      <c r="BI637" s="52">
        <v>5369229.9866666701</v>
      </c>
      <c r="BJ637" s="52">
        <v>5369229.9866666701</v>
      </c>
      <c r="BK637" s="56">
        <v>43132</v>
      </c>
      <c r="BL637" s="57">
        <v>5369229.9900000002</v>
      </c>
      <c r="BM637" s="47">
        <v>0</v>
      </c>
      <c r="BN637" s="9"/>
      <c r="BO637" s="9"/>
      <c r="BP637" s="9"/>
      <c r="BQ637" s="9"/>
      <c r="BR637" s="9"/>
      <c r="BS637" s="9"/>
      <c r="BT637" s="9"/>
      <c r="BU637" s="9"/>
      <c r="BV637" s="9"/>
      <c r="BW637" s="9"/>
    </row>
    <row r="638" spans="1:75" ht="26.25" hidden="1" outlineLevel="2" x14ac:dyDescent="0.25">
      <c r="A638" s="43" t="s">
        <v>728</v>
      </c>
      <c r="B638" s="110" t="s">
        <v>729</v>
      </c>
      <c r="C638" s="45">
        <v>2018</v>
      </c>
      <c r="D638" s="110" t="s">
        <v>77</v>
      </c>
      <c r="E638" s="47">
        <v>0</v>
      </c>
      <c r="F638" s="47">
        <v>0</v>
      </c>
      <c r="G638" s="47">
        <v>0</v>
      </c>
      <c r="H638" s="47">
        <v>0</v>
      </c>
      <c r="I638" s="47">
        <v>0</v>
      </c>
      <c r="J638" s="47">
        <v>0</v>
      </c>
      <c r="K638" s="47">
        <v>0</v>
      </c>
      <c r="L638" s="47">
        <v>0</v>
      </c>
      <c r="M638" s="47">
        <v>0</v>
      </c>
      <c r="N638" s="47">
        <v>0</v>
      </c>
      <c r="O638" s="47">
        <v>0</v>
      </c>
      <c r="P638" s="47">
        <v>0</v>
      </c>
      <c r="Q638" s="47">
        <v>5423869.96</v>
      </c>
      <c r="R638" s="47">
        <v>0</v>
      </c>
      <c r="S638" s="47">
        <v>0</v>
      </c>
      <c r="T638" s="47">
        <v>0</v>
      </c>
      <c r="U638" s="47">
        <v>0</v>
      </c>
      <c r="V638" s="47">
        <v>0</v>
      </c>
      <c r="W638" s="47">
        <v>0</v>
      </c>
      <c r="X638" s="47">
        <v>0</v>
      </c>
      <c r="Y638" s="48">
        <v>5423869.96</v>
      </c>
      <c r="Z638" s="58">
        <v>18460.8</v>
      </c>
      <c r="AA638" s="50">
        <v>18460.8</v>
      </c>
      <c r="AB638" s="50">
        <v>0</v>
      </c>
      <c r="AC638" s="50">
        <v>0</v>
      </c>
      <c r="AD638" s="50">
        <v>39777.31</v>
      </c>
      <c r="AE638" s="50">
        <v>0</v>
      </c>
      <c r="AF638" s="50">
        <v>0</v>
      </c>
      <c r="AG638" s="49">
        <v>58238.11</v>
      </c>
      <c r="AH638" s="51" t="s">
        <v>104</v>
      </c>
      <c r="AI638" s="51" t="s">
        <v>74</v>
      </c>
      <c r="AJ638" s="51" t="s">
        <v>74</v>
      </c>
      <c r="AK638" s="51" t="s">
        <v>102</v>
      </c>
      <c r="AL638" s="51" t="s">
        <v>74</v>
      </c>
      <c r="AM638" s="51" t="s">
        <v>74</v>
      </c>
      <c r="AN638" s="52">
        <v>0</v>
      </c>
      <c r="AO638" s="52">
        <v>0</v>
      </c>
      <c r="AP638" s="52">
        <v>0</v>
      </c>
      <c r="AQ638" s="52">
        <v>0</v>
      </c>
      <c r="AR638" s="52">
        <v>0</v>
      </c>
      <c r="AS638" s="52">
        <v>0</v>
      </c>
      <c r="AT638" s="53" t="s">
        <v>74</v>
      </c>
      <c r="AU638" s="52">
        <v>0</v>
      </c>
      <c r="AV638" s="52"/>
      <c r="AW638" s="52">
        <v>0</v>
      </c>
      <c r="AX638" s="52"/>
      <c r="AY638" s="52"/>
      <c r="AZ638" s="52">
        <v>0</v>
      </c>
      <c r="BA638" s="52">
        <v>0</v>
      </c>
      <c r="BB638" s="54" t="s">
        <v>74</v>
      </c>
      <c r="BC638" s="53" t="s">
        <v>74</v>
      </c>
      <c r="BD638" s="55" t="s">
        <v>74</v>
      </c>
      <c r="BE638" s="55" t="s">
        <v>74</v>
      </c>
      <c r="BF638" s="55" t="s">
        <v>74</v>
      </c>
      <c r="BG638" s="55" t="s">
        <v>74</v>
      </c>
      <c r="BH638" s="52">
        <v>0</v>
      </c>
      <c r="BI638" s="52">
        <v>5365631.8499999996</v>
      </c>
      <c r="BJ638" s="52">
        <v>5365631.8499999996</v>
      </c>
      <c r="BK638" s="56">
        <v>43160</v>
      </c>
      <c r="BL638" s="57">
        <v>5365631.8499999996</v>
      </c>
      <c r="BM638" s="47">
        <v>0</v>
      </c>
      <c r="BN638" s="9"/>
      <c r="BO638" s="9"/>
      <c r="BP638" s="9"/>
      <c r="BQ638" s="9"/>
      <c r="BR638" s="9"/>
      <c r="BS638" s="9"/>
      <c r="BT638" s="9"/>
      <c r="BU638" s="9"/>
      <c r="BV638" s="9"/>
      <c r="BW638" s="9"/>
    </row>
    <row r="639" spans="1:75" ht="26.25" hidden="1" outlineLevel="2" x14ac:dyDescent="0.25">
      <c r="A639" s="43" t="s">
        <v>728</v>
      </c>
      <c r="B639" s="110" t="s">
        <v>729</v>
      </c>
      <c r="C639" s="45">
        <v>2018</v>
      </c>
      <c r="D639" s="110" t="s">
        <v>79</v>
      </c>
      <c r="E639" s="47">
        <v>0</v>
      </c>
      <c r="F639" s="47">
        <v>0</v>
      </c>
      <c r="G639" s="47">
        <v>0</v>
      </c>
      <c r="H639" s="47">
        <v>0</v>
      </c>
      <c r="I639" s="47">
        <v>0</v>
      </c>
      <c r="J639" s="47">
        <v>0</v>
      </c>
      <c r="K639" s="47">
        <v>0</v>
      </c>
      <c r="L639" s="47">
        <v>0</v>
      </c>
      <c r="M639" s="47">
        <v>0</v>
      </c>
      <c r="N639" s="47">
        <v>0</v>
      </c>
      <c r="O639" s="47">
        <v>0</v>
      </c>
      <c r="P639" s="47">
        <v>0</v>
      </c>
      <c r="Q639" s="47">
        <v>5423869.96</v>
      </c>
      <c r="R639" s="47">
        <v>0</v>
      </c>
      <c r="S639" s="47">
        <v>0</v>
      </c>
      <c r="T639" s="47">
        <v>0</v>
      </c>
      <c r="U639" s="47">
        <v>0</v>
      </c>
      <c r="V639" s="47">
        <v>0</v>
      </c>
      <c r="W639" s="47">
        <v>0</v>
      </c>
      <c r="X639" s="47">
        <v>0</v>
      </c>
      <c r="Y639" s="48">
        <v>5423869.96</v>
      </c>
      <c r="Z639" s="58">
        <v>17176.310000000001</v>
      </c>
      <c r="AA639" s="50">
        <v>17176.310000000001</v>
      </c>
      <c r="AB639" s="50">
        <v>0</v>
      </c>
      <c r="AC639" s="50">
        <v>0</v>
      </c>
      <c r="AD639" s="50">
        <v>214328.74</v>
      </c>
      <c r="AE639" s="50">
        <v>0</v>
      </c>
      <c r="AF639" s="50">
        <v>0</v>
      </c>
      <c r="AG639" s="49">
        <v>231505.05</v>
      </c>
      <c r="AH639" s="51" t="s">
        <v>104</v>
      </c>
      <c r="AI639" s="51" t="s">
        <v>74</v>
      </c>
      <c r="AJ639" s="51" t="s">
        <v>74</v>
      </c>
      <c r="AK639" s="51" t="s">
        <v>734</v>
      </c>
      <c r="AL639" s="51" t="s">
        <v>74</v>
      </c>
      <c r="AM639" s="51" t="s">
        <v>74</v>
      </c>
      <c r="AN639" s="52">
        <v>0</v>
      </c>
      <c r="AO639" s="52">
        <v>0</v>
      </c>
      <c r="AP639" s="52">
        <v>0</v>
      </c>
      <c r="AQ639" s="52">
        <v>0</v>
      </c>
      <c r="AR639" s="52">
        <v>0</v>
      </c>
      <c r="AS639" s="52">
        <v>0</v>
      </c>
      <c r="AT639" s="53" t="s">
        <v>74</v>
      </c>
      <c r="AU639" s="52">
        <v>0</v>
      </c>
      <c r="AV639" s="52"/>
      <c r="AW639" s="52">
        <v>0</v>
      </c>
      <c r="AX639" s="52"/>
      <c r="AY639" s="52"/>
      <c r="AZ639" s="52">
        <v>0</v>
      </c>
      <c r="BA639" s="52">
        <v>0</v>
      </c>
      <c r="BB639" s="54" t="s">
        <v>74</v>
      </c>
      <c r="BC639" s="53" t="s">
        <v>74</v>
      </c>
      <c r="BD639" s="55" t="s">
        <v>74</v>
      </c>
      <c r="BE639" s="55" t="s">
        <v>74</v>
      </c>
      <c r="BF639" s="55" t="s">
        <v>74</v>
      </c>
      <c r="BG639" s="55" t="s">
        <v>74</v>
      </c>
      <c r="BH639" s="52">
        <v>0</v>
      </c>
      <c r="BI639" s="52">
        <v>5192364.91</v>
      </c>
      <c r="BJ639" s="52">
        <v>5192364.91</v>
      </c>
      <c r="BK639" s="56">
        <v>43191</v>
      </c>
      <c r="BL639" s="57">
        <v>5192364.91</v>
      </c>
      <c r="BM639" s="47">
        <v>0</v>
      </c>
      <c r="BN639" s="9"/>
      <c r="BO639" s="9"/>
      <c r="BP639" s="9"/>
      <c r="BQ639" s="9"/>
      <c r="BR639" s="9"/>
      <c r="BS639" s="9"/>
      <c r="BT639" s="9"/>
      <c r="BU639" s="9"/>
      <c r="BV639" s="9"/>
      <c r="BW639" s="9"/>
    </row>
    <row r="640" spans="1:75" ht="26.25" hidden="1" outlineLevel="2" x14ac:dyDescent="0.25">
      <c r="A640" s="43" t="s">
        <v>728</v>
      </c>
      <c r="B640" s="110" t="s">
        <v>729</v>
      </c>
      <c r="C640" s="45">
        <v>2018</v>
      </c>
      <c r="D640" s="110" t="s">
        <v>81</v>
      </c>
      <c r="E640" s="47">
        <v>0</v>
      </c>
      <c r="F640" s="47">
        <v>0</v>
      </c>
      <c r="G640" s="47">
        <v>0</v>
      </c>
      <c r="H640" s="47">
        <v>0</v>
      </c>
      <c r="I640" s="47">
        <v>0</v>
      </c>
      <c r="J640" s="47">
        <v>0</v>
      </c>
      <c r="K640" s="47">
        <v>0</v>
      </c>
      <c r="L640" s="47">
        <v>0</v>
      </c>
      <c r="M640" s="47">
        <v>0</v>
      </c>
      <c r="N640" s="47">
        <v>0</v>
      </c>
      <c r="O640" s="47">
        <v>0</v>
      </c>
      <c r="P640" s="47">
        <v>0</v>
      </c>
      <c r="Q640" s="47">
        <v>5423869.96</v>
      </c>
      <c r="R640" s="47">
        <v>0</v>
      </c>
      <c r="S640" s="47">
        <v>0</v>
      </c>
      <c r="T640" s="47">
        <v>0</v>
      </c>
      <c r="U640" s="47">
        <v>0</v>
      </c>
      <c r="V640" s="47">
        <v>0</v>
      </c>
      <c r="W640" s="47">
        <v>0</v>
      </c>
      <c r="X640" s="47">
        <v>0</v>
      </c>
      <c r="Y640" s="48">
        <v>5423869.96</v>
      </c>
      <c r="Z640" s="58">
        <v>13059.14</v>
      </c>
      <c r="AA640" s="50">
        <v>13059.14</v>
      </c>
      <c r="AB640" s="50">
        <v>0</v>
      </c>
      <c r="AC640" s="50">
        <v>0</v>
      </c>
      <c r="AD640" s="50">
        <v>39622.83</v>
      </c>
      <c r="AE640" s="50">
        <v>0</v>
      </c>
      <c r="AF640" s="50">
        <v>0</v>
      </c>
      <c r="AG640" s="49">
        <v>52681.97</v>
      </c>
      <c r="AH640" s="51" t="s">
        <v>104</v>
      </c>
      <c r="AI640" s="51" t="s">
        <v>74</v>
      </c>
      <c r="AJ640" s="51" t="s">
        <v>74</v>
      </c>
      <c r="AK640" s="51" t="s">
        <v>197</v>
      </c>
      <c r="AL640" s="51" t="s">
        <v>74</v>
      </c>
      <c r="AM640" s="51" t="s">
        <v>74</v>
      </c>
      <c r="AN640" s="52">
        <v>0</v>
      </c>
      <c r="AO640" s="52">
        <v>0</v>
      </c>
      <c r="AP640" s="52"/>
      <c r="AQ640" s="52"/>
      <c r="AR640" s="52"/>
      <c r="AS640" s="52">
        <v>0</v>
      </c>
      <c r="AT640" s="53" t="s">
        <v>74</v>
      </c>
      <c r="AU640" s="52">
        <v>331008.34000000003</v>
      </c>
      <c r="AV640" s="52"/>
      <c r="AW640" s="52">
        <v>0</v>
      </c>
      <c r="AX640" s="52"/>
      <c r="AY640" s="52"/>
      <c r="AZ640" s="52">
        <v>0</v>
      </c>
      <c r="BA640" s="52">
        <v>331008.34000000003</v>
      </c>
      <c r="BB640" s="55" t="s">
        <v>735</v>
      </c>
      <c r="BC640" s="51" t="s">
        <v>74</v>
      </c>
      <c r="BD640" s="54" t="s">
        <v>74</v>
      </c>
      <c r="BE640" s="54" t="s">
        <v>74</v>
      </c>
      <c r="BF640" s="54" t="s">
        <v>74</v>
      </c>
      <c r="BG640" s="54" t="s">
        <v>74</v>
      </c>
      <c r="BH640" s="52">
        <v>331008.34000000003</v>
      </c>
      <c r="BI640" s="52">
        <v>5702196.3300000001</v>
      </c>
      <c r="BJ640" s="52">
        <v>5371187.9900000002</v>
      </c>
      <c r="BK640" s="56">
        <v>43221</v>
      </c>
      <c r="BL640" s="57">
        <v>5702196.3300000001</v>
      </c>
      <c r="BM640" s="47">
        <v>0</v>
      </c>
      <c r="BN640" s="9"/>
      <c r="BO640" s="9"/>
      <c r="BP640" s="9"/>
      <c r="BQ640" s="9"/>
      <c r="BR640" s="9"/>
      <c r="BS640" s="9"/>
      <c r="BT640" s="9"/>
      <c r="BU640" s="9"/>
      <c r="BV640" s="9"/>
      <c r="BW640" s="9"/>
    </row>
    <row r="641" spans="1:75" ht="26.25" hidden="1" outlineLevel="2" x14ac:dyDescent="0.25">
      <c r="A641" s="43" t="s">
        <v>728</v>
      </c>
      <c r="B641" s="110" t="s">
        <v>729</v>
      </c>
      <c r="C641" s="45">
        <v>2018</v>
      </c>
      <c r="D641" s="110" t="s">
        <v>83</v>
      </c>
      <c r="E641" s="47">
        <v>0</v>
      </c>
      <c r="F641" s="47">
        <v>0</v>
      </c>
      <c r="G641" s="47">
        <v>0</v>
      </c>
      <c r="H641" s="47">
        <v>0</v>
      </c>
      <c r="I641" s="47">
        <v>0</v>
      </c>
      <c r="J641" s="47">
        <v>0</v>
      </c>
      <c r="K641" s="47">
        <v>0</v>
      </c>
      <c r="L641" s="47">
        <v>0</v>
      </c>
      <c r="M641" s="47">
        <v>0</v>
      </c>
      <c r="N641" s="47">
        <v>0</v>
      </c>
      <c r="O641" s="47">
        <v>0</v>
      </c>
      <c r="P641" s="47">
        <v>0</v>
      </c>
      <c r="Q641" s="47">
        <v>5423869.96</v>
      </c>
      <c r="R641" s="47">
        <v>0</v>
      </c>
      <c r="S641" s="47">
        <v>0</v>
      </c>
      <c r="T641" s="47">
        <v>0</v>
      </c>
      <c r="U641" s="47">
        <v>0</v>
      </c>
      <c r="V641" s="47">
        <v>0</v>
      </c>
      <c r="W641" s="47">
        <v>0</v>
      </c>
      <c r="X641" s="47">
        <v>0</v>
      </c>
      <c r="Y641" s="48">
        <v>5423869.96</v>
      </c>
      <c r="Z641" s="58">
        <v>20520.09</v>
      </c>
      <c r="AA641" s="50">
        <v>20520.09</v>
      </c>
      <c r="AB641" s="50">
        <v>0</v>
      </c>
      <c r="AC641" s="50">
        <v>0</v>
      </c>
      <c r="AD641" s="50">
        <v>63202.73</v>
      </c>
      <c r="AE641" s="50">
        <v>0</v>
      </c>
      <c r="AF641" s="50">
        <v>0</v>
      </c>
      <c r="AG641" s="49">
        <v>83722.820000000007</v>
      </c>
      <c r="AH641" s="51" t="s">
        <v>104</v>
      </c>
      <c r="AI641" s="51" t="s">
        <v>74</v>
      </c>
      <c r="AJ641" s="51" t="s">
        <v>74</v>
      </c>
      <c r="AK641" s="51" t="s">
        <v>112</v>
      </c>
      <c r="AL641" s="51" t="s">
        <v>74</v>
      </c>
      <c r="AM641" s="51" t="s">
        <v>74</v>
      </c>
      <c r="AN641" s="52">
        <v>0</v>
      </c>
      <c r="AO641" s="52">
        <v>0</v>
      </c>
      <c r="AP641" s="52">
        <v>0</v>
      </c>
      <c r="AQ641" s="52">
        <v>0</v>
      </c>
      <c r="AR641" s="52">
        <v>0</v>
      </c>
      <c r="AS641" s="52">
        <v>0</v>
      </c>
      <c r="AT641" s="53" t="s">
        <v>74</v>
      </c>
      <c r="AU641" s="52">
        <v>0</v>
      </c>
      <c r="AV641" s="52"/>
      <c r="AW641" s="52">
        <v>0</v>
      </c>
      <c r="AX641" s="52"/>
      <c r="AY641" s="52"/>
      <c r="AZ641" s="52">
        <v>0</v>
      </c>
      <c r="BA641" s="52">
        <v>0</v>
      </c>
      <c r="BB641" s="54" t="s">
        <v>74</v>
      </c>
      <c r="BC641" s="53" t="s">
        <v>74</v>
      </c>
      <c r="BD641" s="55" t="s">
        <v>74</v>
      </c>
      <c r="BE641" s="55" t="s">
        <v>74</v>
      </c>
      <c r="BF641" s="55" t="s">
        <v>74</v>
      </c>
      <c r="BG641" s="55" t="s">
        <v>74</v>
      </c>
      <c r="BH641" s="52">
        <v>0</v>
      </c>
      <c r="BI641" s="52">
        <v>5340147.1399999997</v>
      </c>
      <c r="BJ641" s="52">
        <v>5340147.1399999997</v>
      </c>
      <c r="BK641" s="56">
        <v>43252</v>
      </c>
      <c r="BL641" s="57">
        <v>5340147.1399999997</v>
      </c>
      <c r="BM641" s="47">
        <v>0</v>
      </c>
      <c r="BN641" s="9"/>
      <c r="BO641" s="9"/>
      <c r="BP641" s="9"/>
      <c r="BQ641" s="9"/>
      <c r="BR641" s="9"/>
      <c r="BS641" s="9"/>
      <c r="BT641" s="9"/>
      <c r="BU641" s="9"/>
      <c r="BV641" s="9"/>
      <c r="BW641" s="9"/>
    </row>
    <row r="642" spans="1:75" ht="26.25" hidden="1" outlineLevel="2" x14ac:dyDescent="0.25">
      <c r="A642" s="43" t="s">
        <v>728</v>
      </c>
      <c r="B642" s="110" t="s">
        <v>729</v>
      </c>
      <c r="C642" s="45">
        <v>2018</v>
      </c>
      <c r="D642" s="110" t="s">
        <v>84</v>
      </c>
      <c r="E642" s="47">
        <v>0</v>
      </c>
      <c r="F642" s="47">
        <v>0</v>
      </c>
      <c r="G642" s="47">
        <v>0</v>
      </c>
      <c r="H642" s="47">
        <v>0</v>
      </c>
      <c r="I642" s="47">
        <v>0</v>
      </c>
      <c r="J642" s="47">
        <v>0</v>
      </c>
      <c r="K642" s="47">
        <v>0</v>
      </c>
      <c r="L642" s="47">
        <v>0</v>
      </c>
      <c r="M642" s="47">
        <v>0</v>
      </c>
      <c r="N642" s="47">
        <v>0</v>
      </c>
      <c r="O642" s="47">
        <v>0</v>
      </c>
      <c r="P642" s="47">
        <v>0</v>
      </c>
      <c r="Q642" s="47">
        <v>5423869.96</v>
      </c>
      <c r="R642" s="47">
        <v>0</v>
      </c>
      <c r="S642" s="47">
        <v>0</v>
      </c>
      <c r="T642" s="47">
        <v>0</v>
      </c>
      <c r="U642" s="47">
        <v>0</v>
      </c>
      <c r="V642" s="47">
        <v>0</v>
      </c>
      <c r="W642" s="47">
        <v>0</v>
      </c>
      <c r="X642" s="47">
        <v>0</v>
      </c>
      <c r="Y642" s="48">
        <v>5423869.96</v>
      </c>
      <c r="Z642" s="58">
        <v>14225.14</v>
      </c>
      <c r="AA642" s="50">
        <v>14225.14</v>
      </c>
      <c r="AB642" s="50">
        <v>0</v>
      </c>
      <c r="AC642" s="50">
        <v>0</v>
      </c>
      <c r="AD642" s="50">
        <v>40310.519999999997</v>
      </c>
      <c r="AE642" s="50">
        <v>0</v>
      </c>
      <c r="AF642" s="50">
        <v>0</v>
      </c>
      <c r="AG642" s="49">
        <v>54535.66</v>
      </c>
      <c r="AH642" s="51" t="s">
        <v>104</v>
      </c>
      <c r="AI642" s="51" t="s">
        <v>74</v>
      </c>
      <c r="AJ642" s="51" t="s">
        <v>74</v>
      </c>
      <c r="AK642" s="51" t="s">
        <v>115</v>
      </c>
      <c r="AL642" s="51" t="s">
        <v>74</v>
      </c>
      <c r="AM642" s="51" t="s">
        <v>74</v>
      </c>
      <c r="AN642" s="52">
        <v>0</v>
      </c>
      <c r="AO642" s="52">
        <v>0</v>
      </c>
      <c r="AP642" s="52">
        <v>0</v>
      </c>
      <c r="AQ642" s="52">
        <v>0</v>
      </c>
      <c r="AR642" s="52">
        <v>0</v>
      </c>
      <c r="AS642" s="52">
        <v>0</v>
      </c>
      <c r="AT642" s="53" t="s">
        <v>74</v>
      </c>
      <c r="AU642" s="52">
        <v>0</v>
      </c>
      <c r="AV642" s="52"/>
      <c r="AW642" s="52">
        <v>0</v>
      </c>
      <c r="AX642" s="52"/>
      <c r="AY642" s="52"/>
      <c r="AZ642" s="52">
        <v>0</v>
      </c>
      <c r="BA642" s="52">
        <v>0</v>
      </c>
      <c r="BB642" s="54" t="s">
        <v>74</v>
      </c>
      <c r="BC642" s="53" t="s">
        <v>74</v>
      </c>
      <c r="BD642" s="55" t="s">
        <v>74</v>
      </c>
      <c r="BE642" s="55" t="s">
        <v>74</v>
      </c>
      <c r="BF642" s="55" t="s">
        <v>74</v>
      </c>
      <c r="BG642" s="55" t="s">
        <v>74</v>
      </c>
      <c r="BH642" s="52">
        <v>0</v>
      </c>
      <c r="BI642" s="52">
        <v>5369334.2999999998</v>
      </c>
      <c r="BJ642" s="52">
        <v>5369334.2999999998</v>
      </c>
      <c r="BK642" s="56">
        <v>43282</v>
      </c>
      <c r="BL642" s="57">
        <v>5369334.2999999998</v>
      </c>
      <c r="BM642" s="47">
        <v>0</v>
      </c>
      <c r="BN642" s="9"/>
      <c r="BO642" s="9"/>
      <c r="BP642" s="9"/>
      <c r="BQ642" s="9"/>
      <c r="BR642" s="9"/>
      <c r="BS642" s="9"/>
      <c r="BT642" s="9"/>
      <c r="BU642" s="9"/>
      <c r="BV642" s="9"/>
      <c r="BW642" s="9"/>
    </row>
    <row r="643" spans="1:75" ht="26.25" hidden="1" outlineLevel="2" x14ac:dyDescent="0.25">
      <c r="A643" s="43" t="s">
        <v>728</v>
      </c>
      <c r="B643" s="110" t="s">
        <v>729</v>
      </c>
      <c r="C643" s="45">
        <v>2018</v>
      </c>
      <c r="D643" s="110" t="s">
        <v>86</v>
      </c>
      <c r="E643" s="47">
        <v>0</v>
      </c>
      <c r="F643" s="47">
        <v>0</v>
      </c>
      <c r="G643" s="47">
        <v>0</v>
      </c>
      <c r="H643" s="47">
        <v>0</v>
      </c>
      <c r="I643" s="47">
        <v>0</v>
      </c>
      <c r="J643" s="47">
        <v>0</v>
      </c>
      <c r="K643" s="47">
        <v>0</v>
      </c>
      <c r="L643" s="47">
        <v>0</v>
      </c>
      <c r="M643" s="47">
        <v>0</v>
      </c>
      <c r="N643" s="47">
        <v>0</v>
      </c>
      <c r="O643" s="47">
        <v>0</v>
      </c>
      <c r="P643" s="47">
        <v>0</v>
      </c>
      <c r="Q643" s="47">
        <v>5423869.96</v>
      </c>
      <c r="R643" s="47">
        <v>0</v>
      </c>
      <c r="S643" s="47">
        <v>0</v>
      </c>
      <c r="T643" s="47">
        <v>0</v>
      </c>
      <c r="U643" s="47">
        <v>0</v>
      </c>
      <c r="V643" s="47">
        <v>0</v>
      </c>
      <c r="W643" s="47">
        <v>0</v>
      </c>
      <c r="X643" s="47">
        <v>0</v>
      </c>
      <c r="Y643" s="48">
        <v>5423869.96</v>
      </c>
      <c r="Z643" s="58">
        <v>13491.42</v>
      </c>
      <c r="AA643" s="50">
        <v>13491.42</v>
      </c>
      <c r="AB643" s="50">
        <v>0</v>
      </c>
      <c r="AC643" s="50">
        <v>0</v>
      </c>
      <c r="AD643" s="50">
        <v>0</v>
      </c>
      <c r="AE643" s="50">
        <v>0</v>
      </c>
      <c r="AF643" s="50">
        <v>0</v>
      </c>
      <c r="AG643" s="49">
        <v>13491.42</v>
      </c>
      <c r="AH643" s="51" t="s">
        <v>104</v>
      </c>
      <c r="AI643" s="51" t="s">
        <v>74</v>
      </c>
      <c r="AJ643" s="51" t="s">
        <v>74</v>
      </c>
      <c r="AK643" s="51"/>
      <c r="AL643" s="51" t="s">
        <v>74</v>
      </c>
      <c r="AM643" s="51" t="s">
        <v>74</v>
      </c>
      <c r="AN643" s="52">
        <v>0</v>
      </c>
      <c r="AO643" s="52">
        <v>0</v>
      </c>
      <c r="AP643" s="52">
        <v>0</v>
      </c>
      <c r="AQ643" s="52">
        <v>0</v>
      </c>
      <c r="AR643" s="52">
        <v>0</v>
      </c>
      <c r="AS643" s="52">
        <v>0</v>
      </c>
      <c r="AT643" s="53" t="s">
        <v>74</v>
      </c>
      <c r="AU643" s="52">
        <v>0</v>
      </c>
      <c r="AV643" s="52"/>
      <c r="AW643" s="52">
        <v>0</v>
      </c>
      <c r="AX643" s="52"/>
      <c r="AY643" s="52"/>
      <c r="AZ643" s="52">
        <v>0</v>
      </c>
      <c r="BA643" s="52">
        <v>0</v>
      </c>
      <c r="BB643" s="54" t="s">
        <v>74</v>
      </c>
      <c r="BC643" s="53" t="s">
        <v>74</v>
      </c>
      <c r="BD643" s="55" t="s">
        <v>74</v>
      </c>
      <c r="BE643" s="55" t="s">
        <v>74</v>
      </c>
      <c r="BF643" s="55" t="s">
        <v>74</v>
      </c>
      <c r="BG643" s="55" t="s">
        <v>74</v>
      </c>
      <c r="BH643" s="52">
        <v>0</v>
      </c>
      <c r="BI643" s="52">
        <v>5410378.54</v>
      </c>
      <c r="BJ643" s="52">
        <v>5410378.54</v>
      </c>
      <c r="BK643" s="56">
        <v>43313</v>
      </c>
      <c r="BL643" s="57">
        <v>5410378.54</v>
      </c>
      <c r="BM643" s="47">
        <v>0</v>
      </c>
      <c r="BN643" s="9"/>
      <c r="BO643" s="9"/>
      <c r="BP643" s="9"/>
      <c r="BQ643" s="9"/>
      <c r="BR643" s="9"/>
      <c r="BS643" s="9"/>
      <c r="BT643" s="9"/>
      <c r="BU643" s="9"/>
      <c r="BV643" s="9"/>
      <c r="BW643" s="9"/>
    </row>
    <row r="644" spans="1:75" ht="26.25" hidden="1" outlineLevel="2" x14ac:dyDescent="0.25">
      <c r="A644" s="43" t="s">
        <v>728</v>
      </c>
      <c r="B644" s="110" t="s">
        <v>729</v>
      </c>
      <c r="C644" s="45">
        <v>2018</v>
      </c>
      <c r="D644" s="110" t="s">
        <v>88</v>
      </c>
      <c r="E644" s="47">
        <v>0</v>
      </c>
      <c r="F644" s="47">
        <v>0</v>
      </c>
      <c r="G644" s="47">
        <v>0</v>
      </c>
      <c r="H644" s="47">
        <v>0</v>
      </c>
      <c r="I644" s="47">
        <v>0</v>
      </c>
      <c r="J644" s="47">
        <v>0</v>
      </c>
      <c r="K644" s="47">
        <v>0</v>
      </c>
      <c r="L644" s="47">
        <v>0</v>
      </c>
      <c r="M644" s="47">
        <v>0</v>
      </c>
      <c r="N644" s="47">
        <v>0</v>
      </c>
      <c r="O644" s="47">
        <v>0</v>
      </c>
      <c r="P644" s="47">
        <v>0</v>
      </c>
      <c r="Q644" s="47">
        <v>5423869.96</v>
      </c>
      <c r="R644" s="47">
        <v>0</v>
      </c>
      <c r="S644" s="47">
        <v>0</v>
      </c>
      <c r="T644" s="47">
        <v>0</v>
      </c>
      <c r="U644" s="47">
        <v>0</v>
      </c>
      <c r="V644" s="47">
        <v>0</v>
      </c>
      <c r="W644" s="47">
        <v>0</v>
      </c>
      <c r="X644" s="47">
        <v>0</v>
      </c>
      <c r="Y644" s="48">
        <v>5423869.96</v>
      </c>
      <c r="Z644" s="58">
        <v>13447.08</v>
      </c>
      <c r="AA644" s="50">
        <v>13447.08</v>
      </c>
      <c r="AB644" s="50">
        <v>0</v>
      </c>
      <c r="AC644" s="50">
        <v>0</v>
      </c>
      <c r="AD644" s="50">
        <v>36547.97</v>
      </c>
      <c r="AE644" s="50">
        <v>0</v>
      </c>
      <c r="AF644" s="50">
        <v>0</v>
      </c>
      <c r="AG644" s="49">
        <v>49995.05</v>
      </c>
      <c r="AH644" s="51" t="s">
        <v>104</v>
      </c>
      <c r="AI644" s="51" t="s">
        <v>74</v>
      </c>
      <c r="AJ644" s="51" t="s">
        <v>74</v>
      </c>
      <c r="AK644" s="51" t="s">
        <v>121</v>
      </c>
      <c r="AL644" s="51" t="s">
        <v>74</v>
      </c>
      <c r="AM644" s="51" t="s">
        <v>74</v>
      </c>
      <c r="AN644" s="52">
        <v>0</v>
      </c>
      <c r="AO644" s="52">
        <v>0</v>
      </c>
      <c r="AP644" s="52">
        <v>0</v>
      </c>
      <c r="AQ644" s="52">
        <v>0</v>
      </c>
      <c r="AR644" s="52">
        <v>0</v>
      </c>
      <c r="AS644" s="52">
        <v>0</v>
      </c>
      <c r="AT644" s="53" t="s">
        <v>74</v>
      </c>
      <c r="AU644" s="52">
        <v>0</v>
      </c>
      <c r="AV644" s="52"/>
      <c r="AW644" s="52">
        <v>0</v>
      </c>
      <c r="AX644" s="52"/>
      <c r="AY644" s="52"/>
      <c r="AZ644" s="52">
        <v>0</v>
      </c>
      <c r="BA644" s="52">
        <v>0</v>
      </c>
      <c r="BB644" s="54" t="s">
        <v>74</v>
      </c>
      <c r="BC644" s="53" t="s">
        <v>74</v>
      </c>
      <c r="BD644" s="55" t="s">
        <v>74</v>
      </c>
      <c r="BE644" s="55" t="s">
        <v>74</v>
      </c>
      <c r="BF644" s="55" t="s">
        <v>74</v>
      </c>
      <c r="BG644" s="55" t="s">
        <v>74</v>
      </c>
      <c r="BH644" s="52">
        <v>0</v>
      </c>
      <c r="BI644" s="52">
        <v>5373874.9100000001</v>
      </c>
      <c r="BJ644" s="52">
        <v>5373874.9100000001</v>
      </c>
      <c r="BK644" s="56">
        <v>43344</v>
      </c>
      <c r="BL644" s="57">
        <v>5373874.9100000001</v>
      </c>
      <c r="BM644" s="47">
        <v>0</v>
      </c>
      <c r="BN644" s="9"/>
      <c r="BO644" s="9"/>
      <c r="BP644" s="9"/>
      <c r="BQ644" s="9"/>
      <c r="BR644" s="9"/>
      <c r="BS644" s="9"/>
      <c r="BT644" s="9"/>
      <c r="BU644" s="9"/>
      <c r="BV644" s="9"/>
      <c r="BW644" s="9"/>
    </row>
    <row r="645" spans="1:75" ht="26.25" hidden="1" outlineLevel="2" x14ac:dyDescent="0.25">
      <c r="A645" s="43" t="s">
        <v>728</v>
      </c>
      <c r="B645" s="110" t="s">
        <v>729</v>
      </c>
      <c r="C645" s="45">
        <v>2018</v>
      </c>
      <c r="D645" s="110" t="s">
        <v>89</v>
      </c>
      <c r="E645" s="47">
        <v>0</v>
      </c>
      <c r="F645" s="47">
        <v>0</v>
      </c>
      <c r="G645" s="47">
        <v>0</v>
      </c>
      <c r="H645" s="47">
        <v>0</v>
      </c>
      <c r="I645" s="47">
        <v>0</v>
      </c>
      <c r="J645" s="47">
        <v>0</v>
      </c>
      <c r="K645" s="47">
        <v>0</v>
      </c>
      <c r="L645" s="47">
        <v>0</v>
      </c>
      <c r="M645" s="47">
        <v>0</v>
      </c>
      <c r="N645" s="47">
        <v>0</v>
      </c>
      <c r="O645" s="47">
        <v>0</v>
      </c>
      <c r="P645" s="47">
        <v>0</v>
      </c>
      <c r="Q645" s="47">
        <v>5423869.96</v>
      </c>
      <c r="R645" s="47">
        <v>0</v>
      </c>
      <c r="S645" s="47">
        <v>0</v>
      </c>
      <c r="T645" s="47">
        <v>0</v>
      </c>
      <c r="U645" s="47">
        <v>0</v>
      </c>
      <c r="V645" s="47">
        <v>0</v>
      </c>
      <c r="W645" s="47">
        <v>0</v>
      </c>
      <c r="X645" s="47">
        <v>0</v>
      </c>
      <c r="Y645" s="48">
        <v>5423869.96</v>
      </c>
      <c r="Z645" s="58">
        <v>13068.62</v>
      </c>
      <c r="AA645" s="50">
        <v>13068.62</v>
      </c>
      <c r="AB645" s="50">
        <v>0</v>
      </c>
      <c r="AC645" s="50">
        <v>0</v>
      </c>
      <c r="AD645" s="50">
        <v>52421.63</v>
      </c>
      <c r="AE645" s="50">
        <v>0</v>
      </c>
      <c r="AF645" s="50">
        <v>0</v>
      </c>
      <c r="AG645" s="49">
        <v>65490.25</v>
      </c>
      <c r="AH645" s="51" t="s">
        <v>104</v>
      </c>
      <c r="AI645" s="51" t="s">
        <v>74</v>
      </c>
      <c r="AJ645" s="51" t="s">
        <v>74</v>
      </c>
      <c r="AK645" s="51" t="s">
        <v>124</v>
      </c>
      <c r="AL645" s="51" t="s">
        <v>74</v>
      </c>
      <c r="AM645" s="51" t="s">
        <v>74</v>
      </c>
      <c r="AN645" s="52">
        <v>0</v>
      </c>
      <c r="AO645" s="52">
        <v>0</v>
      </c>
      <c r="AP645" s="52">
        <v>0</v>
      </c>
      <c r="AQ645" s="52">
        <v>0</v>
      </c>
      <c r="AR645" s="52">
        <v>0</v>
      </c>
      <c r="AS645" s="52">
        <v>0</v>
      </c>
      <c r="AT645" s="53" t="s">
        <v>74</v>
      </c>
      <c r="AU645" s="52">
        <v>0</v>
      </c>
      <c r="AV645" s="52"/>
      <c r="AW645" s="52">
        <v>0</v>
      </c>
      <c r="AX645" s="52"/>
      <c r="AY645" s="52"/>
      <c r="AZ645" s="52">
        <v>0</v>
      </c>
      <c r="BA645" s="52">
        <v>0</v>
      </c>
      <c r="BB645" s="54" t="s">
        <v>74</v>
      </c>
      <c r="BC645" s="53" t="s">
        <v>74</v>
      </c>
      <c r="BD645" s="55" t="s">
        <v>74</v>
      </c>
      <c r="BE645" s="55" t="s">
        <v>74</v>
      </c>
      <c r="BF645" s="55" t="s">
        <v>74</v>
      </c>
      <c r="BG645" s="55" t="s">
        <v>74</v>
      </c>
      <c r="BH645" s="52">
        <v>0</v>
      </c>
      <c r="BI645" s="52">
        <v>5358379.71</v>
      </c>
      <c r="BJ645" s="52">
        <v>5358379.71</v>
      </c>
      <c r="BK645" s="56">
        <v>43374</v>
      </c>
      <c r="BL645" s="57">
        <v>5358379.71</v>
      </c>
      <c r="BM645" s="47">
        <v>0</v>
      </c>
      <c r="BN645" s="9"/>
      <c r="BO645" s="9"/>
      <c r="BP645" s="9"/>
      <c r="BQ645" s="9"/>
      <c r="BR645" s="9"/>
      <c r="BS645" s="9"/>
      <c r="BT645" s="9"/>
      <c r="BU645" s="9"/>
      <c r="BV645" s="9"/>
      <c r="BW645" s="9"/>
    </row>
    <row r="646" spans="1:75" ht="357.75" hidden="1" outlineLevel="2" x14ac:dyDescent="0.25">
      <c r="A646" s="43" t="s">
        <v>728</v>
      </c>
      <c r="B646" s="110" t="s">
        <v>729</v>
      </c>
      <c r="C646" s="45">
        <v>2018</v>
      </c>
      <c r="D646" s="110" t="s">
        <v>90</v>
      </c>
      <c r="E646" s="47">
        <v>0</v>
      </c>
      <c r="F646" s="47">
        <v>0</v>
      </c>
      <c r="G646" s="47">
        <v>0</v>
      </c>
      <c r="H646" s="47">
        <v>0</v>
      </c>
      <c r="I646" s="47">
        <v>0</v>
      </c>
      <c r="J646" s="47">
        <v>0</v>
      </c>
      <c r="K646" s="47">
        <v>0</v>
      </c>
      <c r="L646" s="47">
        <v>0</v>
      </c>
      <c r="M646" s="47">
        <v>0</v>
      </c>
      <c r="N646" s="47">
        <v>0</v>
      </c>
      <c r="O646" s="47">
        <v>0</v>
      </c>
      <c r="P646" s="47">
        <v>0</v>
      </c>
      <c r="Q646" s="47">
        <v>5423869.96</v>
      </c>
      <c r="R646" s="47">
        <v>0</v>
      </c>
      <c r="S646" s="47">
        <v>0</v>
      </c>
      <c r="T646" s="47">
        <v>0</v>
      </c>
      <c r="U646" s="47">
        <v>0</v>
      </c>
      <c r="V646" s="47">
        <v>0</v>
      </c>
      <c r="W646" s="47">
        <v>0</v>
      </c>
      <c r="X646" s="47">
        <v>0</v>
      </c>
      <c r="Y646" s="48">
        <v>5423869.96</v>
      </c>
      <c r="Z646" s="58">
        <v>13078.9</v>
      </c>
      <c r="AA646" s="50">
        <v>13078.9</v>
      </c>
      <c r="AB646" s="50">
        <v>0</v>
      </c>
      <c r="AC646" s="50">
        <v>0</v>
      </c>
      <c r="AD646" s="50">
        <v>57939.15</v>
      </c>
      <c r="AE646" s="50">
        <v>0</v>
      </c>
      <c r="AF646" s="50">
        <v>0</v>
      </c>
      <c r="AG646" s="49">
        <v>71018.05</v>
      </c>
      <c r="AH646" s="51" t="s">
        <v>104</v>
      </c>
      <c r="AI646" s="51" t="s">
        <v>74</v>
      </c>
      <c r="AJ646" s="51" t="s">
        <v>74</v>
      </c>
      <c r="AK646" s="51" t="s">
        <v>126</v>
      </c>
      <c r="AL646" s="51" t="s">
        <v>74</v>
      </c>
      <c r="AM646" s="51" t="s">
        <v>74</v>
      </c>
      <c r="AN646" s="52">
        <v>0</v>
      </c>
      <c r="AO646" s="52">
        <v>0</v>
      </c>
      <c r="AP646" s="52"/>
      <c r="AQ646" s="52"/>
      <c r="AR646" s="52"/>
      <c r="AS646" s="52">
        <v>0</v>
      </c>
      <c r="AT646" s="53" t="s">
        <v>74</v>
      </c>
      <c r="AU646" s="52">
        <v>230477.07</v>
      </c>
      <c r="AV646" s="52"/>
      <c r="AW646" s="52">
        <v>0</v>
      </c>
      <c r="AX646" s="52"/>
      <c r="AY646" s="52"/>
      <c r="AZ646" s="52">
        <v>0</v>
      </c>
      <c r="BA646" s="52">
        <v>230477.07</v>
      </c>
      <c r="BB646" s="55" t="s">
        <v>736</v>
      </c>
      <c r="BC646" s="51" t="s">
        <v>74</v>
      </c>
      <c r="BD646" s="54" t="s">
        <v>74</v>
      </c>
      <c r="BE646" s="54" t="s">
        <v>74</v>
      </c>
      <c r="BF646" s="54" t="s">
        <v>74</v>
      </c>
      <c r="BG646" s="54" t="s">
        <v>74</v>
      </c>
      <c r="BH646" s="52">
        <v>230477.07</v>
      </c>
      <c r="BI646" s="52">
        <v>5583328.9800000004</v>
      </c>
      <c r="BJ646" s="52">
        <v>5352851.91</v>
      </c>
      <c r="BK646" s="56">
        <v>43405</v>
      </c>
      <c r="BL646" s="57">
        <v>5583328.9800000004</v>
      </c>
      <c r="BM646" s="47">
        <v>0</v>
      </c>
      <c r="BN646" s="9"/>
      <c r="BO646" s="9"/>
      <c r="BP646" s="9"/>
      <c r="BQ646" s="9"/>
      <c r="BR646" s="9"/>
      <c r="BS646" s="9"/>
      <c r="BT646" s="9"/>
      <c r="BU646" s="9"/>
      <c r="BV646" s="9"/>
      <c r="BW646" s="9"/>
    </row>
    <row r="647" spans="1:75" ht="294" hidden="1" outlineLevel="2" x14ac:dyDescent="0.25">
      <c r="A647" s="43" t="s">
        <v>728</v>
      </c>
      <c r="B647" s="110" t="s">
        <v>729</v>
      </c>
      <c r="C647" s="45">
        <v>2018</v>
      </c>
      <c r="D647" s="110" t="s">
        <v>93</v>
      </c>
      <c r="E647" s="47">
        <v>0</v>
      </c>
      <c r="F647" s="47">
        <v>0</v>
      </c>
      <c r="G647" s="47">
        <v>0</v>
      </c>
      <c r="H647" s="47">
        <v>0</v>
      </c>
      <c r="I647" s="47">
        <v>0</v>
      </c>
      <c r="J647" s="47">
        <v>0</v>
      </c>
      <c r="K647" s="47">
        <v>0</v>
      </c>
      <c r="L647" s="47">
        <v>0</v>
      </c>
      <c r="M647" s="47">
        <v>0</v>
      </c>
      <c r="N647" s="47">
        <v>0</v>
      </c>
      <c r="O647" s="47">
        <v>0</v>
      </c>
      <c r="P647" s="47">
        <v>0</v>
      </c>
      <c r="Q647" s="47">
        <v>5423869.96</v>
      </c>
      <c r="R647" s="47">
        <v>0</v>
      </c>
      <c r="S647" s="47">
        <v>0</v>
      </c>
      <c r="T647" s="47">
        <v>0</v>
      </c>
      <c r="U647" s="47">
        <v>0</v>
      </c>
      <c r="V647" s="47">
        <v>0</v>
      </c>
      <c r="W647" s="47">
        <v>0</v>
      </c>
      <c r="X647" s="47">
        <v>0</v>
      </c>
      <c r="Y647" s="48">
        <v>5423869.96</v>
      </c>
      <c r="Z647" s="58">
        <v>12963.7</v>
      </c>
      <c r="AA647" s="50">
        <v>12963.7</v>
      </c>
      <c r="AB647" s="50">
        <v>0</v>
      </c>
      <c r="AC647" s="50">
        <v>0</v>
      </c>
      <c r="AD647" s="50">
        <v>107195.17</v>
      </c>
      <c r="AE647" s="112">
        <v>2461134.35</v>
      </c>
      <c r="AF647" s="50">
        <v>0</v>
      </c>
      <c r="AG647" s="49">
        <v>2581293.2200000002</v>
      </c>
      <c r="AH647" s="51" t="s">
        <v>104</v>
      </c>
      <c r="AI647" s="51" t="s">
        <v>74</v>
      </c>
      <c r="AJ647" s="51" t="s">
        <v>74</v>
      </c>
      <c r="AK647" s="51" t="s">
        <v>737</v>
      </c>
      <c r="AL647" s="51" t="s">
        <v>738</v>
      </c>
      <c r="AM647" s="51" t="s">
        <v>74</v>
      </c>
      <c r="AN647" s="52">
        <v>0</v>
      </c>
      <c r="AO647" s="52">
        <v>0</v>
      </c>
      <c r="AP647" s="52">
        <v>0</v>
      </c>
      <c r="AQ647" s="52">
        <v>0</v>
      </c>
      <c r="AR647" s="52">
        <v>0</v>
      </c>
      <c r="AS647" s="52">
        <v>0</v>
      </c>
      <c r="AT647" s="53" t="s">
        <v>74</v>
      </c>
      <c r="AU647" s="52">
        <v>0</v>
      </c>
      <c r="AV647" s="52"/>
      <c r="AW647" s="52">
        <v>0</v>
      </c>
      <c r="AX647" s="52"/>
      <c r="AY647" s="52"/>
      <c r="AZ647" s="52">
        <v>0</v>
      </c>
      <c r="BA647" s="52">
        <v>0</v>
      </c>
      <c r="BB647" s="54" t="s">
        <v>74</v>
      </c>
      <c r="BC647" s="53" t="s">
        <v>74</v>
      </c>
      <c r="BD647" s="55" t="s">
        <v>74</v>
      </c>
      <c r="BE647" s="55" t="s">
        <v>74</v>
      </c>
      <c r="BF647" s="55" t="s">
        <v>74</v>
      </c>
      <c r="BG647" s="55" t="s">
        <v>74</v>
      </c>
      <c r="BH647" s="52">
        <v>0</v>
      </c>
      <c r="BI647" s="52">
        <v>2842576.74</v>
      </c>
      <c r="BJ647" s="52">
        <v>2842576.74</v>
      </c>
      <c r="BK647" s="56">
        <v>43435</v>
      </c>
      <c r="BL647" s="57">
        <v>2842576.74</v>
      </c>
      <c r="BM647" s="47">
        <v>0</v>
      </c>
      <c r="BN647" s="9"/>
      <c r="BO647" s="9"/>
      <c r="BP647" s="9"/>
      <c r="BQ647" s="9"/>
      <c r="BR647" s="9"/>
      <c r="BS647" s="9"/>
      <c r="BT647" s="9"/>
      <c r="BU647" s="9"/>
      <c r="BV647" s="9"/>
      <c r="BW647" s="9"/>
    </row>
    <row r="648" spans="1:75" ht="64.5" hidden="1" outlineLevel="2" x14ac:dyDescent="0.25">
      <c r="A648" s="43" t="s">
        <v>728</v>
      </c>
      <c r="B648" s="110" t="s">
        <v>729</v>
      </c>
      <c r="C648" s="45">
        <v>2019</v>
      </c>
      <c r="D648" s="110" t="s">
        <v>73</v>
      </c>
      <c r="E648" s="47">
        <v>0</v>
      </c>
      <c r="F648" s="47">
        <v>0</v>
      </c>
      <c r="G648" s="47">
        <v>0</v>
      </c>
      <c r="H648" s="47">
        <v>0</v>
      </c>
      <c r="I648" s="47">
        <v>0</v>
      </c>
      <c r="J648" s="47">
        <v>0</v>
      </c>
      <c r="K648" s="47">
        <v>0</v>
      </c>
      <c r="L648" s="47">
        <v>0</v>
      </c>
      <c r="M648" s="47">
        <v>0</v>
      </c>
      <c r="N648" s="47">
        <v>0</v>
      </c>
      <c r="O648" s="47">
        <v>0</v>
      </c>
      <c r="P648" s="47">
        <v>0</v>
      </c>
      <c r="Q648" s="47">
        <v>5423869.96</v>
      </c>
      <c r="R648" s="47">
        <v>0</v>
      </c>
      <c r="S648" s="47">
        <v>0</v>
      </c>
      <c r="T648" s="47">
        <v>0</v>
      </c>
      <c r="U648" s="47">
        <v>0</v>
      </c>
      <c r="V648" s="47">
        <v>0</v>
      </c>
      <c r="W648" s="47">
        <v>0</v>
      </c>
      <c r="X648" s="47">
        <v>0</v>
      </c>
      <c r="Y648" s="48">
        <v>5423869.96</v>
      </c>
      <c r="Z648" s="58">
        <v>13391.62</v>
      </c>
      <c r="AA648" s="50">
        <v>13391.62</v>
      </c>
      <c r="AB648" s="50">
        <v>1188.46</v>
      </c>
      <c r="AC648" s="50">
        <v>0</v>
      </c>
      <c r="AD648" s="50">
        <v>73607.509999999995</v>
      </c>
      <c r="AE648" s="50">
        <v>0</v>
      </c>
      <c r="AF648" s="50">
        <v>0</v>
      </c>
      <c r="AG648" s="49">
        <v>88187.59</v>
      </c>
      <c r="AH648" s="51" t="s">
        <v>104</v>
      </c>
      <c r="AI648" s="51" t="s">
        <v>739</v>
      </c>
      <c r="AJ648" s="51" t="s">
        <v>74</v>
      </c>
      <c r="AK648" s="51" t="s">
        <v>740</v>
      </c>
      <c r="AL648" s="51" t="s">
        <v>74</v>
      </c>
      <c r="AM648" s="51" t="s">
        <v>74</v>
      </c>
      <c r="AN648" s="52">
        <v>0</v>
      </c>
      <c r="AO648" s="52">
        <v>0</v>
      </c>
      <c r="AP648" s="52">
        <v>0</v>
      </c>
      <c r="AQ648" s="52">
        <v>0</v>
      </c>
      <c r="AR648" s="52">
        <v>0</v>
      </c>
      <c r="AS648" s="52">
        <v>0</v>
      </c>
      <c r="AT648" s="53" t="s">
        <v>74</v>
      </c>
      <c r="AU648" s="52">
        <v>0</v>
      </c>
      <c r="AV648" s="52"/>
      <c r="AW648" s="52">
        <v>0</v>
      </c>
      <c r="AX648" s="52"/>
      <c r="AY648" s="52"/>
      <c r="AZ648" s="52">
        <v>0</v>
      </c>
      <c r="BA648" s="52">
        <v>0</v>
      </c>
      <c r="BB648" s="54" t="s">
        <v>74</v>
      </c>
      <c r="BC648" s="53" t="s">
        <v>74</v>
      </c>
      <c r="BD648" s="55" t="s">
        <v>74</v>
      </c>
      <c r="BE648" s="55" t="s">
        <v>74</v>
      </c>
      <c r="BF648" s="55" t="s">
        <v>74</v>
      </c>
      <c r="BG648" s="55" t="s">
        <v>74</v>
      </c>
      <c r="BH648" s="52">
        <v>0</v>
      </c>
      <c r="BI648" s="52">
        <v>5335682.37</v>
      </c>
      <c r="BJ648" s="52">
        <v>5335682.37</v>
      </c>
      <c r="BK648" s="56">
        <v>43466</v>
      </c>
      <c r="BL648" s="57">
        <v>5335682.37</v>
      </c>
      <c r="BM648" s="47">
        <v>0</v>
      </c>
      <c r="BN648" s="9"/>
      <c r="BO648" s="9"/>
      <c r="BP648" s="9"/>
      <c r="BQ648" s="9"/>
      <c r="BR648" s="9"/>
      <c r="BS648" s="9"/>
      <c r="BT648" s="9"/>
      <c r="BU648" s="9"/>
      <c r="BV648" s="9"/>
      <c r="BW648" s="9"/>
    </row>
    <row r="649" spans="1:75" ht="64.5" hidden="1" outlineLevel="2" x14ac:dyDescent="0.25">
      <c r="A649" s="43" t="s">
        <v>728</v>
      </c>
      <c r="B649" s="110" t="s">
        <v>729</v>
      </c>
      <c r="C649" s="45">
        <v>2019</v>
      </c>
      <c r="D649" s="110" t="s">
        <v>75</v>
      </c>
      <c r="E649" s="47">
        <v>0</v>
      </c>
      <c r="F649" s="47">
        <v>0</v>
      </c>
      <c r="G649" s="47">
        <v>0</v>
      </c>
      <c r="H649" s="47">
        <v>0</v>
      </c>
      <c r="I649" s="47">
        <v>0</v>
      </c>
      <c r="J649" s="47">
        <v>0</v>
      </c>
      <c r="K649" s="47">
        <v>0</v>
      </c>
      <c r="L649" s="47">
        <v>0</v>
      </c>
      <c r="M649" s="47">
        <v>0</v>
      </c>
      <c r="N649" s="47">
        <v>0</v>
      </c>
      <c r="O649" s="47">
        <v>0</v>
      </c>
      <c r="P649" s="47">
        <v>0</v>
      </c>
      <c r="Q649" s="47">
        <v>3615913.31</v>
      </c>
      <c r="R649" s="47">
        <v>1807956.65</v>
      </c>
      <c r="S649" s="47">
        <v>0</v>
      </c>
      <c r="T649" s="47">
        <v>0</v>
      </c>
      <c r="U649" s="47">
        <v>0</v>
      </c>
      <c r="V649" s="47">
        <v>0</v>
      </c>
      <c r="W649" s="47">
        <v>0</v>
      </c>
      <c r="X649" s="47">
        <v>0</v>
      </c>
      <c r="Y649" s="48">
        <v>5423869.96</v>
      </c>
      <c r="Z649" s="58">
        <v>14580.08</v>
      </c>
      <c r="AA649" s="50">
        <v>13391.62</v>
      </c>
      <c r="AB649" s="50">
        <v>0</v>
      </c>
      <c r="AC649" s="50">
        <v>0</v>
      </c>
      <c r="AD649" s="50">
        <v>0</v>
      </c>
      <c r="AE649" s="50">
        <v>0</v>
      </c>
      <c r="AF649" s="50">
        <v>0</v>
      </c>
      <c r="AG649" s="49">
        <v>13391.62</v>
      </c>
      <c r="AH649" s="51" t="s">
        <v>741</v>
      </c>
      <c r="AI649" s="51" t="s">
        <v>74</v>
      </c>
      <c r="AJ649" s="51" t="s">
        <v>74</v>
      </c>
      <c r="AK649" s="51"/>
      <c r="AL649" s="51" t="s">
        <v>74</v>
      </c>
      <c r="AM649" s="51" t="s">
        <v>74</v>
      </c>
      <c r="AN649" s="52">
        <v>0</v>
      </c>
      <c r="AO649" s="52">
        <v>0</v>
      </c>
      <c r="AP649" s="52">
        <v>0</v>
      </c>
      <c r="AQ649" s="52">
        <v>0</v>
      </c>
      <c r="AR649" s="52">
        <v>0</v>
      </c>
      <c r="AS649" s="52">
        <v>0</v>
      </c>
      <c r="AT649" s="53" t="s">
        <v>74</v>
      </c>
      <c r="AU649" s="52">
        <v>0</v>
      </c>
      <c r="AV649" s="52"/>
      <c r="AW649" s="52">
        <v>0</v>
      </c>
      <c r="AX649" s="52"/>
      <c r="AY649" s="52"/>
      <c r="AZ649" s="52">
        <v>0</v>
      </c>
      <c r="BA649" s="52">
        <v>0</v>
      </c>
      <c r="BB649" s="54" t="s">
        <v>74</v>
      </c>
      <c r="BC649" s="53" t="s">
        <v>74</v>
      </c>
      <c r="BD649" s="55" t="s">
        <v>74</v>
      </c>
      <c r="BE649" s="55" t="s">
        <v>74</v>
      </c>
      <c r="BF649" s="55" t="s">
        <v>74</v>
      </c>
      <c r="BG649" s="55" t="s">
        <v>74</v>
      </c>
      <c r="BH649" s="52">
        <v>0</v>
      </c>
      <c r="BI649" s="52">
        <v>5410478.3399999999</v>
      </c>
      <c r="BJ649" s="52">
        <v>5410478.3399999999</v>
      </c>
      <c r="BK649" s="56">
        <v>43497</v>
      </c>
      <c r="BL649" s="57">
        <v>5410478.3399999999</v>
      </c>
      <c r="BM649" s="47">
        <v>0</v>
      </c>
      <c r="BN649" s="9"/>
      <c r="BO649" s="9"/>
      <c r="BP649" s="9"/>
      <c r="BQ649" s="9"/>
      <c r="BR649" s="9"/>
      <c r="BS649" s="9"/>
      <c r="BT649" s="9"/>
      <c r="BU649" s="9"/>
      <c r="BV649" s="9"/>
      <c r="BW649" s="9"/>
    </row>
    <row r="650" spans="1:75" ht="64.5" hidden="1" outlineLevel="2" x14ac:dyDescent="0.25">
      <c r="A650" s="43" t="s">
        <v>728</v>
      </c>
      <c r="B650" s="110" t="s">
        <v>729</v>
      </c>
      <c r="C650" s="45">
        <v>2019</v>
      </c>
      <c r="D650" s="110" t="s">
        <v>77</v>
      </c>
      <c r="E650" s="47">
        <v>0</v>
      </c>
      <c r="F650" s="47">
        <v>0</v>
      </c>
      <c r="G650" s="47">
        <v>0</v>
      </c>
      <c r="H650" s="47">
        <v>0</v>
      </c>
      <c r="I650" s="47">
        <v>0</v>
      </c>
      <c r="J650" s="47">
        <v>0</v>
      </c>
      <c r="K650" s="47">
        <v>0</v>
      </c>
      <c r="L650" s="47">
        <v>0</v>
      </c>
      <c r="M650" s="47">
        <v>0</v>
      </c>
      <c r="N650" s="47">
        <v>0</v>
      </c>
      <c r="O650" s="47">
        <v>0</v>
      </c>
      <c r="P650" s="47">
        <v>0</v>
      </c>
      <c r="Q650" s="47">
        <v>0</v>
      </c>
      <c r="R650" s="47">
        <v>5423869.96</v>
      </c>
      <c r="S650" s="47">
        <v>0</v>
      </c>
      <c r="T650" s="47">
        <v>0</v>
      </c>
      <c r="U650" s="47">
        <v>0</v>
      </c>
      <c r="V650" s="47">
        <v>0</v>
      </c>
      <c r="W650" s="47">
        <v>0</v>
      </c>
      <c r="X650" s="47">
        <v>0</v>
      </c>
      <c r="Y650" s="48">
        <v>5423869.96</v>
      </c>
      <c r="Z650" s="58">
        <v>19617.82</v>
      </c>
      <c r="AA650" s="50">
        <v>13391.62</v>
      </c>
      <c r="AB650" s="50">
        <v>0</v>
      </c>
      <c r="AC650" s="50">
        <v>0</v>
      </c>
      <c r="AD650" s="50">
        <v>0</v>
      </c>
      <c r="AE650" s="50">
        <v>0</v>
      </c>
      <c r="AF650" s="50">
        <v>0</v>
      </c>
      <c r="AG650" s="49">
        <v>13391.62</v>
      </c>
      <c r="AH650" s="51" t="s">
        <v>742</v>
      </c>
      <c r="AI650" s="51" t="s">
        <v>74</v>
      </c>
      <c r="AJ650" s="51" t="s">
        <v>74</v>
      </c>
      <c r="AK650" s="51" t="s">
        <v>74</v>
      </c>
      <c r="AL650" s="51" t="s">
        <v>74</v>
      </c>
      <c r="AM650" s="51" t="s">
        <v>74</v>
      </c>
      <c r="AN650" s="52">
        <v>0</v>
      </c>
      <c r="AO650" s="52">
        <v>0</v>
      </c>
      <c r="AP650" s="52">
        <v>0</v>
      </c>
      <c r="AQ650" s="52">
        <v>0</v>
      </c>
      <c r="AR650" s="52">
        <v>0</v>
      </c>
      <c r="AS650" s="52">
        <v>0</v>
      </c>
      <c r="AT650" s="53" t="s">
        <v>74</v>
      </c>
      <c r="AU650" s="52">
        <v>0</v>
      </c>
      <c r="AV650" s="52"/>
      <c r="AW650" s="52">
        <v>0</v>
      </c>
      <c r="AX650" s="52"/>
      <c r="AY650" s="52"/>
      <c r="AZ650" s="52">
        <v>0</v>
      </c>
      <c r="BA650" s="52">
        <v>0</v>
      </c>
      <c r="BB650" s="54" t="s">
        <v>74</v>
      </c>
      <c r="BC650" s="53" t="s">
        <v>74</v>
      </c>
      <c r="BD650" s="55" t="s">
        <v>74</v>
      </c>
      <c r="BE650" s="55" t="s">
        <v>74</v>
      </c>
      <c r="BF650" s="55" t="s">
        <v>74</v>
      </c>
      <c r="BG650" s="55" t="s">
        <v>74</v>
      </c>
      <c r="BH650" s="52">
        <v>0</v>
      </c>
      <c r="BI650" s="52">
        <v>5410478.3399999999</v>
      </c>
      <c r="BJ650" s="52">
        <v>5410478.3399999999</v>
      </c>
      <c r="BK650" s="56">
        <v>43525</v>
      </c>
      <c r="BL650" s="57">
        <v>5410478.3399999999</v>
      </c>
      <c r="BM650" s="47">
        <v>0</v>
      </c>
      <c r="BN650" s="9"/>
      <c r="BO650" s="9"/>
      <c r="BP650" s="9"/>
      <c r="BQ650" s="9"/>
      <c r="BR650" s="9"/>
      <c r="BS650" s="9"/>
      <c r="BT650" s="9"/>
      <c r="BU650" s="9"/>
      <c r="BV650" s="9"/>
      <c r="BW650" s="9"/>
    </row>
    <row r="651" spans="1:75" ht="64.5" hidden="1" outlineLevel="2" x14ac:dyDescent="0.25">
      <c r="A651" s="43" t="s">
        <v>728</v>
      </c>
      <c r="B651" s="110" t="s">
        <v>729</v>
      </c>
      <c r="C651" s="45">
        <v>2019</v>
      </c>
      <c r="D651" s="110" t="s">
        <v>79</v>
      </c>
      <c r="E651" s="47">
        <v>0</v>
      </c>
      <c r="F651" s="47">
        <v>0</v>
      </c>
      <c r="G651" s="47">
        <v>0</v>
      </c>
      <c r="H651" s="47">
        <v>0</v>
      </c>
      <c r="I651" s="47">
        <v>0</v>
      </c>
      <c r="J651" s="47">
        <v>0</v>
      </c>
      <c r="K651" s="47">
        <v>0</v>
      </c>
      <c r="L651" s="47">
        <v>0</v>
      </c>
      <c r="M651" s="47">
        <v>0</v>
      </c>
      <c r="N651" s="47">
        <v>0</v>
      </c>
      <c r="O651" s="47">
        <v>0</v>
      </c>
      <c r="P651" s="47">
        <v>0</v>
      </c>
      <c r="Q651" s="47">
        <v>0</v>
      </c>
      <c r="R651" s="47">
        <v>5423869.96</v>
      </c>
      <c r="S651" s="47">
        <v>0</v>
      </c>
      <c r="T651" s="47">
        <v>0</v>
      </c>
      <c r="U651" s="47">
        <v>0</v>
      </c>
      <c r="V651" s="47">
        <v>0</v>
      </c>
      <c r="W651" s="47">
        <v>0</v>
      </c>
      <c r="X651" s="47">
        <v>0</v>
      </c>
      <c r="Y651" s="48">
        <v>5423869.96</v>
      </c>
      <c r="Z651" s="58">
        <v>14455.2</v>
      </c>
      <c r="AA651" s="50">
        <v>13391.62</v>
      </c>
      <c r="AB651" s="50">
        <v>6226.2</v>
      </c>
      <c r="AC651" s="50">
        <v>0</v>
      </c>
      <c r="AD651" s="50">
        <v>61480.959999999999</v>
      </c>
      <c r="AE651" s="50">
        <v>0</v>
      </c>
      <c r="AF651" s="50">
        <v>0</v>
      </c>
      <c r="AG651" s="49">
        <v>81098.78</v>
      </c>
      <c r="AH651" s="51" t="s">
        <v>743</v>
      </c>
      <c r="AI651" s="51" t="s">
        <v>744</v>
      </c>
      <c r="AJ651" s="51" t="s">
        <v>74</v>
      </c>
      <c r="AK651" s="51" t="s">
        <v>259</v>
      </c>
      <c r="AL651" s="51" t="s">
        <v>74</v>
      </c>
      <c r="AM651" s="51" t="s">
        <v>74</v>
      </c>
      <c r="AN651" s="52">
        <v>0</v>
      </c>
      <c r="AO651" s="52">
        <v>0</v>
      </c>
      <c r="AP651" s="52">
        <v>0</v>
      </c>
      <c r="AQ651" s="52">
        <v>0</v>
      </c>
      <c r="AR651" s="52">
        <v>0</v>
      </c>
      <c r="AS651" s="52">
        <v>0</v>
      </c>
      <c r="AT651" s="53" t="s">
        <v>74</v>
      </c>
      <c r="AU651" s="52">
        <v>0</v>
      </c>
      <c r="AV651" s="52"/>
      <c r="AW651" s="52">
        <v>0</v>
      </c>
      <c r="AX651" s="52"/>
      <c r="AY651" s="52"/>
      <c r="AZ651" s="52">
        <v>0</v>
      </c>
      <c r="BA651" s="52">
        <v>0</v>
      </c>
      <c r="BB651" s="54" t="s">
        <v>74</v>
      </c>
      <c r="BC651" s="53" t="s">
        <v>74</v>
      </c>
      <c r="BD651" s="55" t="s">
        <v>74</v>
      </c>
      <c r="BE651" s="55" t="s">
        <v>74</v>
      </c>
      <c r="BF651" s="55" t="s">
        <v>74</v>
      </c>
      <c r="BG651" s="55" t="s">
        <v>74</v>
      </c>
      <c r="BH651" s="52">
        <v>0</v>
      </c>
      <c r="BI651" s="52">
        <v>5342771.18</v>
      </c>
      <c r="BJ651" s="52">
        <v>5342771.18</v>
      </c>
      <c r="BK651" s="56">
        <v>43556</v>
      </c>
      <c r="BL651" s="57">
        <v>5342771.18</v>
      </c>
      <c r="BM651" s="47">
        <v>0</v>
      </c>
      <c r="BN651" s="9"/>
      <c r="BO651" s="9"/>
      <c r="BP651" s="9"/>
      <c r="BQ651" s="9"/>
      <c r="BR651" s="9"/>
      <c r="BS651" s="9"/>
      <c r="BT651" s="9"/>
      <c r="BU651" s="9"/>
      <c r="BV651" s="9"/>
      <c r="BW651" s="9"/>
    </row>
    <row r="652" spans="1:75" ht="115.5" hidden="1" outlineLevel="2" x14ac:dyDescent="0.25">
      <c r="A652" s="43" t="s">
        <v>728</v>
      </c>
      <c r="B652" s="110" t="s">
        <v>729</v>
      </c>
      <c r="C652" s="45">
        <v>2019</v>
      </c>
      <c r="D652" s="110" t="s">
        <v>81</v>
      </c>
      <c r="E652" s="47">
        <v>0</v>
      </c>
      <c r="F652" s="47">
        <v>0</v>
      </c>
      <c r="G652" s="47">
        <v>0</v>
      </c>
      <c r="H652" s="47">
        <v>0</v>
      </c>
      <c r="I652" s="47">
        <v>0</v>
      </c>
      <c r="J652" s="47">
        <v>0</v>
      </c>
      <c r="K652" s="47">
        <v>0</v>
      </c>
      <c r="L652" s="47">
        <v>0</v>
      </c>
      <c r="M652" s="47">
        <v>0</v>
      </c>
      <c r="N652" s="47">
        <v>0</v>
      </c>
      <c r="O652" s="47">
        <v>0</v>
      </c>
      <c r="P652" s="47">
        <v>0</v>
      </c>
      <c r="Q652" s="47">
        <v>0</v>
      </c>
      <c r="R652" s="47">
        <v>3615913.31</v>
      </c>
      <c r="S652" s="47">
        <v>1807956.65</v>
      </c>
      <c r="T652" s="47">
        <v>0</v>
      </c>
      <c r="U652" s="47">
        <v>0</v>
      </c>
      <c r="V652" s="47">
        <v>0</v>
      </c>
      <c r="W652" s="47">
        <v>0</v>
      </c>
      <c r="X652" s="47">
        <v>0</v>
      </c>
      <c r="Y652" s="48">
        <v>5423869.96</v>
      </c>
      <c r="Z652" s="58">
        <v>16434.12</v>
      </c>
      <c r="AA652" s="50">
        <f>13391.62+3042.5</f>
        <v>16434.120000000003</v>
      </c>
      <c r="AB652" s="189">
        <v>1063.58</v>
      </c>
      <c r="AC652" s="50">
        <v>0</v>
      </c>
      <c r="AD652" s="50">
        <v>163139.63</v>
      </c>
      <c r="AE652" s="50">
        <v>0</v>
      </c>
      <c r="AF652" s="50">
        <v>0</v>
      </c>
      <c r="AG652" s="49">
        <v>180637.33</v>
      </c>
      <c r="AH652" s="51" t="s">
        <v>745</v>
      </c>
      <c r="AI652" s="51" t="s">
        <v>746</v>
      </c>
      <c r="AJ652" s="51" t="s">
        <v>74</v>
      </c>
      <c r="AK652" s="51" t="s">
        <v>747</v>
      </c>
      <c r="AL652" s="51" t="s">
        <v>74</v>
      </c>
      <c r="AM652" s="51" t="s">
        <v>74</v>
      </c>
      <c r="AN652" s="52"/>
      <c r="AO652" s="52">
        <v>0</v>
      </c>
      <c r="AP652" s="52"/>
      <c r="AQ652" s="52"/>
      <c r="AR652" s="52"/>
      <c r="AS652" s="52">
        <v>0</v>
      </c>
      <c r="AT652" s="53" t="s">
        <v>74</v>
      </c>
      <c r="AU652" s="52">
        <v>17494.759999999998</v>
      </c>
      <c r="AV652" s="52"/>
      <c r="AW652" s="52">
        <v>0</v>
      </c>
      <c r="AX652" s="52"/>
      <c r="AY652" s="52"/>
      <c r="AZ652" s="52">
        <v>0</v>
      </c>
      <c r="BA652" s="52">
        <v>17494.759999999998</v>
      </c>
      <c r="BB652" s="55" t="s">
        <v>748</v>
      </c>
      <c r="BC652" s="51" t="s">
        <v>74</v>
      </c>
      <c r="BD652" s="54" t="s">
        <v>74</v>
      </c>
      <c r="BE652" s="54" t="s">
        <v>74</v>
      </c>
      <c r="BF652" s="54" t="s">
        <v>74</v>
      </c>
      <c r="BG652" s="54" t="s">
        <v>74</v>
      </c>
      <c r="BH652" s="52">
        <v>17494.759999999998</v>
      </c>
      <c r="BI652" s="52">
        <v>5260727.3899999997</v>
      </c>
      <c r="BJ652" s="52">
        <v>5243232.63</v>
      </c>
      <c r="BK652" s="56">
        <v>43586</v>
      </c>
      <c r="BL652" s="57">
        <v>5260727.3899999997</v>
      </c>
      <c r="BM652" s="47">
        <v>0</v>
      </c>
      <c r="BN652" s="9"/>
      <c r="BO652" s="9"/>
      <c r="BP652" s="9"/>
      <c r="BQ652" s="9"/>
      <c r="BR652" s="9"/>
      <c r="BS652" s="9"/>
      <c r="BT652" s="9"/>
      <c r="BU652" s="9"/>
      <c r="BV652" s="9"/>
      <c r="BW652" s="9"/>
    </row>
    <row r="653" spans="1:75" ht="26.25" hidden="1" outlineLevel="2" x14ac:dyDescent="0.25">
      <c r="A653" s="43" t="s">
        <v>728</v>
      </c>
      <c r="B653" s="110" t="s">
        <v>729</v>
      </c>
      <c r="C653" s="45">
        <v>2019</v>
      </c>
      <c r="D653" s="110" t="s">
        <v>83</v>
      </c>
      <c r="E653" s="47">
        <v>0</v>
      </c>
      <c r="F653" s="47">
        <v>0</v>
      </c>
      <c r="G653" s="47">
        <v>0</v>
      </c>
      <c r="H653" s="47">
        <v>0</v>
      </c>
      <c r="I653" s="47">
        <v>0</v>
      </c>
      <c r="J653" s="47">
        <v>0</v>
      </c>
      <c r="K653" s="47">
        <v>0</v>
      </c>
      <c r="L653" s="47">
        <v>0</v>
      </c>
      <c r="M653" s="47">
        <v>0</v>
      </c>
      <c r="N653" s="47">
        <v>0</v>
      </c>
      <c r="O653" s="47">
        <v>0</v>
      </c>
      <c r="P653" s="47">
        <v>0</v>
      </c>
      <c r="Q653" s="47">
        <v>0</v>
      </c>
      <c r="R653" s="47">
        <v>0</v>
      </c>
      <c r="S653" s="47">
        <v>5423869.96</v>
      </c>
      <c r="T653" s="47">
        <v>0</v>
      </c>
      <c r="U653" s="47">
        <v>0</v>
      </c>
      <c r="V653" s="47">
        <v>0</v>
      </c>
      <c r="W653" s="47">
        <v>0</v>
      </c>
      <c r="X653" s="47">
        <v>0</v>
      </c>
      <c r="Y653" s="48">
        <v>5423869.96</v>
      </c>
      <c r="Z653" s="58">
        <v>12985.87</v>
      </c>
      <c r="AA653" s="50">
        <v>12985.87</v>
      </c>
      <c r="AB653" s="50">
        <v>0</v>
      </c>
      <c r="AC653" s="50">
        <v>0</v>
      </c>
      <c r="AD653" s="50">
        <v>0</v>
      </c>
      <c r="AE653" s="50">
        <v>0</v>
      </c>
      <c r="AF653" s="50">
        <v>0</v>
      </c>
      <c r="AG653" s="49">
        <v>12985.87</v>
      </c>
      <c r="AH653" s="51" t="s">
        <v>104</v>
      </c>
      <c r="AI653" s="51" t="s">
        <v>74</v>
      </c>
      <c r="AJ653" s="51" t="s">
        <v>74</v>
      </c>
      <c r="AK653" s="51" t="s">
        <v>74</v>
      </c>
      <c r="AL653" s="51" t="s">
        <v>74</v>
      </c>
      <c r="AM653" s="51" t="s">
        <v>74</v>
      </c>
      <c r="AN653" s="52">
        <v>0</v>
      </c>
      <c r="AO653" s="52">
        <v>0</v>
      </c>
      <c r="AP653" s="52">
        <v>0</v>
      </c>
      <c r="AQ653" s="52">
        <v>0</v>
      </c>
      <c r="AR653" s="52">
        <v>0</v>
      </c>
      <c r="AS653" s="52">
        <v>0</v>
      </c>
      <c r="AT653" s="53" t="s">
        <v>74</v>
      </c>
      <c r="AU653" s="52">
        <v>0</v>
      </c>
      <c r="AV653" s="52"/>
      <c r="AW653" s="52">
        <v>0</v>
      </c>
      <c r="AX653" s="52"/>
      <c r="AY653" s="52"/>
      <c r="AZ653" s="52">
        <v>0</v>
      </c>
      <c r="BA653" s="52">
        <v>0</v>
      </c>
      <c r="BB653" s="54" t="s">
        <v>74</v>
      </c>
      <c r="BC653" s="53" t="s">
        <v>74</v>
      </c>
      <c r="BD653" s="55" t="s">
        <v>74</v>
      </c>
      <c r="BE653" s="55" t="s">
        <v>74</v>
      </c>
      <c r="BF653" s="55" t="s">
        <v>74</v>
      </c>
      <c r="BG653" s="55" t="s">
        <v>74</v>
      </c>
      <c r="BH653" s="52">
        <v>0</v>
      </c>
      <c r="BI653" s="52">
        <v>5410884.0899999999</v>
      </c>
      <c r="BJ653" s="52">
        <v>5410884.0899999999</v>
      </c>
      <c r="BK653" s="56">
        <v>43617</v>
      </c>
      <c r="BL653" s="57">
        <v>5410884.0899999999</v>
      </c>
      <c r="BM653" s="47">
        <v>0</v>
      </c>
      <c r="BN653" s="9"/>
      <c r="BO653" s="9"/>
      <c r="BP653" s="9"/>
      <c r="BQ653" s="9"/>
      <c r="BR653" s="9"/>
      <c r="BS653" s="9"/>
      <c r="BT653" s="9"/>
      <c r="BU653" s="9"/>
      <c r="BV653" s="9"/>
      <c r="BW653" s="9"/>
    </row>
    <row r="654" spans="1:75" ht="26.25" hidden="1" outlineLevel="2" x14ac:dyDescent="0.25">
      <c r="A654" s="43" t="s">
        <v>728</v>
      </c>
      <c r="B654" s="110" t="s">
        <v>729</v>
      </c>
      <c r="C654" s="45">
        <v>2019</v>
      </c>
      <c r="D654" s="110" t="s">
        <v>84</v>
      </c>
      <c r="E654" s="47">
        <v>0</v>
      </c>
      <c r="F654" s="47">
        <v>0</v>
      </c>
      <c r="G654" s="47">
        <v>0</v>
      </c>
      <c r="H654" s="47">
        <v>0</v>
      </c>
      <c r="I654" s="47">
        <v>0</v>
      </c>
      <c r="J654" s="47">
        <v>0</v>
      </c>
      <c r="K654" s="47">
        <v>0</v>
      </c>
      <c r="L654" s="47">
        <v>0</v>
      </c>
      <c r="M654" s="47">
        <v>0</v>
      </c>
      <c r="N654" s="47">
        <v>0</v>
      </c>
      <c r="O654" s="47">
        <v>0</v>
      </c>
      <c r="P654" s="47">
        <v>0</v>
      </c>
      <c r="Q654" s="47">
        <v>0</v>
      </c>
      <c r="R654" s="47">
        <v>0</v>
      </c>
      <c r="S654" s="47">
        <v>5423869.96</v>
      </c>
      <c r="T654" s="47">
        <v>0</v>
      </c>
      <c r="U654" s="47">
        <v>0</v>
      </c>
      <c r="V654" s="47">
        <v>0</v>
      </c>
      <c r="W654" s="47">
        <v>0</v>
      </c>
      <c r="X654" s="47">
        <v>0</v>
      </c>
      <c r="Y654" s="48">
        <v>5423869.96</v>
      </c>
      <c r="Z654" s="58">
        <v>7378.93</v>
      </c>
      <c r="AA654" s="50">
        <v>7378.93</v>
      </c>
      <c r="AB654" s="50">
        <v>0</v>
      </c>
      <c r="AC654" s="50">
        <v>0</v>
      </c>
      <c r="AD654" s="50">
        <v>56578.57</v>
      </c>
      <c r="AE654" s="50">
        <v>0</v>
      </c>
      <c r="AF654" s="50">
        <v>0</v>
      </c>
      <c r="AG654" s="49">
        <v>63957.5</v>
      </c>
      <c r="AH654" s="51" t="s">
        <v>104</v>
      </c>
      <c r="AI654" s="51" t="s">
        <v>74</v>
      </c>
      <c r="AJ654" s="51" t="s">
        <v>74</v>
      </c>
      <c r="AK654" s="51" t="s">
        <v>140</v>
      </c>
      <c r="AL654" s="51" t="s">
        <v>74</v>
      </c>
      <c r="AM654" s="51" t="s">
        <v>74</v>
      </c>
      <c r="AN654" s="52">
        <v>0</v>
      </c>
      <c r="AO654" s="52">
        <v>0</v>
      </c>
      <c r="AP654" s="52">
        <v>0</v>
      </c>
      <c r="AQ654" s="52">
        <v>0</v>
      </c>
      <c r="AR654" s="52">
        <v>0</v>
      </c>
      <c r="AS654" s="52">
        <v>0</v>
      </c>
      <c r="AT654" s="53" t="s">
        <v>74</v>
      </c>
      <c r="AU654" s="52">
        <v>0</v>
      </c>
      <c r="AV654" s="52"/>
      <c r="AW654" s="52">
        <v>0</v>
      </c>
      <c r="AX654" s="52"/>
      <c r="AY654" s="52"/>
      <c r="AZ654" s="52">
        <v>0</v>
      </c>
      <c r="BA654" s="52">
        <v>0</v>
      </c>
      <c r="BB654" s="54" t="s">
        <v>74</v>
      </c>
      <c r="BC654" s="53" t="s">
        <v>74</v>
      </c>
      <c r="BD654" s="55" t="s">
        <v>74</v>
      </c>
      <c r="BE654" s="55" t="s">
        <v>74</v>
      </c>
      <c r="BF654" s="55" t="s">
        <v>74</v>
      </c>
      <c r="BG654" s="55" t="s">
        <v>74</v>
      </c>
      <c r="BH654" s="52">
        <v>0</v>
      </c>
      <c r="BI654" s="52">
        <v>5359912.46</v>
      </c>
      <c r="BJ654" s="52">
        <v>5359912.46</v>
      </c>
      <c r="BK654" s="56">
        <v>43647</v>
      </c>
      <c r="BL654" s="57">
        <v>5359912.46</v>
      </c>
      <c r="BM654" s="47">
        <v>0</v>
      </c>
      <c r="BN654" s="9"/>
      <c r="BO654" s="9"/>
      <c r="BP654" s="9"/>
      <c r="BQ654" s="9"/>
      <c r="BR654" s="9"/>
      <c r="BS654" s="9"/>
      <c r="BT654" s="9"/>
      <c r="BU654" s="9"/>
      <c r="BV654" s="9"/>
      <c r="BW654" s="9"/>
    </row>
    <row r="655" spans="1:75" ht="64.5" hidden="1" outlineLevel="2" x14ac:dyDescent="0.25">
      <c r="A655" s="43" t="s">
        <v>728</v>
      </c>
      <c r="B655" s="110" t="s">
        <v>729</v>
      </c>
      <c r="C655" s="45">
        <v>2019</v>
      </c>
      <c r="D655" s="110" t="s">
        <v>86</v>
      </c>
      <c r="E655" s="47">
        <v>0</v>
      </c>
      <c r="F655" s="47">
        <v>0</v>
      </c>
      <c r="G655" s="47">
        <v>0</v>
      </c>
      <c r="H655" s="47">
        <v>0</v>
      </c>
      <c r="I655" s="47">
        <v>0</v>
      </c>
      <c r="J655" s="47">
        <v>0</v>
      </c>
      <c r="K655" s="47">
        <v>0</v>
      </c>
      <c r="L655" s="47">
        <v>0</v>
      </c>
      <c r="M655" s="47">
        <v>0</v>
      </c>
      <c r="N655" s="47">
        <v>0</v>
      </c>
      <c r="O655" s="47">
        <v>0</v>
      </c>
      <c r="P655" s="47">
        <v>0</v>
      </c>
      <c r="Q655" s="47">
        <v>0</v>
      </c>
      <c r="R655" s="47">
        <v>0</v>
      </c>
      <c r="S655" s="47">
        <v>3615913.31</v>
      </c>
      <c r="T655" s="190">
        <v>1807956.65</v>
      </c>
      <c r="U655" s="47">
        <v>0</v>
      </c>
      <c r="V655" s="47">
        <v>0</v>
      </c>
      <c r="W655" s="47">
        <v>0</v>
      </c>
      <c r="X655" s="47">
        <v>0</v>
      </c>
      <c r="Y655" s="48">
        <v>5423869.96</v>
      </c>
      <c r="Z655" s="58">
        <v>5613.79</v>
      </c>
      <c r="AA655" s="50">
        <v>5613.79</v>
      </c>
      <c r="AB655" s="50">
        <v>0</v>
      </c>
      <c r="AC655" s="50">
        <v>0</v>
      </c>
      <c r="AD655" s="50">
        <v>102116.81</v>
      </c>
      <c r="AE655" s="50">
        <v>0</v>
      </c>
      <c r="AF655" s="50">
        <v>0</v>
      </c>
      <c r="AG655" s="49">
        <v>107730.6</v>
      </c>
      <c r="AH655" s="51" t="s">
        <v>104</v>
      </c>
      <c r="AI655" s="51" t="s">
        <v>74</v>
      </c>
      <c r="AJ655" s="51" t="s">
        <v>74</v>
      </c>
      <c r="AK655" s="51" t="s">
        <v>749</v>
      </c>
      <c r="AL655" s="51" t="s">
        <v>74</v>
      </c>
      <c r="AM655" s="51" t="s">
        <v>74</v>
      </c>
      <c r="AN655" s="52">
        <v>0</v>
      </c>
      <c r="AO655" s="52">
        <v>0</v>
      </c>
      <c r="AP655" s="52">
        <v>0</v>
      </c>
      <c r="AQ655" s="52">
        <v>0</v>
      </c>
      <c r="AR655" s="52">
        <v>0</v>
      </c>
      <c r="AS655" s="52">
        <v>0</v>
      </c>
      <c r="AT655" s="53" t="s">
        <v>74</v>
      </c>
      <c r="AU655" s="52">
        <v>0</v>
      </c>
      <c r="AV655" s="52"/>
      <c r="AW655" s="52">
        <v>0</v>
      </c>
      <c r="AX655" s="52"/>
      <c r="AY655" s="52"/>
      <c r="AZ655" s="52">
        <v>0</v>
      </c>
      <c r="BA655" s="52">
        <v>0</v>
      </c>
      <c r="BB655" s="54" t="s">
        <v>74</v>
      </c>
      <c r="BC655" s="53" t="s">
        <v>74</v>
      </c>
      <c r="BD655" s="55" t="s">
        <v>74</v>
      </c>
      <c r="BE655" s="55" t="s">
        <v>74</v>
      </c>
      <c r="BF655" s="55" t="s">
        <v>74</v>
      </c>
      <c r="BG655" s="55" t="s">
        <v>74</v>
      </c>
      <c r="BH655" s="52">
        <v>0</v>
      </c>
      <c r="BI655" s="52">
        <v>5316139.3600000003</v>
      </c>
      <c r="BJ655" s="52">
        <v>5316139.3600000003</v>
      </c>
      <c r="BK655" s="56">
        <v>43678</v>
      </c>
      <c r="BL655" s="57">
        <v>5316139.3600000003</v>
      </c>
      <c r="BM655" s="47">
        <v>0</v>
      </c>
      <c r="BN655" s="9"/>
      <c r="BO655" s="9"/>
      <c r="BP655" s="9"/>
      <c r="BQ655" s="9"/>
      <c r="BR655" s="9"/>
      <c r="BS655" s="9"/>
      <c r="BT655" s="9"/>
      <c r="BU655" s="9"/>
      <c r="BV655" s="9"/>
      <c r="BW655" s="9"/>
    </row>
    <row r="656" spans="1:75" ht="26.25" hidden="1" outlineLevel="2" x14ac:dyDescent="0.25">
      <c r="A656" s="43" t="s">
        <v>728</v>
      </c>
      <c r="B656" s="110" t="s">
        <v>729</v>
      </c>
      <c r="C656" s="45">
        <v>2019</v>
      </c>
      <c r="D656" s="110" t="s">
        <v>88</v>
      </c>
      <c r="E656" s="47">
        <v>0</v>
      </c>
      <c r="F656" s="47">
        <v>0</v>
      </c>
      <c r="G656" s="47">
        <v>0</v>
      </c>
      <c r="H656" s="47">
        <v>0</v>
      </c>
      <c r="I656" s="47">
        <v>0</v>
      </c>
      <c r="J656" s="47">
        <v>0</v>
      </c>
      <c r="K656" s="47">
        <v>0</v>
      </c>
      <c r="L656" s="47">
        <v>0</v>
      </c>
      <c r="M656" s="47">
        <v>0</v>
      </c>
      <c r="N656" s="47">
        <v>0</v>
      </c>
      <c r="O656" s="47">
        <v>0</v>
      </c>
      <c r="P656" s="47">
        <v>0</v>
      </c>
      <c r="Q656" s="47">
        <v>0</v>
      </c>
      <c r="R656" s="47">
        <v>0</v>
      </c>
      <c r="S656" s="47">
        <v>0</v>
      </c>
      <c r="T656" s="47">
        <v>5423869.96</v>
      </c>
      <c r="U656" s="47">
        <v>0</v>
      </c>
      <c r="V656" s="47">
        <v>0</v>
      </c>
      <c r="W656" s="47">
        <v>0</v>
      </c>
      <c r="X656" s="47">
        <v>0</v>
      </c>
      <c r="Y656" s="48">
        <v>5423869.96</v>
      </c>
      <c r="Z656" s="58">
        <v>13288.67</v>
      </c>
      <c r="AA656" s="50">
        <v>13288.67</v>
      </c>
      <c r="AB656" s="50">
        <v>0</v>
      </c>
      <c r="AC656" s="50">
        <v>0</v>
      </c>
      <c r="AD656" s="50">
        <v>57225.94</v>
      </c>
      <c r="AE656" s="50">
        <v>0</v>
      </c>
      <c r="AF656" s="50">
        <v>0</v>
      </c>
      <c r="AG656" s="49">
        <v>70514.61</v>
      </c>
      <c r="AH656" s="51" t="s">
        <v>104</v>
      </c>
      <c r="AI656" s="51" t="s">
        <v>74</v>
      </c>
      <c r="AJ656" s="51" t="s">
        <v>74</v>
      </c>
      <c r="AK656" s="51" t="s">
        <v>371</v>
      </c>
      <c r="AL656" s="51" t="s">
        <v>74</v>
      </c>
      <c r="AM656" s="51" t="s">
        <v>74</v>
      </c>
      <c r="AN656" s="52">
        <v>0</v>
      </c>
      <c r="AO656" s="52">
        <v>0</v>
      </c>
      <c r="AP656" s="52">
        <v>0</v>
      </c>
      <c r="AQ656" s="52">
        <v>0</v>
      </c>
      <c r="AR656" s="52">
        <v>0</v>
      </c>
      <c r="AS656" s="52">
        <v>0</v>
      </c>
      <c r="AT656" s="53" t="s">
        <v>74</v>
      </c>
      <c r="AU656" s="52">
        <v>0</v>
      </c>
      <c r="AV656" s="52"/>
      <c r="AW656" s="52">
        <v>0</v>
      </c>
      <c r="AX656" s="52"/>
      <c r="AY656" s="52"/>
      <c r="AZ656" s="52">
        <v>0</v>
      </c>
      <c r="BA656" s="52">
        <v>0</v>
      </c>
      <c r="BB656" s="54" t="s">
        <v>74</v>
      </c>
      <c r="BC656" s="53" t="s">
        <v>74</v>
      </c>
      <c r="BD656" s="55" t="s">
        <v>74</v>
      </c>
      <c r="BE656" s="55" t="s">
        <v>74</v>
      </c>
      <c r="BF656" s="55" t="s">
        <v>74</v>
      </c>
      <c r="BG656" s="55" t="s">
        <v>74</v>
      </c>
      <c r="BH656" s="52">
        <v>0</v>
      </c>
      <c r="BI656" s="52">
        <v>5353355.3499999996</v>
      </c>
      <c r="BJ656" s="52">
        <v>5353355.3499999996</v>
      </c>
      <c r="BK656" s="56">
        <v>43709</v>
      </c>
      <c r="BL656" s="57">
        <v>5353355.3499999996</v>
      </c>
      <c r="BM656" s="47">
        <v>0</v>
      </c>
      <c r="BN656" s="9"/>
      <c r="BO656" s="9"/>
      <c r="BP656" s="9"/>
      <c r="BQ656" s="9"/>
      <c r="BR656" s="9"/>
      <c r="BS656" s="9"/>
      <c r="BT656" s="9"/>
      <c r="BU656" s="9"/>
      <c r="BV656" s="9"/>
      <c r="BW656" s="9"/>
    </row>
    <row r="657" spans="1:75" ht="26.25" hidden="1" outlineLevel="2" x14ac:dyDescent="0.25">
      <c r="A657" s="43" t="s">
        <v>728</v>
      </c>
      <c r="B657" s="110" t="s">
        <v>729</v>
      </c>
      <c r="C657" s="45">
        <v>2019</v>
      </c>
      <c r="D657" s="110" t="s">
        <v>89</v>
      </c>
      <c r="E657" s="47">
        <v>0</v>
      </c>
      <c r="F657" s="47">
        <v>0</v>
      </c>
      <c r="G657" s="47">
        <v>0</v>
      </c>
      <c r="H657" s="47">
        <v>0</v>
      </c>
      <c r="I657" s="47">
        <v>0</v>
      </c>
      <c r="J657" s="47">
        <v>0</v>
      </c>
      <c r="K657" s="47">
        <v>0</v>
      </c>
      <c r="L657" s="47">
        <v>0</v>
      </c>
      <c r="M657" s="47">
        <v>0</v>
      </c>
      <c r="N657" s="47">
        <v>0</v>
      </c>
      <c r="O657" s="47">
        <v>0</v>
      </c>
      <c r="P657" s="47">
        <v>0</v>
      </c>
      <c r="Q657" s="47">
        <v>0</v>
      </c>
      <c r="R657" s="47">
        <v>0</v>
      </c>
      <c r="S657" s="47">
        <v>0</v>
      </c>
      <c r="T657" s="47">
        <v>5423869.96</v>
      </c>
      <c r="U657" s="47">
        <v>0</v>
      </c>
      <c r="V657" s="47">
        <v>0</v>
      </c>
      <c r="W657" s="47">
        <v>0</v>
      </c>
      <c r="X657" s="47">
        <v>0</v>
      </c>
      <c r="Y657" s="48">
        <v>5423869.96</v>
      </c>
      <c r="Z657" s="58">
        <v>6053.88</v>
      </c>
      <c r="AA657" s="50">
        <v>6053.88</v>
      </c>
      <c r="AB657" s="50">
        <v>0</v>
      </c>
      <c r="AC657" s="50">
        <v>0</v>
      </c>
      <c r="AD657" s="50">
        <v>0</v>
      </c>
      <c r="AE657" s="50">
        <v>0</v>
      </c>
      <c r="AF657" s="50">
        <v>0</v>
      </c>
      <c r="AG657" s="49">
        <v>6053.88</v>
      </c>
      <c r="AH657" s="51" t="s">
        <v>104</v>
      </c>
      <c r="AI657" s="51" t="s">
        <v>74</v>
      </c>
      <c r="AJ657" s="51" t="s">
        <v>74</v>
      </c>
      <c r="AK657" s="51" t="s">
        <v>74</v>
      </c>
      <c r="AL657" s="51" t="s">
        <v>74</v>
      </c>
      <c r="AM657" s="51" t="s">
        <v>74</v>
      </c>
      <c r="AN657" s="52">
        <v>0</v>
      </c>
      <c r="AO657" s="52">
        <v>0</v>
      </c>
      <c r="AP657" s="52">
        <v>0</v>
      </c>
      <c r="AQ657" s="52">
        <v>0</v>
      </c>
      <c r="AR657" s="52">
        <v>0</v>
      </c>
      <c r="AS657" s="52">
        <v>0</v>
      </c>
      <c r="AT657" s="53" t="s">
        <v>74</v>
      </c>
      <c r="AU657" s="52">
        <v>0</v>
      </c>
      <c r="AV657" s="52"/>
      <c r="AW657" s="52">
        <v>0</v>
      </c>
      <c r="AX657" s="52"/>
      <c r="AY657" s="52"/>
      <c r="AZ657" s="52">
        <v>0</v>
      </c>
      <c r="BA657" s="52">
        <v>0</v>
      </c>
      <c r="BB657" s="54" t="s">
        <v>74</v>
      </c>
      <c r="BC657" s="53" t="s">
        <v>74</v>
      </c>
      <c r="BD657" s="55" t="s">
        <v>74</v>
      </c>
      <c r="BE657" s="55" t="s">
        <v>74</v>
      </c>
      <c r="BF657" s="55" t="s">
        <v>74</v>
      </c>
      <c r="BG657" s="55" t="s">
        <v>74</v>
      </c>
      <c r="BH657" s="52">
        <v>0</v>
      </c>
      <c r="BI657" s="52">
        <v>5417816.0800000001</v>
      </c>
      <c r="BJ657" s="52">
        <v>5417816.0800000001</v>
      </c>
      <c r="BK657" s="56">
        <v>43739</v>
      </c>
      <c r="BL657" s="57">
        <v>5417816.0800000001</v>
      </c>
      <c r="BM657" s="47">
        <v>0</v>
      </c>
      <c r="BN657" s="9"/>
      <c r="BO657" s="9"/>
      <c r="BP657" s="9"/>
      <c r="BQ657" s="9"/>
      <c r="BR657" s="9"/>
      <c r="BS657" s="9"/>
      <c r="BT657" s="9"/>
      <c r="BU657" s="9"/>
      <c r="BV657" s="9"/>
      <c r="BW657" s="9"/>
    </row>
    <row r="658" spans="1:75" ht="409.6" hidden="1" outlineLevel="2" x14ac:dyDescent="0.25">
      <c r="A658" s="71" t="s">
        <v>728</v>
      </c>
      <c r="B658" s="116" t="s">
        <v>729</v>
      </c>
      <c r="C658" s="73">
        <v>2019</v>
      </c>
      <c r="D658" s="116" t="s">
        <v>90</v>
      </c>
      <c r="E658" s="75">
        <v>0</v>
      </c>
      <c r="F658" s="75">
        <v>0</v>
      </c>
      <c r="G658" s="75">
        <v>0</v>
      </c>
      <c r="H658" s="75">
        <v>0</v>
      </c>
      <c r="I658" s="75">
        <v>0</v>
      </c>
      <c r="J658" s="75">
        <v>0</v>
      </c>
      <c r="K658" s="75">
        <v>0</v>
      </c>
      <c r="L658" s="75">
        <v>0</v>
      </c>
      <c r="M658" s="75">
        <v>0</v>
      </c>
      <c r="N658" s="75">
        <v>0</v>
      </c>
      <c r="O658" s="75">
        <v>0</v>
      </c>
      <c r="P658" s="75">
        <v>0</v>
      </c>
      <c r="Q658" s="75">
        <v>0</v>
      </c>
      <c r="R658" s="75">
        <v>0</v>
      </c>
      <c r="S658" s="75">
        <v>0</v>
      </c>
      <c r="T658" s="75">
        <v>3615913.31</v>
      </c>
      <c r="U658" s="75">
        <v>0</v>
      </c>
      <c r="V658" s="75">
        <v>0</v>
      </c>
      <c r="W658" s="75">
        <v>0</v>
      </c>
      <c r="X658" s="75">
        <v>0</v>
      </c>
      <c r="Y658" s="76">
        <v>3615913.31</v>
      </c>
      <c r="Z658" s="115">
        <v>6053.88</v>
      </c>
      <c r="AA658" s="79">
        <v>6053.88</v>
      </c>
      <c r="AB658" s="79">
        <v>0</v>
      </c>
      <c r="AC658" s="79">
        <v>0</v>
      </c>
      <c r="AD658" s="79">
        <v>146666.29</v>
      </c>
      <c r="AE658" s="79">
        <v>0</v>
      </c>
      <c r="AF658" s="79">
        <v>0</v>
      </c>
      <c r="AG658" s="80">
        <v>152720.17000000001</v>
      </c>
      <c r="AH658" s="123" t="s">
        <v>104</v>
      </c>
      <c r="AI658" s="123" t="s">
        <v>74</v>
      </c>
      <c r="AJ658" s="123" t="s">
        <v>74</v>
      </c>
      <c r="AK658" s="123" t="s">
        <v>750</v>
      </c>
      <c r="AL658" s="123" t="s">
        <v>74</v>
      </c>
      <c r="AM658" s="123" t="s">
        <v>74</v>
      </c>
      <c r="AN658" s="82">
        <v>0</v>
      </c>
      <c r="AO658" s="82">
        <v>7234.79</v>
      </c>
      <c r="AP658" s="82">
        <v>0</v>
      </c>
      <c r="AQ658" s="82">
        <v>0</v>
      </c>
      <c r="AR658" s="82">
        <v>0</v>
      </c>
      <c r="AS658" s="82">
        <v>7234.79</v>
      </c>
      <c r="AT658" s="123" t="s">
        <v>751</v>
      </c>
      <c r="AU658" s="82">
        <v>2880148.37</v>
      </c>
      <c r="AV658" s="82"/>
      <c r="AW658" s="82">
        <v>0</v>
      </c>
      <c r="AX658" s="82"/>
      <c r="AY658" s="82"/>
      <c r="AZ658" s="82">
        <v>0</v>
      </c>
      <c r="BA658" s="82">
        <v>2880148.37</v>
      </c>
      <c r="BB658" s="126" t="s">
        <v>752</v>
      </c>
      <c r="BC658" s="123" t="s">
        <v>74</v>
      </c>
      <c r="BD658" s="125" t="s">
        <v>74</v>
      </c>
      <c r="BE658" s="125" t="s">
        <v>74</v>
      </c>
      <c r="BF658" s="125" t="s">
        <v>74</v>
      </c>
      <c r="BG658" s="125" t="s">
        <v>74</v>
      </c>
      <c r="BH658" s="82">
        <v>2887383.16</v>
      </c>
      <c r="BI658" s="82">
        <v>6350576.2999999998</v>
      </c>
      <c r="BJ658" s="52">
        <v>3470427.93</v>
      </c>
      <c r="BK658" s="56">
        <v>43770</v>
      </c>
      <c r="BL658" s="127">
        <v>6350576.2999999998</v>
      </c>
      <c r="BM658" s="75">
        <v>0</v>
      </c>
      <c r="BN658" s="9"/>
      <c r="BO658" s="9"/>
      <c r="BP658" s="9"/>
      <c r="BQ658" s="9"/>
      <c r="BR658" s="9"/>
      <c r="BS658" s="9"/>
      <c r="BT658" s="9"/>
      <c r="BU658" s="9"/>
      <c r="BV658" s="9"/>
      <c r="BW658" s="9"/>
    </row>
    <row r="659" spans="1:75" hidden="1" outlineLevel="1" collapsed="1" x14ac:dyDescent="0.25">
      <c r="A659" s="84"/>
      <c r="B659" s="120" t="s">
        <v>753</v>
      </c>
      <c r="C659" s="86"/>
      <c r="D659" s="120"/>
      <c r="E659" s="88"/>
      <c r="F659" s="88"/>
      <c r="G659" s="88"/>
      <c r="H659" s="88"/>
      <c r="I659" s="88"/>
      <c r="J659" s="88"/>
      <c r="K659" s="88"/>
      <c r="L659" s="88"/>
      <c r="M659" s="88"/>
      <c r="N659" s="88"/>
      <c r="O659" s="88"/>
      <c r="P659" s="88"/>
      <c r="Q659" s="88"/>
      <c r="R659" s="88"/>
      <c r="S659" s="88"/>
      <c r="T659" s="88"/>
      <c r="U659" s="88"/>
      <c r="V659" s="88"/>
      <c r="W659" s="88"/>
      <c r="X659" s="88"/>
      <c r="Y659" s="89">
        <f t="shared" ref="Y659:AG659" si="96">SUBTOTAL(9,Y624:Y658)</f>
        <v>0</v>
      </c>
      <c r="Z659" s="128">
        <f t="shared" si="96"/>
        <v>0</v>
      </c>
      <c r="AA659" s="89">
        <f t="shared" si="96"/>
        <v>0</v>
      </c>
      <c r="AB659" s="89">
        <f t="shared" si="96"/>
        <v>0</v>
      </c>
      <c r="AC659" s="89">
        <f t="shared" si="96"/>
        <v>0</v>
      </c>
      <c r="AD659" s="89">
        <f t="shared" si="96"/>
        <v>0</v>
      </c>
      <c r="AE659" s="89">
        <f t="shared" si="96"/>
        <v>0</v>
      </c>
      <c r="AF659" s="89">
        <f t="shared" si="96"/>
        <v>0</v>
      </c>
      <c r="AG659" s="89">
        <f t="shared" si="96"/>
        <v>0</v>
      </c>
      <c r="AH659" s="129"/>
      <c r="AI659" s="129"/>
      <c r="AJ659" s="129"/>
      <c r="AK659" s="129"/>
      <c r="AL659" s="129"/>
      <c r="AM659" s="129"/>
      <c r="AN659" s="92">
        <f t="shared" ref="AN659:AS659" si="97">SUBTOTAL(9,AN624:AN658)</f>
        <v>0</v>
      </c>
      <c r="AO659" s="92">
        <f t="shared" si="97"/>
        <v>0</v>
      </c>
      <c r="AP659" s="92">
        <f t="shared" si="97"/>
        <v>0</v>
      </c>
      <c r="AQ659" s="92">
        <f t="shared" si="97"/>
        <v>0</v>
      </c>
      <c r="AR659" s="92">
        <f t="shared" si="97"/>
        <v>0</v>
      </c>
      <c r="AS659" s="92">
        <f t="shared" si="97"/>
        <v>0</v>
      </c>
      <c r="AT659" s="129"/>
      <c r="AU659" s="92">
        <f t="shared" ref="AU659:BA659" si="98">SUBTOTAL(9,AU624:AU658)</f>
        <v>0</v>
      </c>
      <c r="AV659" s="92">
        <f t="shared" si="98"/>
        <v>0</v>
      </c>
      <c r="AW659" s="92">
        <f t="shared" si="98"/>
        <v>0</v>
      </c>
      <c r="AX659" s="92">
        <f t="shared" si="98"/>
        <v>0</v>
      </c>
      <c r="AY659" s="92">
        <f t="shared" si="98"/>
        <v>0</v>
      </c>
      <c r="AZ659" s="92">
        <f t="shared" si="98"/>
        <v>0</v>
      </c>
      <c r="BA659" s="92">
        <f t="shared" si="98"/>
        <v>0</v>
      </c>
      <c r="BB659" s="132"/>
      <c r="BC659" s="129"/>
      <c r="BD659" s="131"/>
      <c r="BE659" s="131"/>
      <c r="BF659" s="131"/>
      <c r="BG659" s="131"/>
      <c r="BH659" s="92">
        <f>SUBTOTAL(9,BH624:BH658)</f>
        <v>0</v>
      </c>
      <c r="BI659" s="92">
        <f>SUBTOTAL(9,BI624:BI658)</f>
        <v>0</v>
      </c>
      <c r="BJ659" s="93"/>
      <c r="BK659" s="94"/>
      <c r="BL659" s="88">
        <f>SUBTOTAL(9,BL624:BL658)</f>
        <v>0</v>
      </c>
      <c r="BM659" s="88">
        <f>SUBTOTAL(9,BM624:BM658)</f>
        <v>0</v>
      </c>
      <c r="BN659" s="9"/>
      <c r="BO659" s="9"/>
      <c r="BP659" s="9"/>
      <c r="BQ659" s="9"/>
      <c r="BR659" s="9"/>
      <c r="BS659" s="9"/>
      <c r="BT659" s="9"/>
      <c r="BU659" s="9"/>
      <c r="BV659" s="9"/>
      <c r="BW659" s="9"/>
    </row>
    <row r="660" spans="1:75" hidden="1" outlineLevel="2" x14ac:dyDescent="0.25">
      <c r="A660" s="96" t="s">
        <v>754</v>
      </c>
      <c r="B660" s="97" t="s">
        <v>755</v>
      </c>
      <c r="C660" s="98">
        <v>2019</v>
      </c>
      <c r="D660" s="97" t="s">
        <v>90</v>
      </c>
      <c r="E660" s="100">
        <v>2316525.8220000002</v>
      </c>
      <c r="F660" s="100">
        <v>0</v>
      </c>
      <c r="G660" s="100">
        <v>0</v>
      </c>
      <c r="H660" s="100">
        <v>0</v>
      </c>
      <c r="I660" s="100">
        <v>0</v>
      </c>
      <c r="J660" s="100">
        <v>0</v>
      </c>
      <c r="K660" s="100">
        <v>0</v>
      </c>
      <c r="L660" s="100">
        <v>0</v>
      </c>
      <c r="M660" s="100">
        <v>0</v>
      </c>
      <c r="N660" s="100">
        <v>0</v>
      </c>
      <c r="O660" s="100">
        <v>0</v>
      </c>
      <c r="P660" s="100">
        <v>0</v>
      </c>
      <c r="Q660" s="100">
        <v>0</v>
      </c>
      <c r="R660" s="100">
        <v>0</v>
      </c>
      <c r="S660" s="100">
        <v>0</v>
      </c>
      <c r="T660" s="100">
        <v>0</v>
      </c>
      <c r="U660" s="100">
        <v>0</v>
      </c>
      <c r="V660" s="100">
        <v>0</v>
      </c>
      <c r="W660" s="100">
        <v>0</v>
      </c>
      <c r="X660" s="100">
        <v>0</v>
      </c>
      <c r="Y660" s="101">
        <v>2316525.8220000002</v>
      </c>
      <c r="Z660" s="191">
        <v>2623.348</v>
      </c>
      <c r="AA660" s="192">
        <v>2623.348</v>
      </c>
      <c r="AB660" s="103">
        <v>0</v>
      </c>
      <c r="AC660" s="103">
        <v>0</v>
      </c>
      <c r="AD660" s="192">
        <v>24149.26</v>
      </c>
      <c r="AE660" s="103">
        <v>0</v>
      </c>
      <c r="AF660" s="103">
        <v>0</v>
      </c>
      <c r="AG660" s="102">
        <v>26772.608</v>
      </c>
      <c r="AH660" s="144" t="s">
        <v>756</v>
      </c>
      <c r="AI660" s="144" t="s">
        <v>74</v>
      </c>
      <c r="AJ660" s="144" t="s">
        <v>74</v>
      </c>
      <c r="AK660" s="144" t="s">
        <v>757</v>
      </c>
      <c r="AL660" s="144" t="s">
        <v>74</v>
      </c>
      <c r="AM660" s="144" t="s">
        <v>74</v>
      </c>
      <c r="AN660" s="105">
        <v>0</v>
      </c>
      <c r="AO660" s="105">
        <v>0</v>
      </c>
      <c r="AP660" s="105">
        <v>0</v>
      </c>
      <c r="AQ660" s="105">
        <v>0</v>
      </c>
      <c r="AR660" s="105">
        <v>0</v>
      </c>
      <c r="AS660" s="105">
        <v>0</v>
      </c>
      <c r="AT660" s="106" t="s">
        <v>74</v>
      </c>
      <c r="AU660" s="105">
        <v>0</v>
      </c>
      <c r="AV660" s="105"/>
      <c r="AW660" s="105">
        <v>0</v>
      </c>
      <c r="AX660" s="105"/>
      <c r="AY660" s="105"/>
      <c r="AZ660" s="105">
        <v>0</v>
      </c>
      <c r="BA660" s="105">
        <v>0</v>
      </c>
      <c r="BB660" s="107" t="s">
        <v>74</v>
      </c>
      <c r="BC660" s="106" t="s">
        <v>74</v>
      </c>
      <c r="BD660" s="108" t="s">
        <v>74</v>
      </c>
      <c r="BE660" s="108" t="s">
        <v>74</v>
      </c>
      <c r="BF660" s="108" t="s">
        <v>74</v>
      </c>
      <c r="BG660" s="108" t="s">
        <v>74</v>
      </c>
      <c r="BH660" s="105">
        <v>0</v>
      </c>
      <c r="BI660" s="105">
        <v>2289753.2140000002</v>
      </c>
      <c r="BJ660" s="52">
        <v>2289753.2140000002</v>
      </c>
      <c r="BK660" s="56">
        <v>43770</v>
      </c>
      <c r="BL660" s="109">
        <v>2289753.21</v>
      </c>
      <c r="BM660" s="100">
        <v>0</v>
      </c>
      <c r="BN660" s="9"/>
      <c r="BO660" s="9"/>
      <c r="BP660" s="9"/>
      <c r="BQ660" s="9"/>
      <c r="BR660" s="9"/>
      <c r="BS660" s="9"/>
      <c r="BT660" s="9"/>
      <c r="BU660" s="9"/>
      <c r="BV660" s="9"/>
      <c r="BW660" s="9"/>
    </row>
    <row r="661" spans="1:75" ht="115.5" hidden="1" outlineLevel="2" x14ac:dyDescent="0.25">
      <c r="A661" s="43" t="s">
        <v>754</v>
      </c>
      <c r="B661" s="110" t="s">
        <v>755</v>
      </c>
      <c r="C661" s="45">
        <v>2019</v>
      </c>
      <c r="D661" s="110" t="s">
        <v>93</v>
      </c>
      <c r="E661" s="47">
        <v>5345828.82</v>
      </c>
      <c r="F661" s="47">
        <v>0</v>
      </c>
      <c r="G661" s="47">
        <v>0</v>
      </c>
      <c r="H661" s="47">
        <v>0</v>
      </c>
      <c r="I661" s="47">
        <v>0</v>
      </c>
      <c r="J661" s="47">
        <v>0</v>
      </c>
      <c r="K661" s="47">
        <v>0</v>
      </c>
      <c r="L661" s="47">
        <v>0</v>
      </c>
      <c r="M661" s="47">
        <v>0</v>
      </c>
      <c r="N661" s="47">
        <v>0</v>
      </c>
      <c r="O661" s="47">
        <v>0</v>
      </c>
      <c r="P661" s="47">
        <v>0</v>
      </c>
      <c r="Q661" s="47">
        <v>0</v>
      </c>
      <c r="R661" s="47">
        <v>0</v>
      </c>
      <c r="S661" s="47">
        <v>0</v>
      </c>
      <c r="T661" s="47">
        <v>0</v>
      </c>
      <c r="U661" s="47">
        <v>0</v>
      </c>
      <c r="V661" s="47">
        <v>0</v>
      </c>
      <c r="W661" s="47">
        <v>0</v>
      </c>
      <c r="X661" s="47">
        <v>0</v>
      </c>
      <c r="Y661" s="48">
        <v>5345828.82</v>
      </c>
      <c r="Z661" s="58">
        <v>6053.88</v>
      </c>
      <c r="AA661" s="50">
        <v>6053.88</v>
      </c>
      <c r="AB661" s="50">
        <v>0</v>
      </c>
      <c r="AC661" s="50">
        <v>0</v>
      </c>
      <c r="AD661" s="50">
        <v>0</v>
      </c>
      <c r="AE661" s="50">
        <v>0</v>
      </c>
      <c r="AF661" s="50">
        <v>0</v>
      </c>
      <c r="AG661" s="49">
        <v>6053.88</v>
      </c>
      <c r="AH661" s="70" t="s">
        <v>758</v>
      </c>
      <c r="AI661" s="70" t="s">
        <v>74</v>
      </c>
      <c r="AJ661" s="70" t="s">
        <v>74</v>
      </c>
      <c r="AK661" s="70" t="s">
        <v>74</v>
      </c>
      <c r="AL661" s="70" t="s">
        <v>74</v>
      </c>
      <c r="AM661" s="70" t="s">
        <v>74</v>
      </c>
      <c r="AN661" s="52">
        <v>0</v>
      </c>
      <c r="AO661" s="52">
        <v>0</v>
      </c>
      <c r="AP661" s="52">
        <v>0</v>
      </c>
      <c r="AQ661" s="52">
        <v>0</v>
      </c>
      <c r="AR661" s="52">
        <v>0</v>
      </c>
      <c r="AS661" s="52">
        <v>0</v>
      </c>
      <c r="AT661" s="53" t="s">
        <v>74</v>
      </c>
      <c r="AU661" s="52">
        <v>0</v>
      </c>
      <c r="AV661" s="135">
        <v>28772826.530000001</v>
      </c>
      <c r="AW661" s="52">
        <v>0</v>
      </c>
      <c r="AX661" s="52"/>
      <c r="AY661" s="52"/>
      <c r="AZ661" s="52">
        <v>0</v>
      </c>
      <c r="BA661" s="52">
        <f>AU661+AV661+AW661+AX661+AY661+AZ661</f>
        <v>28772826.530000001</v>
      </c>
      <c r="BB661" s="54" t="s">
        <v>74</v>
      </c>
      <c r="BC661" s="53" t="s">
        <v>759</v>
      </c>
      <c r="BD661" s="55" t="s">
        <v>74</v>
      </c>
      <c r="BE661" s="55" t="s">
        <v>74</v>
      </c>
      <c r="BF661" s="55" t="s">
        <v>74</v>
      </c>
      <c r="BG661" s="55" t="s">
        <v>74</v>
      </c>
      <c r="BH661" s="52">
        <f>AS661+BA661</f>
        <v>28772826.530000001</v>
      </c>
      <c r="BI661" s="52">
        <f>Y661-AG661+BH661</f>
        <v>34112601.469999999</v>
      </c>
      <c r="BJ661" s="52">
        <f>BI661-BH661</f>
        <v>5339774.9399999976</v>
      </c>
      <c r="BK661" s="56">
        <v>43800</v>
      </c>
      <c r="BL661" s="57">
        <f>5339774.94+28772826.53</f>
        <v>34112601.469999999</v>
      </c>
      <c r="BM661" s="47">
        <v>0</v>
      </c>
      <c r="BN661" s="9"/>
      <c r="BO661" s="9"/>
      <c r="BP661" s="9"/>
      <c r="BQ661" s="9"/>
      <c r="BR661" s="9"/>
      <c r="BS661" s="9"/>
      <c r="BT661" s="9"/>
      <c r="BU661" s="9"/>
      <c r="BV661" s="9"/>
      <c r="BW661" s="9"/>
    </row>
    <row r="662" spans="1:75" ht="26.25" hidden="1" outlineLevel="2" x14ac:dyDescent="0.25">
      <c r="A662" s="43" t="s">
        <v>754</v>
      </c>
      <c r="B662" s="110" t="s">
        <v>755</v>
      </c>
      <c r="C662" s="45">
        <v>2020</v>
      </c>
      <c r="D662" s="110" t="s">
        <v>73</v>
      </c>
      <c r="E662" s="47">
        <v>5345828.82</v>
      </c>
      <c r="F662" s="47">
        <v>0</v>
      </c>
      <c r="G662" s="47">
        <v>0</v>
      </c>
      <c r="H662" s="47">
        <v>0</v>
      </c>
      <c r="I662" s="47">
        <v>0</v>
      </c>
      <c r="J662" s="47">
        <v>0</v>
      </c>
      <c r="K662" s="47">
        <v>0</v>
      </c>
      <c r="L662" s="47">
        <v>0</v>
      </c>
      <c r="M662" s="47">
        <v>0</v>
      </c>
      <c r="N662" s="47">
        <v>0</v>
      </c>
      <c r="O662" s="47">
        <v>0</v>
      </c>
      <c r="P662" s="47">
        <v>0</v>
      </c>
      <c r="Q662" s="47">
        <v>0</v>
      </c>
      <c r="R662" s="47">
        <v>0</v>
      </c>
      <c r="S662" s="47">
        <v>0</v>
      </c>
      <c r="T662" s="47">
        <v>0</v>
      </c>
      <c r="U662" s="47">
        <v>0</v>
      </c>
      <c r="V662" s="47">
        <v>0</v>
      </c>
      <c r="W662" s="47">
        <v>0</v>
      </c>
      <c r="X662" s="47">
        <v>0</v>
      </c>
      <c r="Y662" s="48">
        <v>5345828.82</v>
      </c>
      <c r="Z662" s="58">
        <v>6053.88</v>
      </c>
      <c r="AA662" s="50">
        <v>6053.88</v>
      </c>
      <c r="AB662" s="50">
        <v>0</v>
      </c>
      <c r="AC662" s="50">
        <v>0</v>
      </c>
      <c r="AD662" s="111">
        <v>55349.01</v>
      </c>
      <c r="AE662" s="50">
        <v>0</v>
      </c>
      <c r="AF662" s="50">
        <v>0</v>
      </c>
      <c r="AG662" s="49">
        <v>61402.89</v>
      </c>
      <c r="AH662" s="51" t="s">
        <v>104</v>
      </c>
      <c r="AI662" s="70" t="s">
        <v>74</v>
      </c>
      <c r="AJ662" s="70" t="s">
        <v>74</v>
      </c>
      <c r="AK662" s="70" t="s">
        <v>157</v>
      </c>
      <c r="AL662" s="70" t="s">
        <v>74</v>
      </c>
      <c r="AM662" s="70" t="s">
        <v>74</v>
      </c>
      <c r="AN662" s="52">
        <v>0</v>
      </c>
      <c r="AO662" s="52">
        <v>0</v>
      </c>
      <c r="AP662" s="52">
        <v>0</v>
      </c>
      <c r="AQ662" s="52">
        <v>0</v>
      </c>
      <c r="AR662" s="52">
        <v>0</v>
      </c>
      <c r="AS662" s="52">
        <v>0</v>
      </c>
      <c r="AT662" s="53" t="s">
        <v>74</v>
      </c>
      <c r="AU662" s="52">
        <v>0</v>
      </c>
      <c r="AV662" s="52"/>
      <c r="AW662" s="52">
        <v>0</v>
      </c>
      <c r="AX662" s="52"/>
      <c r="AY662" s="52"/>
      <c r="AZ662" s="52">
        <v>0</v>
      </c>
      <c r="BA662" s="52">
        <v>0</v>
      </c>
      <c r="BB662" s="54" t="s">
        <v>74</v>
      </c>
      <c r="BC662" s="53" t="s">
        <v>74</v>
      </c>
      <c r="BD662" s="55" t="s">
        <v>74</v>
      </c>
      <c r="BE662" s="55" t="s">
        <v>74</v>
      </c>
      <c r="BF662" s="55" t="s">
        <v>74</v>
      </c>
      <c r="BG662" s="55" t="s">
        <v>74</v>
      </c>
      <c r="BH662" s="52">
        <v>0</v>
      </c>
      <c r="BI662" s="52">
        <v>5284425.93</v>
      </c>
      <c r="BJ662" s="52">
        <v>5284425.93</v>
      </c>
      <c r="BK662" s="56">
        <v>43831</v>
      </c>
      <c r="BL662" s="57">
        <v>5284425.93</v>
      </c>
      <c r="BM662" s="47">
        <v>0</v>
      </c>
      <c r="BN662" s="9"/>
      <c r="BO662" s="9"/>
      <c r="BP662" s="9"/>
      <c r="BQ662" s="9"/>
      <c r="BR662" s="9"/>
      <c r="BS662" s="9"/>
      <c r="BT662" s="9"/>
      <c r="BU662" s="9"/>
      <c r="BV662" s="9"/>
      <c r="BW662" s="9"/>
    </row>
    <row r="663" spans="1:75" ht="39" hidden="1" outlineLevel="2" x14ac:dyDescent="0.25">
      <c r="A663" s="43" t="s">
        <v>754</v>
      </c>
      <c r="B663" s="110" t="s">
        <v>755</v>
      </c>
      <c r="C663" s="45">
        <v>2020</v>
      </c>
      <c r="D663" s="110" t="s">
        <v>75</v>
      </c>
      <c r="E663" s="47">
        <v>5345828.82</v>
      </c>
      <c r="F663" s="47">
        <v>0</v>
      </c>
      <c r="G663" s="47">
        <v>0</v>
      </c>
      <c r="H663" s="47">
        <v>0</v>
      </c>
      <c r="I663" s="47">
        <v>0</v>
      </c>
      <c r="J663" s="47">
        <v>0</v>
      </c>
      <c r="K663" s="47">
        <v>0</v>
      </c>
      <c r="L663" s="47">
        <v>0</v>
      </c>
      <c r="M663" s="47">
        <v>0</v>
      </c>
      <c r="N663" s="47">
        <v>0</v>
      </c>
      <c r="O663" s="47">
        <v>0</v>
      </c>
      <c r="P663" s="47">
        <v>0</v>
      </c>
      <c r="Q663" s="47">
        <v>0</v>
      </c>
      <c r="R663" s="47">
        <v>0</v>
      </c>
      <c r="S663" s="47">
        <v>0</v>
      </c>
      <c r="T663" s="47">
        <v>0</v>
      </c>
      <c r="U663" s="47">
        <v>0</v>
      </c>
      <c r="V663" s="47">
        <v>0</v>
      </c>
      <c r="W663" s="47">
        <v>0</v>
      </c>
      <c r="X663" s="47">
        <v>0</v>
      </c>
      <c r="Y663" s="48">
        <v>5345828.82</v>
      </c>
      <c r="Z663" s="58">
        <v>7058.88</v>
      </c>
      <c r="AA663" s="50">
        <v>7058.88</v>
      </c>
      <c r="AB663" s="50">
        <v>0</v>
      </c>
      <c r="AC663" s="50">
        <v>0</v>
      </c>
      <c r="AD663" s="62">
        <v>52431.12</v>
      </c>
      <c r="AE663" s="50">
        <v>0</v>
      </c>
      <c r="AF663" s="50">
        <v>0</v>
      </c>
      <c r="AG663" s="49">
        <v>59490</v>
      </c>
      <c r="AH663" s="51" t="s">
        <v>104</v>
      </c>
      <c r="AI663" s="70" t="s">
        <v>74</v>
      </c>
      <c r="AJ663" s="70" t="s">
        <v>74</v>
      </c>
      <c r="AK663" s="193" t="s">
        <v>760</v>
      </c>
      <c r="AL663" s="70" t="s">
        <v>74</v>
      </c>
      <c r="AM663" s="70" t="s">
        <v>74</v>
      </c>
      <c r="AN663" s="52">
        <v>0</v>
      </c>
      <c r="AO663" s="52">
        <v>0</v>
      </c>
      <c r="AP663" s="52">
        <v>0</v>
      </c>
      <c r="AQ663" s="52">
        <v>0</v>
      </c>
      <c r="AR663" s="52">
        <v>0</v>
      </c>
      <c r="AS663" s="52">
        <v>0</v>
      </c>
      <c r="AT663" s="53" t="s">
        <v>74</v>
      </c>
      <c r="AU663" s="52">
        <v>0</v>
      </c>
      <c r="AV663" s="52"/>
      <c r="AW663" s="52">
        <v>0</v>
      </c>
      <c r="AX663" s="52"/>
      <c r="AY663" s="52"/>
      <c r="AZ663" s="52">
        <v>0</v>
      </c>
      <c r="BA663" s="52">
        <v>0</v>
      </c>
      <c r="BB663" s="54" t="s">
        <v>74</v>
      </c>
      <c r="BC663" s="53" t="s">
        <v>74</v>
      </c>
      <c r="BD663" s="55" t="s">
        <v>74</v>
      </c>
      <c r="BE663" s="55" t="s">
        <v>74</v>
      </c>
      <c r="BF663" s="55" t="s">
        <v>74</v>
      </c>
      <c r="BG663" s="55" t="s">
        <v>74</v>
      </c>
      <c r="BH663" s="52">
        <v>0</v>
      </c>
      <c r="BI663" s="52">
        <v>5286338.82</v>
      </c>
      <c r="BJ663" s="52">
        <v>5283774.9400000004</v>
      </c>
      <c r="BK663" s="56">
        <v>43862</v>
      </c>
      <c r="BL663" s="57">
        <v>5286338.82</v>
      </c>
      <c r="BM663" s="47">
        <v>0</v>
      </c>
      <c r="BN663" s="9"/>
      <c r="BO663" s="9"/>
      <c r="BP663" s="9"/>
      <c r="BQ663" s="9"/>
      <c r="BR663" s="9"/>
      <c r="BS663" s="9"/>
      <c r="BT663" s="9"/>
      <c r="BU663" s="9"/>
      <c r="BV663" s="9"/>
      <c r="BW663" s="9"/>
    </row>
    <row r="664" spans="1:75" ht="90" hidden="1" outlineLevel="2" x14ac:dyDescent="0.25">
      <c r="A664" s="43" t="s">
        <v>754</v>
      </c>
      <c r="B664" s="110" t="s">
        <v>755</v>
      </c>
      <c r="C664" s="45">
        <v>2020</v>
      </c>
      <c r="D664" s="110" t="s">
        <v>77</v>
      </c>
      <c r="E664" s="47">
        <v>5345828.82</v>
      </c>
      <c r="F664" s="47">
        <v>0</v>
      </c>
      <c r="G664" s="47">
        <v>0</v>
      </c>
      <c r="H664" s="47">
        <v>0</v>
      </c>
      <c r="I664" s="47">
        <v>0</v>
      </c>
      <c r="J664" s="47">
        <v>0</v>
      </c>
      <c r="K664" s="47">
        <v>0</v>
      </c>
      <c r="L664" s="47">
        <v>0</v>
      </c>
      <c r="M664" s="47">
        <v>0</v>
      </c>
      <c r="N664" s="47">
        <v>0</v>
      </c>
      <c r="O664" s="47">
        <v>0</v>
      </c>
      <c r="P664" s="47">
        <v>0</v>
      </c>
      <c r="Q664" s="47">
        <v>0</v>
      </c>
      <c r="R664" s="47">
        <v>0</v>
      </c>
      <c r="S664" s="47">
        <v>0</v>
      </c>
      <c r="T664" s="47">
        <v>0</v>
      </c>
      <c r="U664" s="47">
        <v>0</v>
      </c>
      <c r="V664" s="47">
        <v>0</v>
      </c>
      <c r="W664" s="47">
        <v>0</v>
      </c>
      <c r="X664" s="47">
        <v>0</v>
      </c>
      <c r="Y664" s="48">
        <v>5345828.82</v>
      </c>
      <c r="Z664" s="58">
        <v>19018.28</v>
      </c>
      <c r="AA664" s="50">
        <v>10045.49</v>
      </c>
      <c r="AB664" s="50">
        <v>0</v>
      </c>
      <c r="AC664" s="50">
        <v>0</v>
      </c>
      <c r="AD664" s="62">
        <v>52008.39</v>
      </c>
      <c r="AE664" s="50">
        <v>0</v>
      </c>
      <c r="AF664" s="50">
        <v>0</v>
      </c>
      <c r="AG664" s="49">
        <v>62053.88</v>
      </c>
      <c r="AH664" s="193" t="s">
        <v>761</v>
      </c>
      <c r="AI664" s="70" t="s">
        <v>74</v>
      </c>
      <c r="AJ664" s="70" t="s">
        <v>74</v>
      </c>
      <c r="AK664" s="193" t="s">
        <v>762</v>
      </c>
      <c r="AL664" s="70" t="s">
        <v>74</v>
      </c>
      <c r="AM664" s="70" t="s">
        <v>74</v>
      </c>
      <c r="AN664" s="52"/>
      <c r="AO664" s="52">
        <v>0</v>
      </c>
      <c r="AP664" s="52"/>
      <c r="AQ664" s="52"/>
      <c r="AR664" s="52"/>
      <c r="AS664" s="52">
        <v>0</v>
      </c>
      <c r="AT664" s="53" t="s">
        <v>74</v>
      </c>
      <c r="AU664" s="52">
        <v>0</v>
      </c>
      <c r="AV664" s="52"/>
      <c r="AW664" s="52">
        <v>756000</v>
      </c>
      <c r="AX664" s="52"/>
      <c r="AY664" s="52"/>
      <c r="AZ664" s="52">
        <v>0</v>
      </c>
      <c r="BA664" s="52">
        <v>756000</v>
      </c>
      <c r="BB664" s="54" t="s">
        <v>74</v>
      </c>
      <c r="BC664" s="53" t="s">
        <v>74</v>
      </c>
      <c r="BD664" s="55" t="s">
        <v>763</v>
      </c>
      <c r="BE664" s="55" t="s">
        <v>74</v>
      </c>
      <c r="BF664" s="55" t="s">
        <v>74</v>
      </c>
      <c r="BG664" s="55" t="s">
        <v>74</v>
      </c>
      <c r="BH664" s="52">
        <v>756000</v>
      </c>
      <c r="BI664" s="52">
        <v>6039774.9400000004</v>
      </c>
      <c r="BJ664" s="52">
        <v>5330258.78</v>
      </c>
      <c r="BK664" s="56">
        <v>43891</v>
      </c>
      <c r="BL664" s="57">
        <v>6039774.9400000004</v>
      </c>
      <c r="BM664" s="47">
        <v>0</v>
      </c>
      <c r="BN664" s="9"/>
      <c r="BO664" s="9"/>
      <c r="BP664" s="9"/>
      <c r="BQ664" s="9"/>
      <c r="BR664" s="9"/>
      <c r="BS664" s="9"/>
      <c r="BT664" s="9"/>
      <c r="BU664" s="9"/>
      <c r="BV664" s="9"/>
      <c r="BW664" s="9"/>
    </row>
    <row r="665" spans="1:75" ht="39" hidden="1" outlineLevel="2" x14ac:dyDescent="0.25">
      <c r="A665" s="43" t="s">
        <v>754</v>
      </c>
      <c r="B665" s="110" t="s">
        <v>755</v>
      </c>
      <c r="C665" s="45">
        <v>2020</v>
      </c>
      <c r="D665" s="110" t="s">
        <v>79</v>
      </c>
      <c r="E665" s="47">
        <v>5345828.82</v>
      </c>
      <c r="F665" s="47">
        <v>0</v>
      </c>
      <c r="G665" s="47">
        <v>0</v>
      </c>
      <c r="H665" s="47">
        <v>0</v>
      </c>
      <c r="I665" s="47">
        <v>0</v>
      </c>
      <c r="J665" s="47">
        <v>0</v>
      </c>
      <c r="K665" s="47">
        <v>0</v>
      </c>
      <c r="L665" s="47">
        <v>0</v>
      </c>
      <c r="M665" s="47">
        <v>0</v>
      </c>
      <c r="N665" s="47">
        <v>0</v>
      </c>
      <c r="O665" s="47">
        <v>0</v>
      </c>
      <c r="P665" s="47">
        <v>0</v>
      </c>
      <c r="Q665" s="47">
        <v>0</v>
      </c>
      <c r="R665" s="47">
        <v>0</v>
      </c>
      <c r="S665" s="47">
        <v>0</v>
      </c>
      <c r="T665" s="47">
        <v>0</v>
      </c>
      <c r="U665" s="47">
        <v>0</v>
      </c>
      <c r="V665" s="47">
        <v>0</v>
      </c>
      <c r="W665" s="47">
        <v>0</v>
      </c>
      <c r="X665" s="47">
        <v>0</v>
      </c>
      <c r="Y665" s="48">
        <v>5345828.82</v>
      </c>
      <c r="Z665" s="58">
        <v>7044.55</v>
      </c>
      <c r="AA665" s="50">
        <v>7044.55</v>
      </c>
      <c r="AB665" s="50">
        <v>8972.7900000000009</v>
      </c>
      <c r="AC665" s="50">
        <v>0</v>
      </c>
      <c r="AD665" s="62">
        <v>50085.79</v>
      </c>
      <c r="AE665" s="50">
        <v>0</v>
      </c>
      <c r="AF665" s="50">
        <v>0</v>
      </c>
      <c r="AG665" s="49">
        <v>66103.13</v>
      </c>
      <c r="AH665" s="51" t="s">
        <v>104</v>
      </c>
      <c r="AI665" s="70" t="s">
        <v>764</v>
      </c>
      <c r="AJ665" s="70" t="s">
        <v>74</v>
      </c>
      <c r="AK665" s="193" t="s">
        <v>765</v>
      </c>
      <c r="AL665" s="70" t="s">
        <v>74</v>
      </c>
      <c r="AM665" s="70" t="s">
        <v>74</v>
      </c>
      <c r="AN665" s="52">
        <v>0</v>
      </c>
      <c r="AO665" s="52">
        <v>0</v>
      </c>
      <c r="AP665" s="52">
        <v>0</v>
      </c>
      <c r="AQ665" s="52">
        <v>0</v>
      </c>
      <c r="AR665" s="52">
        <v>0</v>
      </c>
      <c r="AS665" s="52">
        <v>0</v>
      </c>
      <c r="AT665" s="53" t="s">
        <v>74</v>
      </c>
      <c r="AU665" s="52">
        <v>0</v>
      </c>
      <c r="AV665" s="52"/>
      <c r="AW665" s="52">
        <v>0</v>
      </c>
      <c r="AX665" s="52"/>
      <c r="AY665" s="52"/>
      <c r="AZ665" s="52">
        <v>0</v>
      </c>
      <c r="BA665" s="52">
        <v>0</v>
      </c>
      <c r="BB665" s="54" t="s">
        <v>74</v>
      </c>
      <c r="BC665" s="53" t="s">
        <v>74</v>
      </c>
      <c r="BD665" s="55" t="s">
        <v>74</v>
      </c>
      <c r="BE665" s="55" t="s">
        <v>74</v>
      </c>
      <c r="BF665" s="55" t="s">
        <v>74</v>
      </c>
      <c r="BG665" s="55" t="s">
        <v>74</v>
      </c>
      <c r="BH665" s="52">
        <v>0</v>
      </c>
      <c r="BI665" s="52">
        <v>5279725.6900000004</v>
      </c>
      <c r="BJ665" s="52">
        <v>5279725.6900000004</v>
      </c>
      <c r="BK665" s="56">
        <v>43922</v>
      </c>
      <c r="BL665" s="57">
        <v>5279725.6900000004</v>
      </c>
      <c r="BM665" s="47">
        <v>0</v>
      </c>
      <c r="BN665" s="9"/>
      <c r="BO665" s="9"/>
      <c r="BP665" s="9"/>
      <c r="BQ665" s="9"/>
      <c r="BR665" s="9"/>
      <c r="BS665" s="9"/>
      <c r="BT665" s="9"/>
      <c r="BU665" s="9"/>
      <c r="BV665" s="9"/>
      <c r="BW665" s="9"/>
    </row>
    <row r="666" spans="1:75" ht="51.75" hidden="1" outlineLevel="2" x14ac:dyDescent="0.25">
      <c r="A666" s="43" t="s">
        <v>754</v>
      </c>
      <c r="B666" s="110" t="s">
        <v>755</v>
      </c>
      <c r="C666" s="45">
        <v>2020</v>
      </c>
      <c r="D666" s="110" t="s">
        <v>81</v>
      </c>
      <c r="E666" s="47">
        <v>5345828.82</v>
      </c>
      <c r="F666" s="47">
        <v>0</v>
      </c>
      <c r="G666" s="47">
        <v>0</v>
      </c>
      <c r="H666" s="47">
        <v>0</v>
      </c>
      <c r="I666" s="47">
        <v>0</v>
      </c>
      <c r="J666" s="47">
        <v>0</v>
      </c>
      <c r="K666" s="47">
        <v>0</v>
      </c>
      <c r="L666" s="47">
        <v>0</v>
      </c>
      <c r="M666" s="47">
        <v>0</v>
      </c>
      <c r="N666" s="47">
        <v>0</v>
      </c>
      <c r="O666" s="47">
        <v>0</v>
      </c>
      <c r="P666" s="47">
        <v>0</v>
      </c>
      <c r="Q666" s="47">
        <v>0</v>
      </c>
      <c r="R666" s="47">
        <v>0</v>
      </c>
      <c r="S666" s="47">
        <v>0</v>
      </c>
      <c r="T666" s="47">
        <v>0</v>
      </c>
      <c r="U666" s="47">
        <v>0</v>
      </c>
      <c r="V666" s="47">
        <v>0</v>
      </c>
      <c r="W666" s="47">
        <v>0</v>
      </c>
      <c r="X666" s="47">
        <v>0</v>
      </c>
      <c r="Y666" s="48">
        <v>5345828.82</v>
      </c>
      <c r="Z666" s="60">
        <v>7009.54</v>
      </c>
      <c r="AA666" s="50">
        <v>6526.73</v>
      </c>
      <c r="AB666" s="50">
        <v>0</v>
      </c>
      <c r="AC666" s="50">
        <v>0</v>
      </c>
      <c r="AD666" s="50">
        <v>55527.14</v>
      </c>
      <c r="AE666" s="50">
        <v>0</v>
      </c>
      <c r="AF666" s="50">
        <v>0</v>
      </c>
      <c r="AG666" s="49">
        <v>62053.87</v>
      </c>
      <c r="AH666" s="193" t="s">
        <v>766</v>
      </c>
      <c r="AI666" s="70" t="s">
        <v>74</v>
      </c>
      <c r="AJ666" s="70" t="s">
        <v>74</v>
      </c>
      <c r="AK666" s="193" t="s">
        <v>767</v>
      </c>
      <c r="AL666" s="70" t="s">
        <v>74</v>
      </c>
      <c r="AM666" s="70" t="s">
        <v>74</v>
      </c>
      <c r="AN666" s="52">
        <v>0</v>
      </c>
      <c r="AO666" s="52">
        <v>0</v>
      </c>
      <c r="AP666" s="52">
        <v>0</v>
      </c>
      <c r="AQ666" s="52">
        <v>0</v>
      </c>
      <c r="AR666" s="52">
        <v>0</v>
      </c>
      <c r="AS666" s="52">
        <v>0</v>
      </c>
      <c r="AT666" s="53" t="s">
        <v>74</v>
      </c>
      <c r="AU666" s="52">
        <v>0</v>
      </c>
      <c r="AV666" s="52"/>
      <c r="AW666" s="52">
        <v>0</v>
      </c>
      <c r="AX666" s="52"/>
      <c r="AY666" s="52"/>
      <c r="AZ666" s="52">
        <v>0</v>
      </c>
      <c r="BA666" s="52">
        <v>0</v>
      </c>
      <c r="BB666" s="54" t="s">
        <v>74</v>
      </c>
      <c r="BC666" s="53" t="s">
        <v>74</v>
      </c>
      <c r="BD666" s="55" t="s">
        <v>74</v>
      </c>
      <c r="BE666" s="55" t="s">
        <v>74</v>
      </c>
      <c r="BF666" s="55" t="s">
        <v>74</v>
      </c>
      <c r="BG666" s="55" t="s">
        <v>74</v>
      </c>
      <c r="BH666" s="52">
        <v>0</v>
      </c>
      <c r="BI666" s="52">
        <v>5283774.95</v>
      </c>
      <c r="BJ666" s="52">
        <v>5283774.95</v>
      </c>
      <c r="BK666" s="56">
        <v>43952</v>
      </c>
      <c r="BL666" s="57">
        <v>5283774.95</v>
      </c>
      <c r="BM666" s="47">
        <v>0</v>
      </c>
      <c r="BN666" s="9"/>
      <c r="BO666" s="9"/>
      <c r="BP666" s="9"/>
      <c r="BQ666" s="9"/>
      <c r="BR666" s="9"/>
      <c r="BS666" s="9"/>
      <c r="BT666" s="9"/>
      <c r="BU666" s="9"/>
      <c r="BV666" s="9"/>
      <c r="BW666" s="9"/>
    </row>
    <row r="667" spans="1:75" ht="102.75" hidden="1" outlineLevel="2" x14ac:dyDescent="0.25">
      <c r="A667" s="43" t="s">
        <v>754</v>
      </c>
      <c r="B667" s="110" t="s">
        <v>755</v>
      </c>
      <c r="C667" s="45">
        <v>2020</v>
      </c>
      <c r="D667" s="110" t="s">
        <v>83</v>
      </c>
      <c r="E667" s="47">
        <v>5345828.82</v>
      </c>
      <c r="F667" s="47">
        <v>0</v>
      </c>
      <c r="G667" s="47">
        <v>0</v>
      </c>
      <c r="H667" s="47">
        <v>0</v>
      </c>
      <c r="I667" s="47">
        <v>0</v>
      </c>
      <c r="J667" s="47">
        <v>0</v>
      </c>
      <c r="K667" s="47">
        <v>0</v>
      </c>
      <c r="L667" s="47">
        <v>0</v>
      </c>
      <c r="M667" s="47">
        <v>0</v>
      </c>
      <c r="N667" s="47">
        <v>0</v>
      </c>
      <c r="O667" s="47">
        <v>0</v>
      </c>
      <c r="P667" s="47">
        <v>0</v>
      </c>
      <c r="Q667" s="47">
        <v>0</v>
      </c>
      <c r="R667" s="47">
        <v>0</v>
      </c>
      <c r="S667" s="47">
        <v>0</v>
      </c>
      <c r="T667" s="47">
        <v>0</v>
      </c>
      <c r="U667" s="47">
        <v>0</v>
      </c>
      <c r="V667" s="47">
        <v>0</v>
      </c>
      <c r="W667" s="47">
        <v>0</v>
      </c>
      <c r="X667" s="47">
        <v>0</v>
      </c>
      <c r="Y667" s="48">
        <v>5345828.82</v>
      </c>
      <c r="Z667" s="58">
        <v>12369.4</v>
      </c>
      <c r="AA667" s="50">
        <v>1626.85</v>
      </c>
      <c r="AB667" s="50">
        <v>482.81</v>
      </c>
      <c r="AC667" s="50">
        <v>0</v>
      </c>
      <c r="AD667" s="62">
        <v>51572.98</v>
      </c>
      <c r="AE667" s="50">
        <v>0</v>
      </c>
      <c r="AF667" s="50">
        <v>0</v>
      </c>
      <c r="AG667" s="49">
        <v>53682.64</v>
      </c>
      <c r="AH667" s="193" t="s">
        <v>768</v>
      </c>
      <c r="AI667" s="70" t="s">
        <v>769</v>
      </c>
      <c r="AJ667" s="70" t="s">
        <v>74</v>
      </c>
      <c r="AK667" s="193" t="s">
        <v>770</v>
      </c>
      <c r="AL667" s="70" t="s">
        <v>74</v>
      </c>
      <c r="AM667" s="70" t="s">
        <v>74</v>
      </c>
      <c r="AN667" s="52"/>
      <c r="AO667" s="52">
        <v>0</v>
      </c>
      <c r="AP667" s="52"/>
      <c r="AQ667" s="52"/>
      <c r="AR667" s="52"/>
      <c r="AS667" s="52">
        <v>0</v>
      </c>
      <c r="AT667" s="53" t="s">
        <v>74</v>
      </c>
      <c r="AU667" s="52">
        <v>0</v>
      </c>
      <c r="AV667" s="52"/>
      <c r="AW667" s="52">
        <v>59014.47</v>
      </c>
      <c r="AX667" s="52"/>
      <c r="AY667" s="52"/>
      <c r="AZ667" s="52">
        <v>0</v>
      </c>
      <c r="BA667" s="52">
        <v>59014.47</v>
      </c>
      <c r="BB667" s="54" t="s">
        <v>74</v>
      </c>
      <c r="BC667" s="53" t="s">
        <v>74</v>
      </c>
      <c r="BD667" s="55" t="s">
        <v>771</v>
      </c>
      <c r="BE667" s="55" t="s">
        <v>74</v>
      </c>
      <c r="BF667" s="55" t="s">
        <v>74</v>
      </c>
      <c r="BG667" s="55" t="s">
        <v>74</v>
      </c>
      <c r="BH667" s="52">
        <v>59014.47</v>
      </c>
      <c r="BI667" s="52">
        <v>5351160.6500000004</v>
      </c>
      <c r="BJ667" s="52">
        <v>5292146.18</v>
      </c>
      <c r="BK667" s="56">
        <v>43983</v>
      </c>
      <c r="BL667" s="57">
        <v>5351160.6500000004</v>
      </c>
      <c r="BM667" s="47">
        <v>0</v>
      </c>
      <c r="BN667" s="9"/>
      <c r="BO667" s="9"/>
      <c r="BP667" s="9"/>
      <c r="BQ667" s="9"/>
      <c r="BR667" s="9"/>
      <c r="BS667" s="9"/>
      <c r="BT667" s="9"/>
      <c r="BU667" s="9"/>
      <c r="BV667" s="9"/>
      <c r="BW667" s="9"/>
    </row>
    <row r="668" spans="1:75" ht="77.25" hidden="1" outlineLevel="2" x14ac:dyDescent="0.25">
      <c r="A668" s="43" t="s">
        <v>754</v>
      </c>
      <c r="B668" s="110" t="s">
        <v>755</v>
      </c>
      <c r="C668" s="45">
        <v>2020</v>
      </c>
      <c r="D668" s="110" t="s">
        <v>84</v>
      </c>
      <c r="E668" s="47">
        <v>5345828.82</v>
      </c>
      <c r="F668" s="47">
        <v>0</v>
      </c>
      <c r="G668" s="47">
        <v>0</v>
      </c>
      <c r="H668" s="47">
        <v>0</v>
      </c>
      <c r="I668" s="47">
        <v>0</v>
      </c>
      <c r="J668" s="47">
        <v>0</v>
      </c>
      <c r="K668" s="47">
        <v>0</v>
      </c>
      <c r="L668" s="47">
        <v>0</v>
      </c>
      <c r="M668" s="47">
        <v>0</v>
      </c>
      <c r="N668" s="47">
        <v>0</v>
      </c>
      <c r="O668" s="47">
        <v>0</v>
      </c>
      <c r="P668" s="47">
        <v>0</v>
      </c>
      <c r="Q668" s="47">
        <v>0</v>
      </c>
      <c r="R668" s="47">
        <v>0</v>
      </c>
      <c r="S668" s="47">
        <v>0</v>
      </c>
      <c r="T668" s="47">
        <v>0</v>
      </c>
      <c r="U668" s="47">
        <v>0</v>
      </c>
      <c r="V668" s="47">
        <v>0</v>
      </c>
      <c r="W668" s="47">
        <v>0</v>
      </c>
      <c r="X668" s="47">
        <v>0</v>
      </c>
      <c r="Y668" s="48">
        <v>5345828.82</v>
      </c>
      <c r="Z668" s="58">
        <v>7369.56</v>
      </c>
      <c r="AA668" s="50">
        <v>7369.56</v>
      </c>
      <c r="AB668" s="50">
        <v>10742.55</v>
      </c>
      <c r="AC668" s="50">
        <v>0</v>
      </c>
      <c r="AD668" s="62">
        <v>49982.31</v>
      </c>
      <c r="AE668" s="50">
        <v>0</v>
      </c>
      <c r="AF668" s="50">
        <v>0</v>
      </c>
      <c r="AG668" s="49">
        <v>68094.42</v>
      </c>
      <c r="AH668" s="193" t="s">
        <v>772</v>
      </c>
      <c r="AI668" s="193" t="s">
        <v>773</v>
      </c>
      <c r="AJ668" s="70" t="s">
        <v>74</v>
      </c>
      <c r="AK668" s="193" t="s">
        <v>774</v>
      </c>
      <c r="AL668" s="70" t="s">
        <v>74</v>
      </c>
      <c r="AM668" s="70" t="s">
        <v>74</v>
      </c>
      <c r="AN668" s="52">
        <v>0</v>
      </c>
      <c r="AO668" s="52">
        <v>0</v>
      </c>
      <c r="AP668" s="52">
        <v>0</v>
      </c>
      <c r="AQ668" s="52">
        <v>0</v>
      </c>
      <c r="AR668" s="52">
        <v>0</v>
      </c>
      <c r="AS668" s="52">
        <v>0</v>
      </c>
      <c r="AT668" s="53" t="s">
        <v>74</v>
      </c>
      <c r="AU668" s="52">
        <v>0</v>
      </c>
      <c r="AV668" s="52"/>
      <c r="AW668" s="52">
        <v>0</v>
      </c>
      <c r="AX668" s="52"/>
      <c r="AY668" s="52"/>
      <c r="AZ668" s="52">
        <v>0</v>
      </c>
      <c r="BA668" s="52">
        <v>0</v>
      </c>
      <c r="BB668" s="54" t="s">
        <v>74</v>
      </c>
      <c r="BC668" s="53" t="s">
        <v>74</v>
      </c>
      <c r="BD668" s="55" t="s">
        <v>74</v>
      </c>
      <c r="BE668" s="55" t="s">
        <v>74</v>
      </c>
      <c r="BF668" s="55" t="s">
        <v>74</v>
      </c>
      <c r="BG668" s="55" t="s">
        <v>74</v>
      </c>
      <c r="BH668" s="52">
        <v>0</v>
      </c>
      <c r="BI668" s="52">
        <v>5277734.4000000004</v>
      </c>
      <c r="BJ668" s="52">
        <v>5277734.4000000004</v>
      </c>
      <c r="BK668" s="56">
        <v>44013</v>
      </c>
      <c r="BL668" s="57">
        <v>5277734.4000000004</v>
      </c>
      <c r="BM668" s="47">
        <v>0</v>
      </c>
      <c r="BN668" s="9"/>
      <c r="BO668" s="9"/>
      <c r="BP668" s="9"/>
      <c r="BQ668" s="9"/>
      <c r="BR668" s="9"/>
      <c r="BS668" s="9"/>
      <c r="BT668" s="9"/>
      <c r="BU668" s="9"/>
      <c r="BV668" s="9"/>
      <c r="BW668" s="9"/>
    </row>
    <row r="669" spans="1:75" ht="39" hidden="1" outlineLevel="2" x14ac:dyDescent="0.25">
      <c r="A669" s="43" t="s">
        <v>754</v>
      </c>
      <c r="B669" s="110" t="s">
        <v>755</v>
      </c>
      <c r="C669" s="45">
        <v>2020</v>
      </c>
      <c r="D669" s="110" t="s">
        <v>86</v>
      </c>
      <c r="E669" s="47">
        <v>5345828.82</v>
      </c>
      <c r="F669" s="47">
        <v>0</v>
      </c>
      <c r="G669" s="47">
        <v>0</v>
      </c>
      <c r="H669" s="47">
        <v>0</v>
      </c>
      <c r="I669" s="47">
        <v>0</v>
      </c>
      <c r="J669" s="47">
        <v>0</v>
      </c>
      <c r="K669" s="47">
        <v>0</v>
      </c>
      <c r="L669" s="47">
        <v>0</v>
      </c>
      <c r="M669" s="47">
        <v>0</v>
      </c>
      <c r="N669" s="47">
        <v>0</v>
      </c>
      <c r="O669" s="47">
        <v>0</v>
      </c>
      <c r="P669" s="47">
        <v>0</v>
      </c>
      <c r="Q669" s="47">
        <v>0</v>
      </c>
      <c r="R669" s="47">
        <v>0</v>
      </c>
      <c r="S669" s="47">
        <v>0</v>
      </c>
      <c r="T669" s="47">
        <v>0</v>
      </c>
      <c r="U669" s="47">
        <v>0</v>
      </c>
      <c r="V669" s="47">
        <v>0</v>
      </c>
      <c r="W669" s="47">
        <v>0</v>
      </c>
      <c r="X669" s="47">
        <v>0</v>
      </c>
      <c r="Y669" s="48">
        <v>5345828.82</v>
      </c>
      <c r="Z669" s="65">
        <v>7687.03</v>
      </c>
      <c r="AA669" s="61">
        <v>7687.03</v>
      </c>
      <c r="AB669" s="50">
        <v>0</v>
      </c>
      <c r="AC669" s="50">
        <v>0</v>
      </c>
      <c r="AD669" s="62">
        <v>51758.11</v>
      </c>
      <c r="AE669" s="50">
        <v>0</v>
      </c>
      <c r="AF669" s="50">
        <v>0</v>
      </c>
      <c r="AG669" s="49">
        <v>59445.14</v>
      </c>
      <c r="AH669" s="193" t="s">
        <v>775</v>
      </c>
      <c r="AI669" s="70" t="s">
        <v>74</v>
      </c>
      <c r="AJ669" s="70" t="s">
        <v>74</v>
      </c>
      <c r="AK669" s="193" t="s">
        <v>776</v>
      </c>
      <c r="AL669" s="70" t="s">
        <v>74</v>
      </c>
      <c r="AM669" s="70" t="s">
        <v>74</v>
      </c>
      <c r="AN669" s="52">
        <v>0</v>
      </c>
      <c r="AO669" s="52">
        <v>0</v>
      </c>
      <c r="AP669" s="52">
        <v>0</v>
      </c>
      <c r="AQ669" s="52">
        <v>0</v>
      </c>
      <c r="AR669" s="52">
        <v>0</v>
      </c>
      <c r="AS669" s="52">
        <v>0</v>
      </c>
      <c r="AT669" s="53" t="s">
        <v>74</v>
      </c>
      <c r="AU669" s="52">
        <v>0</v>
      </c>
      <c r="AV669" s="52"/>
      <c r="AW669" s="52">
        <v>0</v>
      </c>
      <c r="AX669" s="52"/>
      <c r="AY669" s="52"/>
      <c r="AZ669" s="52">
        <v>0</v>
      </c>
      <c r="BA669" s="52">
        <v>0</v>
      </c>
      <c r="BB669" s="54" t="s">
        <v>74</v>
      </c>
      <c r="BC669" s="53" t="s">
        <v>74</v>
      </c>
      <c r="BD669" s="55" t="s">
        <v>74</v>
      </c>
      <c r="BE669" s="55" t="s">
        <v>74</v>
      </c>
      <c r="BF669" s="55" t="s">
        <v>74</v>
      </c>
      <c r="BG669" s="55" t="s">
        <v>74</v>
      </c>
      <c r="BH669" s="52">
        <v>0</v>
      </c>
      <c r="BI669" s="52">
        <v>5286383.68</v>
      </c>
      <c r="BJ669" s="52">
        <v>5286383.68</v>
      </c>
      <c r="BK669" s="56">
        <v>44044</v>
      </c>
      <c r="BL669" s="63">
        <v>5286383.68</v>
      </c>
      <c r="BM669" s="47">
        <v>0</v>
      </c>
      <c r="BN669" s="9"/>
      <c r="BO669" s="9"/>
      <c r="BP669" s="9"/>
      <c r="BQ669" s="9"/>
      <c r="BR669" s="9"/>
      <c r="BS669" s="9"/>
      <c r="BT669" s="9"/>
      <c r="BU669" s="9"/>
      <c r="BV669" s="9"/>
      <c r="BW669" s="9"/>
    </row>
    <row r="670" spans="1:75" ht="141" hidden="1" outlineLevel="2" x14ac:dyDescent="0.25">
      <c r="A670" s="43" t="s">
        <v>754</v>
      </c>
      <c r="B670" s="110" t="s">
        <v>755</v>
      </c>
      <c r="C670" s="45">
        <v>2020</v>
      </c>
      <c r="D670" s="110" t="s">
        <v>88</v>
      </c>
      <c r="E670" s="47">
        <v>5345828.82</v>
      </c>
      <c r="F670" s="134">
        <v>973213.10100000002</v>
      </c>
      <c r="G670" s="47">
        <v>0</v>
      </c>
      <c r="H670" s="47">
        <v>0</v>
      </c>
      <c r="I670" s="47">
        <v>0</v>
      </c>
      <c r="J670" s="47">
        <v>0</v>
      </c>
      <c r="K670" s="47">
        <v>0</v>
      </c>
      <c r="L670" s="47">
        <v>0</v>
      </c>
      <c r="M670" s="47">
        <v>0</v>
      </c>
      <c r="N670" s="47">
        <v>0</v>
      </c>
      <c r="O670" s="47">
        <v>0</v>
      </c>
      <c r="P670" s="47">
        <v>0</v>
      </c>
      <c r="Q670" s="47">
        <v>0</v>
      </c>
      <c r="R670" s="47">
        <v>0</v>
      </c>
      <c r="S670" s="47">
        <v>0</v>
      </c>
      <c r="T670" s="47">
        <v>0</v>
      </c>
      <c r="U670" s="47">
        <v>0</v>
      </c>
      <c r="V670" s="47">
        <v>0</v>
      </c>
      <c r="W670" s="47">
        <v>0</v>
      </c>
      <c r="X670" s="47">
        <v>0</v>
      </c>
      <c r="Y670" s="48">
        <v>6319041.9210000001</v>
      </c>
      <c r="Z670" s="66">
        <v>7589.56</v>
      </c>
      <c r="AA670" s="62">
        <v>7589.56</v>
      </c>
      <c r="AB670" s="50">
        <v>0</v>
      </c>
      <c r="AC670" s="50">
        <v>0</v>
      </c>
      <c r="AD670" s="62">
        <v>44449.63</v>
      </c>
      <c r="AE670" s="50">
        <v>0</v>
      </c>
      <c r="AF670" s="50">
        <v>0</v>
      </c>
      <c r="AG670" s="49">
        <v>52039.19</v>
      </c>
      <c r="AH670" s="51" t="s">
        <v>104</v>
      </c>
      <c r="AI670" s="70" t="s">
        <v>74</v>
      </c>
      <c r="AJ670" s="70" t="s">
        <v>74</v>
      </c>
      <c r="AK670" s="193" t="s">
        <v>777</v>
      </c>
      <c r="AL670" s="70" t="s">
        <v>74</v>
      </c>
      <c r="AM670" s="70" t="s">
        <v>74</v>
      </c>
      <c r="AN670" s="52"/>
      <c r="AO670" s="52"/>
      <c r="AP670" s="52"/>
      <c r="AQ670" s="52"/>
      <c r="AR670" s="52"/>
      <c r="AS670" s="52">
        <v>0</v>
      </c>
      <c r="AT670" s="53" t="s">
        <v>74</v>
      </c>
      <c r="AU670" s="59">
        <v>1766201.57</v>
      </c>
      <c r="AV670" s="52"/>
      <c r="AW670" s="52">
        <v>0</v>
      </c>
      <c r="AX670" s="52"/>
      <c r="AY670" s="52"/>
      <c r="AZ670" s="52">
        <v>0</v>
      </c>
      <c r="BA670" s="52">
        <v>1766201.57</v>
      </c>
      <c r="BB670" s="53" t="s">
        <v>778</v>
      </c>
      <c r="BC670" s="53" t="s">
        <v>74</v>
      </c>
      <c r="BD670" s="55" t="s">
        <v>74</v>
      </c>
      <c r="BE670" s="55" t="s">
        <v>74</v>
      </c>
      <c r="BF670" s="55" t="s">
        <v>74</v>
      </c>
      <c r="BG670" s="55" t="s">
        <v>74</v>
      </c>
      <c r="BH670" s="52">
        <v>1766201.57</v>
      </c>
      <c r="BI670" s="52">
        <v>8033204.301</v>
      </c>
      <c r="BJ670" s="52">
        <v>6267002.7309999997</v>
      </c>
      <c r="BK670" s="56">
        <v>44075</v>
      </c>
      <c r="BL670" s="63">
        <v>8033204.2999999998</v>
      </c>
      <c r="BM670" s="47">
        <v>0</v>
      </c>
      <c r="BN670" s="9"/>
      <c r="BO670" s="9"/>
      <c r="BP670" s="9"/>
      <c r="BQ670" s="9"/>
      <c r="BR670" s="9"/>
      <c r="BS670" s="9"/>
      <c r="BT670" s="9"/>
      <c r="BU670" s="9"/>
      <c r="BV670" s="9"/>
      <c r="BW670" s="9"/>
    </row>
    <row r="671" spans="1:75" ht="64.5" hidden="1" outlineLevel="2" x14ac:dyDescent="0.25">
      <c r="A671" s="43" t="s">
        <v>754</v>
      </c>
      <c r="B671" s="110" t="s">
        <v>755</v>
      </c>
      <c r="C671" s="45">
        <v>2020</v>
      </c>
      <c r="D671" s="110" t="s">
        <v>89</v>
      </c>
      <c r="E671" s="47">
        <v>5345828.82</v>
      </c>
      <c r="F671" s="47">
        <v>1081347.8899999999</v>
      </c>
      <c r="G671" s="47">
        <v>0</v>
      </c>
      <c r="H671" s="47">
        <v>0</v>
      </c>
      <c r="I671" s="47">
        <v>0</v>
      </c>
      <c r="J671" s="47">
        <v>0</v>
      </c>
      <c r="K671" s="47">
        <v>0</v>
      </c>
      <c r="L671" s="47">
        <v>0</v>
      </c>
      <c r="M671" s="47">
        <v>0</v>
      </c>
      <c r="N671" s="47">
        <v>0</v>
      </c>
      <c r="O671" s="47">
        <v>0</v>
      </c>
      <c r="P671" s="47">
        <v>0</v>
      </c>
      <c r="Q671" s="47">
        <v>0</v>
      </c>
      <c r="R671" s="47">
        <v>0</v>
      </c>
      <c r="S671" s="47">
        <v>0</v>
      </c>
      <c r="T671" s="47">
        <v>0</v>
      </c>
      <c r="U671" s="47">
        <v>0</v>
      </c>
      <c r="V671" s="47">
        <v>0</v>
      </c>
      <c r="W671" s="47">
        <v>0</v>
      </c>
      <c r="X671" s="47">
        <v>0</v>
      </c>
      <c r="Y671" s="48">
        <v>6427176.71</v>
      </c>
      <c r="Z671" s="66">
        <v>7595.37</v>
      </c>
      <c r="AA671" s="50">
        <v>2528.4</v>
      </c>
      <c r="AB671" s="50">
        <v>0</v>
      </c>
      <c r="AC671" s="50">
        <v>0</v>
      </c>
      <c r="AD671" s="62">
        <v>59525.47</v>
      </c>
      <c r="AE671" s="50">
        <v>0</v>
      </c>
      <c r="AF671" s="50">
        <v>0</v>
      </c>
      <c r="AG671" s="49">
        <v>62053.87</v>
      </c>
      <c r="AH671" s="194" t="s">
        <v>779</v>
      </c>
      <c r="AI671" s="70" t="s">
        <v>74</v>
      </c>
      <c r="AJ671" s="70" t="s">
        <v>74</v>
      </c>
      <c r="AK671" s="193" t="s">
        <v>780</v>
      </c>
      <c r="AL671" s="70" t="s">
        <v>74</v>
      </c>
      <c r="AM671" s="70" t="s">
        <v>74</v>
      </c>
      <c r="AN671" s="52">
        <v>0</v>
      </c>
      <c r="AO671" s="52">
        <v>0</v>
      </c>
      <c r="AP671" s="52">
        <v>0</v>
      </c>
      <c r="AQ671" s="52">
        <v>0</v>
      </c>
      <c r="AR671" s="52">
        <v>0</v>
      </c>
      <c r="AS671" s="52">
        <v>0</v>
      </c>
      <c r="AT671" s="53" t="s">
        <v>74</v>
      </c>
      <c r="AU671" s="52">
        <v>0</v>
      </c>
      <c r="AV671" s="52"/>
      <c r="AW671" s="52">
        <v>0</v>
      </c>
      <c r="AX671" s="52"/>
      <c r="AY671" s="52"/>
      <c r="AZ671" s="52">
        <v>0</v>
      </c>
      <c r="BA671" s="52">
        <v>0</v>
      </c>
      <c r="BB671" s="54" t="s">
        <v>74</v>
      </c>
      <c r="BC671" s="53" t="s">
        <v>74</v>
      </c>
      <c r="BD671" s="55" t="s">
        <v>74</v>
      </c>
      <c r="BE671" s="55" t="s">
        <v>74</v>
      </c>
      <c r="BF671" s="55" t="s">
        <v>74</v>
      </c>
      <c r="BG671" s="55" t="s">
        <v>74</v>
      </c>
      <c r="BH671" s="52">
        <v>0</v>
      </c>
      <c r="BI671" s="52">
        <v>6365122.8399999999</v>
      </c>
      <c r="BJ671" s="52">
        <v>6365122.8399999999</v>
      </c>
      <c r="BK671" s="56">
        <v>44105</v>
      </c>
      <c r="BL671" s="63">
        <v>6365122.8399999999</v>
      </c>
      <c r="BM671" s="47">
        <v>0</v>
      </c>
      <c r="BN671" s="9"/>
      <c r="BO671" s="9"/>
      <c r="BP671" s="9"/>
      <c r="BQ671" s="9"/>
      <c r="BR671" s="9"/>
      <c r="BS671" s="9"/>
      <c r="BT671" s="9"/>
      <c r="BU671" s="9"/>
      <c r="BV671" s="9"/>
      <c r="BW671" s="9"/>
    </row>
    <row r="672" spans="1:75" ht="77.25" hidden="1" outlineLevel="2" x14ac:dyDescent="0.25">
      <c r="A672" s="43" t="s">
        <v>754</v>
      </c>
      <c r="B672" s="110" t="s">
        <v>755</v>
      </c>
      <c r="C672" s="45">
        <v>2020</v>
      </c>
      <c r="D672" s="110" t="s">
        <v>90</v>
      </c>
      <c r="E672" s="47">
        <v>5345828.82</v>
      </c>
      <c r="F672" s="47">
        <v>1081347.8899999999</v>
      </c>
      <c r="G672" s="47">
        <v>0</v>
      </c>
      <c r="H672" s="47">
        <v>0</v>
      </c>
      <c r="I672" s="47">
        <v>0</v>
      </c>
      <c r="J672" s="47">
        <v>0</v>
      </c>
      <c r="K672" s="47">
        <v>0</v>
      </c>
      <c r="L672" s="47">
        <v>0</v>
      </c>
      <c r="M672" s="47">
        <v>0</v>
      </c>
      <c r="N672" s="47">
        <v>0</v>
      </c>
      <c r="O672" s="47">
        <v>0</v>
      </c>
      <c r="P672" s="47">
        <v>0</v>
      </c>
      <c r="Q672" s="47">
        <v>0</v>
      </c>
      <c r="R672" s="47">
        <v>0</v>
      </c>
      <c r="S672" s="47">
        <v>0</v>
      </c>
      <c r="T672" s="47">
        <v>0</v>
      </c>
      <c r="U672" s="47">
        <v>0</v>
      </c>
      <c r="V672" s="47">
        <v>0</v>
      </c>
      <c r="W672" s="47">
        <v>0</v>
      </c>
      <c r="X672" s="47">
        <v>0</v>
      </c>
      <c r="Y672" s="48">
        <v>6427176.71</v>
      </c>
      <c r="Z672" s="66">
        <v>7809.79</v>
      </c>
      <c r="AA672" s="62">
        <v>7809.79</v>
      </c>
      <c r="AB672" s="50">
        <v>5066.97</v>
      </c>
      <c r="AC672" s="50">
        <v>0</v>
      </c>
      <c r="AD672" s="62">
        <v>54244.08</v>
      </c>
      <c r="AE672" s="50">
        <v>0</v>
      </c>
      <c r="AF672" s="50">
        <v>0</v>
      </c>
      <c r="AG672" s="49">
        <v>67120.84</v>
      </c>
      <c r="AH672" s="51" t="s">
        <v>104</v>
      </c>
      <c r="AI672" s="193" t="s">
        <v>781</v>
      </c>
      <c r="AJ672" s="70" t="s">
        <v>74</v>
      </c>
      <c r="AK672" s="193" t="s">
        <v>782</v>
      </c>
      <c r="AL672" s="70" t="s">
        <v>74</v>
      </c>
      <c r="AM672" s="70" t="s">
        <v>74</v>
      </c>
      <c r="AN672" s="52">
        <v>0</v>
      </c>
      <c r="AO672" s="52">
        <v>0</v>
      </c>
      <c r="AP672" s="52">
        <v>0</v>
      </c>
      <c r="AQ672" s="52">
        <v>0</v>
      </c>
      <c r="AR672" s="52">
        <v>0</v>
      </c>
      <c r="AS672" s="52">
        <v>0</v>
      </c>
      <c r="AT672" s="53" t="s">
        <v>74</v>
      </c>
      <c r="AU672" s="52">
        <v>0</v>
      </c>
      <c r="AV672" s="52"/>
      <c r="AW672" s="52">
        <v>0</v>
      </c>
      <c r="AX672" s="52"/>
      <c r="AY672" s="52"/>
      <c r="AZ672" s="52">
        <v>0</v>
      </c>
      <c r="BA672" s="52">
        <v>0</v>
      </c>
      <c r="BB672" s="54" t="s">
        <v>74</v>
      </c>
      <c r="BC672" s="53" t="s">
        <v>74</v>
      </c>
      <c r="BD672" s="55" t="s">
        <v>74</v>
      </c>
      <c r="BE672" s="55" t="s">
        <v>74</v>
      </c>
      <c r="BF672" s="55" t="s">
        <v>74</v>
      </c>
      <c r="BG672" s="55" t="s">
        <v>74</v>
      </c>
      <c r="BH672" s="52">
        <v>0</v>
      </c>
      <c r="BI672" s="52">
        <v>6360055.8700000001</v>
      </c>
      <c r="BJ672" s="52">
        <v>6360055.8700000001</v>
      </c>
      <c r="BK672" s="56">
        <v>44136</v>
      </c>
      <c r="BL672" s="63">
        <v>6360055.8700000001</v>
      </c>
      <c r="BM672" s="47">
        <v>0</v>
      </c>
      <c r="BN672" s="9"/>
      <c r="BO672" s="9"/>
      <c r="BP672" s="9"/>
      <c r="BQ672" s="9"/>
      <c r="BR672" s="9"/>
      <c r="BS672" s="9"/>
      <c r="BT672" s="9"/>
      <c r="BU672" s="9"/>
      <c r="BV672" s="9"/>
      <c r="BW672" s="9"/>
    </row>
    <row r="673" spans="1:75" ht="128.25" hidden="1" outlineLevel="2" x14ac:dyDescent="0.25">
      <c r="A673" s="43" t="s">
        <v>754</v>
      </c>
      <c r="B673" s="110" t="s">
        <v>755</v>
      </c>
      <c r="C673" s="45">
        <v>2020</v>
      </c>
      <c r="D673" s="110" t="s">
        <v>93</v>
      </c>
      <c r="E673" s="47">
        <v>5345828.82</v>
      </c>
      <c r="F673" s="47">
        <v>1081347.8899999999</v>
      </c>
      <c r="G673" s="47">
        <v>0</v>
      </c>
      <c r="H673" s="47">
        <v>0</v>
      </c>
      <c r="I673" s="47">
        <v>0</v>
      </c>
      <c r="J673" s="47">
        <v>0</v>
      </c>
      <c r="K673" s="47">
        <v>0</v>
      </c>
      <c r="L673" s="47">
        <v>0</v>
      </c>
      <c r="M673" s="47">
        <v>0</v>
      </c>
      <c r="N673" s="47">
        <v>0</v>
      </c>
      <c r="O673" s="47">
        <v>0</v>
      </c>
      <c r="P673" s="47">
        <v>0</v>
      </c>
      <c r="Q673" s="47">
        <v>0</v>
      </c>
      <c r="R673" s="47">
        <v>0</v>
      </c>
      <c r="S673" s="47">
        <v>0</v>
      </c>
      <c r="T673" s="47">
        <v>0</v>
      </c>
      <c r="U673" s="47">
        <v>0</v>
      </c>
      <c r="V673" s="47">
        <v>0</v>
      </c>
      <c r="W673" s="47">
        <v>0</v>
      </c>
      <c r="X673" s="47">
        <v>0</v>
      </c>
      <c r="Y673" s="48">
        <v>6427176.71</v>
      </c>
      <c r="Z673" s="67">
        <v>12096.07</v>
      </c>
      <c r="AA673" s="62">
        <v>12096.07</v>
      </c>
      <c r="AB673" s="50">
        <v>0</v>
      </c>
      <c r="AC673" s="50">
        <v>0</v>
      </c>
      <c r="AD673" s="50">
        <v>49957.79</v>
      </c>
      <c r="AE673" s="50">
        <v>0</v>
      </c>
      <c r="AF673" s="50">
        <v>0</v>
      </c>
      <c r="AG673" s="49">
        <v>62053.86</v>
      </c>
      <c r="AH673" s="51" t="s">
        <v>104</v>
      </c>
      <c r="AI673" s="70" t="s">
        <v>74</v>
      </c>
      <c r="AJ673" s="70" t="s">
        <v>74</v>
      </c>
      <c r="AK673" s="193" t="s">
        <v>783</v>
      </c>
      <c r="AL673" s="70" t="s">
        <v>74</v>
      </c>
      <c r="AM673" s="70" t="s">
        <v>74</v>
      </c>
      <c r="AN673" s="52">
        <v>0</v>
      </c>
      <c r="AO673" s="52">
        <v>0</v>
      </c>
      <c r="AP673" s="52">
        <v>0</v>
      </c>
      <c r="AQ673" s="52">
        <v>0</v>
      </c>
      <c r="AR673" s="52">
        <v>0</v>
      </c>
      <c r="AS673" s="52">
        <v>0</v>
      </c>
      <c r="AT673" s="53" t="s">
        <v>74</v>
      </c>
      <c r="AU673" s="52">
        <v>0</v>
      </c>
      <c r="AV673" s="52"/>
      <c r="AW673" s="52">
        <v>0</v>
      </c>
      <c r="AX673" s="52"/>
      <c r="AY673" s="52"/>
      <c r="AZ673" s="52">
        <v>0</v>
      </c>
      <c r="BA673" s="52">
        <v>0</v>
      </c>
      <c r="BB673" s="54" t="s">
        <v>74</v>
      </c>
      <c r="BC673" s="53" t="s">
        <v>74</v>
      </c>
      <c r="BD673" s="55" t="s">
        <v>74</v>
      </c>
      <c r="BE673" s="55" t="s">
        <v>74</v>
      </c>
      <c r="BF673" s="55" t="s">
        <v>74</v>
      </c>
      <c r="BG673" s="55" t="s">
        <v>74</v>
      </c>
      <c r="BH673" s="52">
        <v>0</v>
      </c>
      <c r="BI673" s="52">
        <v>6365122.8499999996</v>
      </c>
      <c r="BJ673" s="52">
        <v>6365122.8499999996</v>
      </c>
      <c r="BK673" s="56">
        <v>44166</v>
      </c>
      <c r="BL673" s="63">
        <v>6365122.8499999996</v>
      </c>
      <c r="BM673" s="47">
        <v>0</v>
      </c>
      <c r="BN673" s="9"/>
      <c r="BO673" s="9"/>
      <c r="BP673" s="9"/>
      <c r="BQ673" s="9"/>
      <c r="BR673" s="9"/>
      <c r="BS673" s="9"/>
      <c r="BT673" s="9"/>
      <c r="BU673" s="9"/>
      <c r="BV673" s="9"/>
      <c r="BW673" s="9"/>
    </row>
    <row r="674" spans="1:75" ht="128.25" hidden="1" outlineLevel="2" x14ac:dyDescent="0.25">
      <c r="A674" s="43" t="s">
        <v>754</v>
      </c>
      <c r="B674" s="110" t="s">
        <v>755</v>
      </c>
      <c r="C674" s="45">
        <v>2021</v>
      </c>
      <c r="D674" s="110" t="s">
        <v>73</v>
      </c>
      <c r="E674" s="47">
        <v>5345828.82</v>
      </c>
      <c r="F674" s="134">
        <v>540673.94999999995</v>
      </c>
      <c r="G674" s="47">
        <v>0</v>
      </c>
      <c r="H674" s="47">
        <v>0</v>
      </c>
      <c r="I674" s="47">
        <v>0</v>
      </c>
      <c r="J674" s="47">
        <v>0</v>
      </c>
      <c r="K674" s="47">
        <v>0</v>
      </c>
      <c r="L674" s="47">
        <v>0</v>
      </c>
      <c r="M674" s="47">
        <v>0</v>
      </c>
      <c r="N674" s="47">
        <v>0</v>
      </c>
      <c r="O674" s="47">
        <v>0</v>
      </c>
      <c r="P674" s="47">
        <v>0</v>
      </c>
      <c r="Q674" s="47">
        <v>0</v>
      </c>
      <c r="R674" s="47">
        <v>0</v>
      </c>
      <c r="S674" s="47">
        <v>0</v>
      </c>
      <c r="T674" s="47">
        <v>0</v>
      </c>
      <c r="U674" s="47">
        <v>0</v>
      </c>
      <c r="V674" s="47">
        <v>0</v>
      </c>
      <c r="W674" s="47">
        <v>0</v>
      </c>
      <c r="X674" s="47">
        <v>0</v>
      </c>
      <c r="Y674" s="48">
        <f t="shared" ref="Y674:Y683" si="99">SUM(E674:X674)</f>
        <v>5886502.7700000005</v>
      </c>
      <c r="Z674" s="66">
        <v>18582.46</v>
      </c>
      <c r="AA674" s="62">
        <v>18582.46</v>
      </c>
      <c r="AB674" s="50">
        <v>0</v>
      </c>
      <c r="AC674" s="50">
        <v>0</v>
      </c>
      <c r="AD674" s="50">
        <v>80747.22</v>
      </c>
      <c r="AE674" s="50">
        <v>0</v>
      </c>
      <c r="AF674" s="50">
        <v>0</v>
      </c>
      <c r="AG674" s="49">
        <f t="shared" ref="AG674:AG683" si="100">SUM(AA674:AF674)</f>
        <v>99329.68</v>
      </c>
      <c r="AH674" s="51" t="s">
        <v>104</v>
      </c>
      <c r="AI674" s="70" t="s">
        <v>74</v>
      </c>
      <c r="AJ674" s="70" t="s">
        <v>74</v>
      </c>
      <c r="AK674" s="193" t="s">
        <v>784</v>
      </c>
      <c r="AL674" s="70" t="s">
        <v>74</v>
      </c>
      <c r="AM674" s="70" t="s">
        <v>74</v>
      </c>
      <c r="AN674" s="52">
        <v>0</v>
      </c>
      <c r="AO674" s="52">
        <v>0</v>
      </c>
      <c r="AP674" s="52">
        <v>0</v>
      </c>
      <c r="AQ674" s="52">
        <v>0</v>
      </c>
      <c r="AR674" s="52">
        <v>0</v>
      </c>
      <c r="AS674" s="52">
        <f t="shared" ref="AS674:AS683" si="101">AN674+AO674+AP674+AQ674+AR674</f>
        <v>0</v>
      </c>
      <c r="AT674" s="53" t="s">
        <v>74</v>
      </c>
      <c r="AU674" s="52">
        <v>0</v>
      </c>
      <c r="AV674" s="52">
        <v>0</v>
      </c>
      <c r="AW674" s="52">
        <v>0</v>
      </c>
      <c r="AX674" s="59">
        <v>615514.02</v>
      </c>
      <c r="AY674" s="52">
        <v>0</v>
      </c>
      <c r="AZ674" s="52">
        <v>0</v>
      </c>
      <c r="BA674" s="52">
        <f t="shared" ref="BA674:BA683" si="102">AU674+AW674+AX674+AZ674</f>
        <v>615514.02</v>
      </c>
      <c r="BB674" s="54" t="s">
        <v>74</v>
      </c>
      <c r="BC674" s="53" t="s">
        <v>74</v>
      </c>
      <c r="BD674" s="55" t="s">
        <v>74</v>
      </c>
      <c r="BE674" s="51" t="s">
        <v>785</v>
      </c>
      <c r="BF674" s="55" t="s">
        <v>74</v>
      </c>
      <c r="BG674" s="55" t="s">
        <v>74</v>
      </c>
      <c r="BH674" s="52">
        <f t="shared" ref="BH674:BH683" si="103">AS674+BA674</f>
        <v>615514.02</v>
      </c>
      <c r="BI674" s="52">
        <f t="shared" ref="BI674:BI683" si="104">Y674-AG674+BH674</f>
        <v>6402687.1100000013</v>
      </c>
      <c r="BJ674" s="52">
        <v>6402687.1100000003</v>
      </c>
      <c r="BK674" s="56">
        <v>44197</v>
      </c>
      <c r="BL674" s="63">
        <v>6402687.1100000003</v>
      </c>
      <c r="BM674" s="47">
        <v>0</v>
      </c>
      <c r="BN674" s="9"/>
      <c r="BO674" s="9"/>
      <c r="BP674" s="9"/>
      <c r="BQ674" s="9"/>
      <c r="BR674" s="9"/>
      <c r="BS674" s="9"/>
      <c r="BT674" s="9"/>
      <c r="BU674" s="9"/>
      <c r="BV674" s="9"/>
      <c r="BW674" s="9"/>
    </row>
    <row r="675" spans="1:75" ht="153.75" hidden="1" outlineLevel="2" x14ac:dyDescent="0.25">
      <c r="A675" s="43" t="s">
        <v>754</v>
      </c>
      <c r="B675" s="110" t="s">
        <v>755</v>
      </c>
      <c r="C675" s="45">
        <v>2021</v>
      </c>
      <c r="D675" s="110" t="s">
        <v>75</v>
      </c>
      <c r="E675" s="47">
        <v>5345828.82</v>
      </c>
      <c r="F675" s="47">
        <v>0</v>
      </c>
      <c r="G675" s="47">
        <v>0</v>
      </c>
      <c r="H675" s="47">
        <v>0</v>
      </c>
      <c r="I675" s="47">
        <v>0</v>
      </c>
      <c r="J675" s="47">
        <v>0</v>
      </c>
      <c r="K675" s="47">
        <v>0</v>
      </c>
      <c r="L675" s="47">
        <v>0</v>
      </c>
      <c r="M675" s="47">
        <v>0</v>
      </c>
      <c r="N675" s="47">
        <v>0</v>
      </c>
      <c r="O675" s="47">
        <v>0</v>
      </c>
      <c r="P675" s="47">
        <v>0</v>
      </c>
      <c r="Q675" s="47">
        <v>0</v>
      </c>
      <c r="R675" s="47">
        <v>0</v>
      </c>
      <c r="S675" s="47">
        <v>0</v>
      </c>
      <c r="T675" s="47">
        <v>0</v>
      </c>
      <c r="U675" s="47">
        <v>0</v>
      </c>
      <c r="V675" s="47">
        <v>0</v>
      </c>
      <c r="W675" s="47">
        <v>0</v>
      </c>
      <c r="X675" s="47">
        <v>0</v>
      </c>
      <c r="Y675" s="48">
        <f t="shared" si="99"/>
        <v>5345828.82</v>
      </c>
      <c r="Z675" s="66">
        <v>21703.47</v>
      </c>
      <c r="AA675" s="62">
        <v>21703.47</v>
      </c>
      <c r="AB675" s="50">
        <v>0</v>
      </c>
      <c r="AC675" s="50">
        <v>0</v>
      </c>
      <c r="AD675" s="62">
        <v>60099.54</v>
      </c>
      <c r="AE675" s="50">
        <v>0</v>
      </c>
      <c r="AF675" s="50">
        <v>0</v>
      </c>
      <c r="AG675" s="49">
        <f t="shared" si="100"/>
        <v>81803.010000000009</v>
      </c>
      <c r="AH675" s="51" t="s">
        <v>104</v>
      </c>
      <c r="AI675" s="70" t="s">
        <v>74</v>
      </c>
      <c r="AJ675" s="70" t="s">
        <v>74</v>
      </c>
      <c r="AK675" s="70" t="s">
        <v>786</v>
      </c>
      <c r="AL675" s="70" t="s">
        <v>74</v>
      </c>
      <c r="AM675" s="70" t="s">
        <v>74</v>
      </c>
      <c r="AN675" s="52">
        <v>0</v>
      </c>
      <c r="AO675" s="52">
        <v>0</v>
      </c>
      <c r="AP675" s="52">
        <v>0</v>
      </c>
      <c r="AQ675" s="52">
        <v>0</v>
      </c>
      <c r="AR675" s="52">
        <v>0</v>
      </c>
      <c r="AS675" s="52">
        <f t="shared" si="101"/>
        <v>0</v>
      </c>
      <c r="AT675" s="53" t="s">
        <v>74</v>
      </c>
      <c r="AU675" s="52">
        <v>0</v>
      </c>
      <c r="AV675" s="52">
        <v>0</v>
      </c>
      <c r="AW675" s="52">
        <v>0</v>
      </c>
      <c r="AX675" s="52">
        <v>1231028.04</v>
      </c>
      <c r="AY675" s="52"/>
      <c r="AZ675" s="52">
        <v>0</v>
      </c>
      <c r="BA675" s="52">
        <f t="shared" si="102"/>
        <v>1231028.04</v>
      </c>
      <c r="BB675" s="54" t="s">
        <v>74</v>
      </c>
      <c r="BC675" s="53" t="s">
        <v>74</v>
      </c>
      <c r="BD675" s="55" t="s">
        <v>74</v>
      </c>
      <c r="BE675" s="55" t="s">
        <v>787</v>
      </c>
      <c r="BF675" s="55" t="s">
        <v>74</v>
      </c>
      <c r="BG675" s="55" t="s">
        <v>74</v>
      </c>
      <c r="BH675" s="52">
        <f t="shared" si="103"/>
        <v>1231028.04</v>
      </c>
      <c r="BI675" s="52">
        <f t="shared" si="104"/>
        <v>6495053.8500000006</v>
      </c>
      <c r="BJ675" s="52">
        <v>5264025.8099999996</v>
      </c>
      <c r="BK675" s="56">
        <v>44228</v>
      </c>
      <c r="BL675" s="57">
        <f>5264025.81+1231028.04</f>
        <v>6495053.8499999996</v>
      </c>
      <c r="BM675" s="47">
        <v>0</v>
      </c>
      <c r="BN675" s="9"/>
      <c r="BO675" s="9"/>
      <c r="BP675" s="9"/>
      <c r="BQ675" s="9"/>
      <c r="BR675" s="9"/>
      <c r="BS675" s="9"/>
      <c r="BT675" s="9"/>
      <c r="BU675" s="9"/>
      <c r="BV675" s="9"/>
      <c r="BW675" s="9"/>
    </row>
    <row r="676" spans="1:75" ht="166.5" hidden="1" outlineLevel="2" x14ac:dyDescent="0.25">
      <c r="A676" s="43" t="s">
        <v>754</v>
      </c>
      <c r="B676" s="110" t="s">
        <v>755</v>
      </c>
      <c r="C676" s="45">
        <v>2021</v>
      </c>
      <c r="D676" s="110" t="s">
        <v>77</v>
      </c>
      <c r="E676" s="47">
        <v>5345828.82</v>
      </c>
      <c r="F676" s="47">
        <v>0</v>
      </c>
      <c r="G676" s="47">
        <v>0</v>
      </c>
      <c r="H676" s="47">
        <v>0</v>
      </c>
      <c r="I676" s="47">
        <v>0</v>
      </c>
      <c r="J676" s="47">
        <v>0</v>
      </c>
      <c r="K676" s="47">
        <v>0</v>
      </c>
      <c r="L676" s="47">
        <v>0</v>
      </c>
      <c r="M676" s="47">
        <v>0</v>
      </c>
      <c r="N676" s="47">
        <v>0</v>
      </c>
      <c r="O676" s="47">
        <v>0</v>
      </c>
      <c r="P676" s="47">
        <v>0</v>
      </c>
      <c r="Q676" s="47">
        <v>0</v>
      </c>
      <c r="R676" s="47">
        <v>0</v>
      </c>
      <c r="S676" s="47">
        <v>0</v>
      </c>
      <c r="T676" s="47">
        <v>0</v>
      </c>
      <c r="U676" s="47">
        <v>0</v>
      </c>
      <c r="V676" s="47">
        <v>0</v>
      </c>
      <c r="W676" s="47">
        <v>0</v>
      </c>
      <c r="X676" s="47">
        <v>0</v>
      </c>
      <c r="Y676" s="48">
        <f t="shared" si="99"/>
        <v>5345828.82</v>
      </c>
      <c r="Z676" s="66">
        <v>16078.87</v>
      </c>
      <c r="AA676" s="62">
        <v>16078.87</v>
      </c>
      <c r="AB676" s="50">
        <v>0</v>
      </c>
      <c r="AC676" s="50">
        <v>0</v>
      </c>
      <c r="AD676" s="62">
        <v>61124.73</v>
      </c>
      <c r="AE676" s="50">
        <v>0</v>
      </c>
      <c r="AF676" s="50">
        <v>0</v>
      </c>
      <c r="AG676" s="49">
        <f t="shared" si="100"/>
        <v>77203.600000000006</v>
      </c>
      <c r="AH676" s="51" t="s">
        <v>104</v>
      </c>
      <c r="AI676" s="70" t="s">
        <v>74</v>
      </c>
      <c r="AJ676" s="70" t="s">
        <v>74</v>
      </c>
      <c r="AK676" s="70" t="s">
        <v>687</v>
      </c>
      <c r="AL676" s="70" t="s">
        <v>74</v>
      </c>
      <c r="AM676" s="70" t="s">
        <v>74</v>
      </c>
      <c r="AN676" s="52">
        <v>0</v>
      </c>
      <c r="AO676" s="52">
        <v>0</v>
      </c>
      <c r="AP676" s="52">
        <v>0</v>
      </c>
      <c r="AQ676" s="52">
        <v>0</v>
      </c>
      <c r="AR676" s="52">
        <v>0</v>
      </c>
      <c r="AS676" s="52">
        <f t="shared" si="101"/>
        <v>0</v>
      </c>
      <c r="AT676" s="53" t="s">
        <v>74</v>
      </c>
      <c r="AU676" s="52">
        <v>0</v>
      </c>
      <c r="AV676" s="52">
        <v>0</v>
      </c>
      <c r="AW676" s="52">
        <v>0</v>
      </c>
      <c r="AX676" s="52">
        <v>1231028.04</v>
      </c>
      <c r="AY676" s="52"/>
      <c r="AZ676" s="52">
        <v>0</v>
      </c>
      <c r="BA676" s="52">
        <f t="shared" si="102"/>
        <v>1231028.04</v>
      </c>
      <c r="BB676" s="54" t="s">
        <v>74</v>
      </c>
      <c r="BC676" s="53" t="s">
        <v>74</v>
      </c>
      <c r="BD676" s="55" t="s">
        <v>74</v>
      </c>
      <c r="BE676" s="55" t="s">
        <v>788</v>
      </c>
      <c r="BF676" s="55" t="s">
        <v>74</v>
      </c>
      <c r="BG676" s="55" t="s">
        <v>74</v>
      </c>
      <c r="BH676" s="52">
        <f t="shared" si="103"/>
        <v>1231028.04</v>
      </c>
      <c r="BI676" s="52">
        <f t="shared" si="104"/>
        <v>6499653.2600000007</v>
      </c>
      <c r="BJ676" s="52">
        <v>5268625.22</v>
      </c>
      <c r="BK676" s="56">
        <v>44256</v>
      </c>
      <c r="BL676" s="63">
        <f>5268625.22+1231028.04</f>
        <v>6499653.2599999998</v>
      </c>
      <c r="BM676" s="47">
        <v>0</v>
      </c>
      <c r="BN676" s="9"/>
      <c r="BO676" s="9"/>
      <c r="BP676" s="9"/>
      <c r="BQ676" s="9"/>
      <c r="BR676" s="9"/>
      <c r="BS676" s="9"/>
      <c r="BT676" s="9"/>
      <c r="BU676" s="9"/>
      <c r="BV676" s="9"/>
      <c r="BW676" s="9"/>
    </row>
    <row r="677" spans="1:75" ht="153.75" hidden="1" outlineLevel="2" x14ac:dyDescent="0.25">
      <c r="A677" s="43" t="s">
        <v>754</v>
      </c>
      <c r="B677" s="110" t="s">
        <v>755</v>
      </c>
      <c r="C677" s="45">
        <v>2021</v>
      </c>
      <c r="D677" s="110" t="s">
        <v>79</v>
      </c>
      <c r="E677" s="47">
        <v>5345828.82</v>
      </c>
      <c r="F677" s="47">
        <v>0</v>
      </c>
      <c r="G677" s="47">
        <v>328274.14</v>
      </c>
      <c r="H677" s="47">
        <v>0</v>
      </c>
      <c r="I677" s="47">
        <v>0</v>
      </c>
      <c r="J677" s="47">
        <v>0</v>
      </c>
      <c r="K677" s="47">
        <v>0</v>
      </c>
      <c r="L677" s="47">
        <v>0</v>
      </c>
      <c r="M677" s="47">
        <v>0</v>
      </c>
      <c r="N677" s="47">
        <v>0</v>
      </c>
      <c r="O677" s="47">
        <v>0</v>
      </c>
      <c r="P677" s="47">
        <v>0</v>
      </c>
      <c r="Q677" s="47">
        <v>0</v>
      </c>
      <c r="R677" s="47">
        <v>0</v>
      </c>
      <c r="S677" s="47">
        <v>0</v>
      </c>
      <c r="T677" s="47">
        <v>0</v>
      </c>
      <c r="U677" s="47">
        <v>0</v>
      </c>
      <c r="V677" s="47">
        <v>0</v>
      </c>
      <c r="W677" s="47">
        <v>0</v>
      </c>
      <c r="X677" s="47">
        <v>0</v>
      </c>
      <c r="Y677" s="48">
        <f t="shared" si="99"/>
        <v>5674102.96</v>
      </c>
      <c r="Z677" s="66">
        <v>18879.16</v>
      </c>
      <c r="AA677" s="62">
        <v>18879.16</v>
      </c>
      <c r="AB677" s="50">
        <v>0</v>
      </c>
      <c r="AC677" s="50">
        <v>0</v>
      </c>
      <c r="AD677" s="62">
        <v>54681.52</v>
      </c>
      <c r="AE677" s="50">
        <v>0</v>
      </c>
      <c r="AF677" s="50">
        <v>0</v>
      </c>
      <c r="AG677" s="49">
        <f t="shared" si="100"/>
        <v>73560.679999999993</v>
      </c>
      <c r="AH677" s="51" t="s">
        <v>104</v>
      </c>
      <c r="AI677" s="70" t="s">
        <v>74</v>
      </c>
      <c r="AJ677" s="70" t="s">
        <v>74</v>
      </c>
      <c r="AK677" s="70" t="s">
        <v>409</v>
      </c>
      <c r="AL677" s="70" t="s">
        <v>74</v>
      </c>
      <c r="AM677" s="70" t="s">
        <v>74</v>
      </c>
      <c r="AN677" s="52">
        <v>0</v>
      </c>
      <c r="AO677" s="52">
        <v>0</v>
      </c>
      <c r="AP677" s="52">
        <v>0</v>
      </c>
      <c r="AQ677" s="52">
        <v>0</v>
      </c>
      <c r="AR677" s="52">
        <v>0</v>
      </c>
      <c r="AS677" s="52">
        <f t="shared" si="101"/>
        <v>0</v>
      </c>
      <c r="AT677" s="53" t="s">
        <v>74</v>
      </c>
      <c r="AU677" s="52">
        <v>0</v>
      </c>
      <c r="AV677" s="52">
        <v>0</v>
      </c>
      <c r="AW677" s="52">
        <v>0</v>
      </c>
      <c r="AX677" s="52">
        <v>1012358.59</v>
      </c>
      <c r="AY677" s="52"/>
      <c r="AZ677" s="52">
        <v>0</v>
      </c>
      <c r="BA677" s="52">
        <f t="shared" si="102"/>
        <v>1012358.59</v>
      </c>
      <c r="BB677" s="54" t="s">
        <v>74</v>
      </c>
      <c r="BC677" s="53" t="s">
        <v>74</v>
      </c>
      <c r="BD677" s="55" t="s">
        <v>74</v>
      </c>
      <c r="BE677" s="55" t="s">
        <v>789</v>
      </c>
      <c r="BF677" s="55" t="s">
        <v>74</v>
      </c>
      <c r="BG677" s="55" t="s">
        <v>74</v>
      </c>
      <c r="BH677" s="52">
        <f t="shared" si="103"/>
        <v>1012358.59</v>
      </c>
      <c r="BI677" s="52">
        <f t="shared" si="104"/>
        <v>6612900.8700000001</v>
      </c>
      <c r="BJ677" s="52">
        <v>5600542.2800000003</v>
      </c>
      <c r="BK677" s="56">
        <v>44287</v>
      </c>
      <c r="BL677" s="63">
        <f>5600542.28+1012358.59</f>
        <v>6612900.8700000001</v>
      </c>
      <c r="BM677" s="47">
        <v>0</v>
      </c>
      <c r="BN677" s="9"/>
      <c r="BO677" s="9"/>
      <c r="BP677" s="9"/>
      <c r="BQ677" s="9"/>
      <c r="BR677" s="9"/>
      <c r="BS677" s="9"/>
      <c r="BT677" s="9"/>
      <c r="BU677" s="9"/>
      <c r="BV677" s="9"/>
      <c r="BW677" s="9"/>
    </row>
    <row r="678" spans="1:75" ht="26.25" hidden="1" outlineLevel="2" x14ac:dyDescent="0.25">
      <c r="A678" s="43" t="s">
        <v>754</v>
      </c>
      <c r="B678" s="110" t="s">
        <v>755</v>
      </c>
      <c r="C678" s="45">
        <v>2021</v>
      </c>
      <c r="D678" s="110" t="s">
        <v>81</v>
      </c>
      <c r="E678" s="47">
        <v>5345828.82</v>
      </c>
      <c r="F678" s="47">
        <v>0</v>
      </c>
      <c r="G678" s="134">
        <v>1231028.04</v>
      </c>
      <c r="H678" s="47">
        <v>0</v>
      </c>
      <c r="I678" s="47">
        <v>0</v>
      </c>
      <c r="J678" s="47">
        <v>0</v>
      </c>
      <c r="K678" s="47">
        <v>0</v>
      </c>
      <c r="L678" s="47">
        <v>0</v>
      </c>
      <c r="M678" s="47">
        <v>0</v>
      </c>
      <c r="N678" s="47">
        <v>0</v>
      </c>
      <c r="O678" s="47">
        <v>0</v>
      </c>
      <c r="P678" s="47">
        <v>0</v>
      </c>
      <c r="Q678" s="47">
        <v>0</v>
      </c>
      <c r="R678" s="47">
        <v>0</v>
      </c>
      <c r="S678" s="47">
        <v>0</v>
      </c>
      <c r="T678" s="47">
        <v>0</v>
      </c>
      <c r="U678" s="47">
        <v>0</v>
      </c>
      <c r="V678" s="47">
        <v>0</v>
      </c>
      <c r="W678" s="47">
        <v>0</v>
      </c>
      <c r="X678" s="47">
        <v>0</v>
      </c>
      <c r="Y678" s="48">
        <f t="shared" si="99"/>
        <v>6576856.8600000003</v>
      </c>
      <c r="Z678" s="66">
        <v>18564.72</v>
      </c>
      <c r="AA678" s="62">
        <v>18564.72</v>
      </c>
      <c r="AB678" s="50">
        <v>0</v>
      </c>
      <c r="AC678" s="50">
        <v>0</v>
      </c>
      <c r="AD678" s="62">
        <v>59634.71</v>
      </c>
      <c r="AE678" s="50">
        <v>0</v>
      </c>
      <c r="AF678" s="50">
        <v>0</v>
      </c>
      <c r="AG678" s="49">
        <f t="shared" si="100"/>
        <v>78199.429999999993</v>
      </c>
      <c r="AH678" s="51" t="s">
        <v>104</v>
      </c>
      <c r="AI678" s="70" t="s">
        <v>74</v>
      </c>
      <c r="AJ678" s="70" t="s">
        <v>74</v>
      </c>
      <c r="AK678" s="193" t="s">
        <v>790</v>
      </c>
      <c r="AL678" s="70" t="s">
        <v>74</v>
      </c>
      <c r="AM678" s="70" t="s">
        <v>74</v>
      </c>
      <c r="AN678" s="52">
        <v>0</v>
      </c>
      <c r="AO678" s="52">
        <v>0</v>
      </c>
      <c r="AP678" s="52">
        <v>0</v>
      </c>
      <c r="AQ678" s="52">
        <v>0</v>
      </c>
      <c r="AR678" s="52">
        <v>0</v>
      </c>
      <c r="AS678" s="52">
        <f t="shared" si="101"/>
        <v>0</v>
      </c>
      <c r="AT678" s="53" t="s">
        <v>74</v>
      </c>
      <c r="AU678" s="52">
        <v>0</v>
      </c>
      <c r="AV678" s="52">
        <v>0</v>
      </c>
      <c r="AW678" s="52">
        <v>0</v>
      </c>
      <c r="AX678" s="52">
        <v>0</v>
      </c>
      <c r="AY678" s="52">
        <v>0</v>
      </c>
      <c r="AZ678" s="52">
        <v>0</v>
      </c>
      <c r="BA678" s="52">
        <f t="shared" si="102"/>
        <v>0</v>
      </c>
      <c r="BB678" s="54" t="s">
        <v>74</v>
      </c>
      <c r="BC678" s="53" t="s">
        <v>74</v>
      </c>
      <c r="BD678" s="55" t="s">
        <v>74</v>
      </c>
      <c r="BE678" s="55" t="s">
        <v>74</v>
      </c>
      <c r="BF678" s="55" t="s">
        <v>74</v>
      </c>
      <c r="BG678" s="55" t="s">
        <v>74</v>
      </c>
      <c r="BH678" s="52">
        <f t="shared" si="103"/>
        <v>0</v>
      </c>
      <c r="BI678" s="52">
        <f t="shared" si="104"/>
        <v>6498657.4300000006</v>
      </c>
      <c r="BJ678" s="52">
        <v>6498657.4299999997</v>
      </c>
      <c r="BK678" s="56">
        <v>44317</v>
      </c>
      <c r="BL678" s="63">
        <v>6498657.4299999997</v>
      </c>
      <c r="BM678" s="47">
        <v>0</v>
      </c>
      <c r="BN678" s="9"/>
      <c r="BO678" s="9"/>
      <c r="BP678" s="9"/>
      <c r="BQ678" s="9"/>
      <c r="BR678" s="9"/>
      <c r="BS678" s="9"/>
      <c r="BT678" s="9"/>
      <c r="BU678" s="9"/>
      <c r="BV678" s="9"/>
      <c r="BW678" s="9"/>
    </row>
    <row r="679" spans="1:75" ht="26.25" hidden="1" outlineLevel="2" x14ac:dyDescent="0.25">
      <c r="A679" s="43" t="s">
        <v>754</v>
      </c>
      <c r="B679" s="110" t="s">
        <v>755</v>
      </c>
      <c r="C679" s="45">
        <v>2021</v>
      </c>
      <c r="D679" s="110" t="s">
        <v>83</v>
      </c>
      <c r="E679" s="47">
        <v>5345828.82</v>
      </c>
      <c r="F679" s="47">
        <v>0</v>
      </c>
      <c r="G679" s="134">
        <v>1231028.04</v>
      </c>
      <c r="H679" s="47">
        <v>0</v>
      </c>
      <c r="I679" s="47">
        <v>0</v>
      </c>
      <c r="J679" s="47">
        <v>0</v>
      </c>
      <c r="K679" s="47">
        <v>0</v>
      </c>
      <c r="L679" s="47">
        <v>0</v>
      </c>
      <c r="M679" s="47">
        <v>0</v>
      </c>
      <c r="N679" s="47">
        <v>0</v>
      </c>
      <c r="O679" s="47">
        <v>0</v>
      </c>
      <c r="P679" s="47">
        <v>0</v>
      </c>
      <c r="Q679" s="47">
        <v>0</v>
      </c>
      <c r="R679" s="47">
        <v>0</v>
      </c>
      <c r="S679" s="47">
        <v>0</v>
      </c>
      <c r="T679" s="47">
        <v>0</v>
      </c>
      <c r="U679" s="47">
        <v>0</v>
      </c>
      <c r="V679" s="47">
        <v>0</v>
      </c>
      <c r="W679" s="47">
        <v>0</v>
      </c>
      <c r="X679" s="47">
        <v>0</v>
      </c>
      <c r="Y679" s="48">
        <f t="shared" si="99"/>
        <v>6576856.8600000003</v>
      </c>
      <c r="Z679" s="146">
        <v>23321.9</v>
      </c>
      <c r="AA679" s="147">
        <v>23321.9</v>
      </c>
      <c r="AB679" s="159">
        <v>0</v>
      </c>
      <c r="AC679" s="159">
        <v>0</v>
      </c>
      <c r="AD679" s="148">
        <v>56190.66</v>
      </c>
      <c r="AE679" s="50">
        <v>0</v>
      </c>
      <c r="AF679" s="50">
        <v>0</v>
      </c>
      <c r="AG679" s="49">
        <f t="shared" si="100"/>
        <v>79512.56</v>
      </c>
      <c r="AH679" s="51" t="s">
        <v>104</v>
      </c>
      <c r="AI679" s="70" t="s">
        <v>74</v>
      </c>
      <c r="AJ679" s="70" t="s">
        <v>74</v>
      </c>
      <c r="AK679" s="193" t="s">
        <v>791</v>
      </c>
      <c r="AL679" s="70" t="s">
        <v>74</v>
      </c>
      <c r="AM679" s="70" t="s">
        <v>74</v>
      </c>
      <c r="AN679" s="52">
        <v>0</v>
      </c>
      <c r="AO679" s="52">
        <v>0</v>
      </c>
      <c r="AP679" s="52">
        <v>0</v>
      </c>
      <c r="AQ679" s="52">
        <v>0</v>
      </c>
      <c r="AR679" s="52">
        <v>0</v>
      </c>
      <c r="AS679" s="52">
        <f t="shared" si="101"/>
        <v>0</v>
      </c>
      <c r="AT679" s="53" t="s">
        <v>74</v>
      </c>
      <c r="AU679" s="52">
        <v>0</v>
      </c>
      <c r="AV679" s="52">
        <v>0</v>
      </c>
      <c r="AW679" s="52">
        <v>0</v>
      </c>
      <c r="AX679" s="52">
        <v>0</v>
      </c>
      <c r="AY679" s="52">
        <v>0</v>
      </c>
      <c r="AZ679" s="52">
        <v>0</v>
      </c>
      <c r="BA679" s="52">
        <f t="shared" si="102"/>
        <v>0</v>
      </c>
      <c r="BB679" s="54" t="s">
        <v>74</v>
      </c>
      <c r="BC679" s="53" t="s">
        <v>74</v>
      </c>
      <c r="BD679" s="55" t="s">
        <v>74</v>
      </c>
      <c r="BE679" s="55" t="s">
        <v>74</v>
      </c>
      <c r="BF679" s="55" t="s">
        <v>74</v>
      </c>
      <c r="BG679" s="55" t="s">
        <v>74</v>
      </c>
      <c r="BH679" s="52">
        <f t="shared" si="103"/>
        <v>0</v>
      </c>
      <c r="BI679" s="52">
        <f t="shared" si="104"/>
        <v>6497344.3000000007</v>
      </c>
      <c r="BJ679" s="52">
        <f>Y679-AG679+AX679</f>
        <v>6497344.3000000007</v>
      </c>
      <c r="BK679" s="56">
        <v>44348</v>
      </c>
      <c r="BL679" s="63">
        <f>6476856.86+20487.44</f>
        <v>6497344.3000000007</v>
      </c>
      <c r="BM679" s="47">
        <v>0</v>
      </c>
      <c r="BN679" s="9"/>
      <c r="BO679" s="9"/>
      <c r="BP679" s="9"/>
      <c r="BQ679" s="9"/>
      <c r="BR679" s="9"/>
      <c r="BS679" s="9"/>
      <c r="BT679" s="9"/>
      <c r="BU679" s="9"/>
      <c r="BV679" s="9"/>
      <c r="BW679" s="9"/>
    </row>
    <row r="680" spans="1:75" ht="204.75" hidden="1" outlineLevel="2" x14ac:dyDescent="0.25">
      <c r="A680" s="43" t="s">
        <v>754</v>
      </c>
      <c r="B680" s="110" t="s">
        <v>755</v>
      </c>
      <c r="C680" s="45">
        <v>2021</v>
      </c>
      <c r="D680" s="110" t="s">
        <v>84</v>
      </c>
      <c r="E680" s="47">
        <v>5345828.82</v>
      </c>
      <c r="F680" s="47">
        <v>0</v>
      </c>
      <c r="G680" s="134">
        <v>1231028.04</v>
      </c>
      <c r="H680" s="47">
        <v>0</v>
      </c>
      <c r="I680" s="47">
        <v>0</v>
      </c>
      <c r="J680" s="47">
        <v>0</v>
      </c>
      <c r="K680" s="47">
        <v>0</v>
      </c>
      <c r="L680" s="47">
        <v>0</v>
      </c>
      <c r="M680" s="47">
        <v>0</v>
      </c>
      <c r="N680" s="47">
        <v>0</v>
      </c>
      <c r="O680" s="47">
        <v>0</v>
      </c>
      <c r="P680" s="47">
        <v>0</v>
      </c>
      <c r="Q680" s="47">
        <v>0</v>
      </c>
      <c r="R680" s="47">
        <v>0</v>
      </c>
      <c r="S680" s="47">
        <v>0</v>
      </c>
      <c r="T680" s="47">
        <v>0</v>
      </c>
      <c r="U680" s="47">
        <v>0</v>
      </c>
      <c r="V680" s="47">
        <v>0</v>
      </c>
      <c r="W680" s="47">
        <v>0</v>
      </c>
      <c r="X680" s="47">
        <v>0</v>
      </c>
      <c r="Y680" s="48">
        <f t="shared" si="99"/>
        <v>6576856.8600000003</v>
      </c>
      <c r="Z680" s="185">
        <v>22027.43</v>
      </c>
      <c r="AA680" s="147">
        <v>22027.43</v>
      </c>
      <c r="AB680" s="50">
        <v>0</v>
      </c>
      <c r="AC680" s="50">
        <v>0</v>
      </c>
      <c r="AD680" s="148">
        <v>57541.71</v>
      </c>
      <c r="AE680" s="111"/>
      <c r="AF680" s="50">
        <v>0</v>
      </c>
      <c r="AG680" s="49">
        <f t="shared" si="100"/>
        <v>79569.14</v>
      </c>
      <c r="AH680" s="51" t="s">
        <v>104</v>
      </c>
      <c r="AI680" s="70" t="s">
        <v>74</v>
      </c>
      <c r="AJ680" s="70" t="s">
        <v>74</v>
      </c>
      <c r="AK680" s="70" t="s">
        <v>528</v>
      </c>
      <c r="AL680" s="70" t="s">
        <v>74</v>
      </c>
      <c r="AM680" s="70" t="s">
        <v>74</v>
      </c>
      <c r="AN680" s="52">
        <v>0</v>
      </c>
      <c r="AO680" s="52">
        <v>0</v>
      </c>
      <c r="AP680" s="52">
        <v>0</v>
      </c>
      <c r="AQ680" s="52">
        <v>0</v>
      </c>
      <c r="AR680" s="52">
        <v>0</v>
      </c>
      <c r="AS680" s="52">
        <f t="shared" si="101"/>
        <v>0</v>
      </c>
      <c r="AT680" s="53" t="s">
        <v>74</v>
      </c>
      <c r="AU680" s="52">
        <v>0</v>
      </c>
      <c r="AV680" s="52">
        <v>0</v>
      </c>
      <c r="AW680" s="68">
        <v>801635.58</v>
      </c>
      <c r="AX680" s="52">
        <v>0</v>
      </c>
      <c r="AY680" s="52">
        <v>0</v>
      </c>
      <c r="AZ680" s="52">
        <v>0</v>
      </c>
      <c r="BA680" s="52">
        <f t="shared" si="102"/>
        <v>801635.58</v>
      </c>
      <c r="BB680" s="54" t="s">
        <v>74</v>
      </c>
      <c r="BC680" s="53" t="s">
        <v>74</v>
      </c>
      <c r="BD680" s="55" t="s">
        <v>792</v>
      </c>
      <c r="BE680" s="55" t="s">
        <v>74</v>
      </c>
      <c r="BF680" s="55" t="s">
        <v>74</v>
      </c>
      <c r="BG680" s="55" t="s">
        <v>74</v>
      </c>
      <c r="BH680" s="52">
        <f t="shared" si="103"/>
        <v>801635.58</v>
      </c>
      <c r="BI680" s="52">
        <f t="shared" si="104"/>
        <v>7298923.3000000007</v>
      </c>
      <c r="BJ680" s="52">
        <f>Y680-AG680+AX680</f>
        <v>6497287.7200000007</v>
      </c>
      <c r="BK680" s="56">
        <v>44378</v>
      </c>
      <c r="BL680" s="63">
        <f>6353754.06+143533.66+801635.58</f>
        <v>7298923.2999999998</v>
      </c>
      <c r="BM680" s="47">
        <v>0</v>
      </c>
      <c r="BN680" s="9"/>
      <c r="BO680" s="9"/>
      <c r="BP680" s="9"/>
      <c r="BQ680" s="9"/>
      <c r="BR680" s="9"/>
      <c r="BS680" s="9"/>
      <c r="BT680" s="9"/>
      <c r="BU680" s="9"/>
      <c r="BV680" s="9"/>
      <c r="BW680" s="9"/>
    </row>
    <row r="681" spans="1:75" ht="26.25" hidden="1" outlineLevel="2" x14ac:dyDescent="0.25">
      <c r="A681" s="43" t="s">
        <v>754</v>
      </c>
      <c r="B681" s="110" t="s">
        <v>755</v>
      </c>
      <c r="C681" s="45">
        <v>2021</v>
      </c>
      <c r="D681" s="110" t="s">
        <v>86</v>
      </c>
      <c r="E681" s="47">
        <v>5345828.82</v>
      </c>
      <c r="F681" s="47">
        <v>0</v>
      </c>
      <c r="G681" s="134">
        <v>1231028.04</v>
      </c>
      <c r="H681" s="47">
        <v>0</v>
      </c>
      <c r="I681" s="47">
        <v>0</v>
      </c>
      <c r="J681" s="47">
        <v>0</v>
      </c>
      <c r="K681" s="47">
        <v>0</v>
      </c>
      <c r="L681" s="47">
        <v>0</v>
      </c>
      <c r="M681" s="47">
        <v>0</v>
      </c>
      <c r="N681" s="47">
        <v>0</v>
      </c>
      <c r="O681" s="47">
        <v>0</v>
      </c>
      <c r="P681" s="47">
        <v>0</v>
      </c>
      <c r="Q681" s="47">
        <v>0</v>
      </c>
      <c r="R681" s="47">
        <v>0</v>
      </c>
      <c r="S681" s="47">
        <v>0</v>
      </c>
      <c r="T681" s="47">
        <v>0</v>
      </c>
      <c r="U681" s="47">
        <v>0</v>
      </c>
      <c r="V681" s="47">
        <v>0</v>
      </c>
      <c r="W681" s="47">
        <v>0</v>
      </c>
      <c r="X681" s="47">
        <v>0</v>
      </c>
      <c r="Y681" s="48">
        <f t="shared" si="99"/>
        <v>6576856.8600000003</v>
      </c>
      <c r="Z681" s="146">
        <v>18142.2</v>
      </c>
      <c r="AA681" s="147">
        <v>18142.2</v>
      </c>
      <c r="AB681" s="159">
        <v>0</v>
      </c>
      <c r="AC681" s="159">
        <v>0</v>
      </c>
      <c r="AD681" s="148">
        <v>56692.83</v>
      </c>
      <c r="AE681" s="50">
        <v>0</v>
      </c>
      <c r="AF681" s="50">
        <v>0</v>
      </c>
      <c r="AG681" s="49">
        <f t="shared" si="100"/>
        <v>74835.03</v>
      </c>
      <c r="AH681" s="51" t="s">
        <v>104</v>
      </c>
      <c r="AI681" s="70" t="s">
        <v>74</v>
      </c>
      <c r="AJ681" s="70" t="s">
        <v>74</v>
      </c>
      <c r="AK681" s="193" t="s">
        <v>593</v>
      </c>
      <c r="AL681" s="70" t="s">
        <v>74</v>
      </c>
      <c r="AM681" s="70" t="s">
        <v>74</v>
      </c>
      <c r="AN681" s="52">
        <v>0</v>
      </c>
      <c r="AO681" s="52">
        <v>0</v>
      </c>
      <c r="AP681" s="52">
        <v>0</v>
      </c>
      <c r="AQ681" s="52">
        <v>0</v>
      </c>
      <c r="AR681" s="52">
        <v>0</v>
      </c>
      <c r="AS681" s="52">
        <f t="shared" si="101"/>
        <v>0</v>
      </c>
      <c r="AT681" s="53" t="s">
        <v>74</v>
      </c>
      <c r="AU681" s="52">
        <v>0</v>
      </c>
      <c r="AV681" s="52">
        <v>0</v>
      </c>
      <c r="AW681" s="52">
        <v>0</v>
      </c>
      <c r="AX681" s="52">
        <v>0</v>
      </c>
      <c r="AY681" s="52">
        <v>0</v>
      </c>
      <c r="AZ681" s="52">
        <v>0</v>
      </c>
      <c r="BA681" s="52">
        <f t="shared" si="102"/>
        <v>0</v>
      </c>
      <c r="BB681" s="54" t="s">
        <v>74</v>
      </c>
      <c r="BC681" s="53" t="s">
        <v>74</v>
      </c>
      <c r="BD681" s="55" t="s">
        <v>74</v>
      </c>
      <c r="BE681" s="55" t="s">
        <v>74</v>
      </c>
      <c r="BF681" s="55" t="s">
        <v>74</v>
      </c>
      <c r="BG681" s="55" t="s">
        <v>74</v>
      </c>
      <c r="BH681" s="52">
        <f t="shared" si="103"/>
        <v>0</v>
      </c>
      <c r="BI681" s="52">
        <f t="shared" si="104"/>
        <v>6502021.8300000001</v>
      </c>
      <c r="BJ681" s="52">
        <f>Y681-AG681+AX681</f>
        <v>6502021.8300000001</v>
      </c>
      <c r="BK681" s="56">
        <v>44409</v>
      </c>
      <c r="BL681" s="57">
        <f>5245828.82+1231028.04+25164.97</f>
        <v>6502021.8300000001</v>
      </c>
      <c r="BM681" s="47">
        <v>0</v>
      </c>
      <c r="BN681" s="9"/>
      <c r="BO681" s="9"/>
      <c r="BP681" s="9"/>
      <c r="BQ681" s="9"/>
      <c r="BR681" s="9"/>
      <c r="BS681" s="9"/>
      <c r="BT681" s="9"/>
      <c r="BU681" s="9"/>
      <c r="BV681" s="9"/>
      <c r="BW681" s="9"/>
    </row>
    <row r="682" spans="1:75" ht="51.75" hidden="1" outlineLevel="2" x14ac:dyDescent="0.25">
      <c r="A682" s="43" t="s">
        <v>754</v>
      </c>
      <c r="B682" s="110" t="s">
        <v>755</v>
      </c>
      <c r="C682" s="45">
        <v>2021</v>
      </c>
      <c r="D682" s="110" t="s">
        <v>88</v>
      </c>
      <c r="E682" s="47">
        <v>5345828.82</v>
      </c>
      <c r="F682" s="47">
        <v>0</v>
      </c>
      <c r="G682" s="134">
        <v>1231028.04</v>
      </c>
      <c r="H682" s="47">
        <v>0</v>
      </c>
      <c r="I682" s="47">
        <v>0</v>
      </c>
      <c r="J682" s="47">
        <v>0</v>
      </c>
      <c r="K682" s="47">
        <v>0</v>
      </c>
      <c r="L682" s="47">
        <v>0</v>
      </c>
      <c r="M682" s="47">
        <v>0</v>
      </c>
      <c r="N682" s="47">
        <v>0</v>
      </c>
      <c r="O682" s="47">
        <v>0</v>
      </c>
      <c r="P682" s="47">
        <v>0</v>
      </c>
      <c r="Q682" s="47">
        <v>0</v>
      </c>
      <c r="R682" s="47">
        <v>0</v>
      </c>
      <c r="S682" s="47">
        <v>0</v>
      </c>
      <c r="T682" s="47">
        <v>0</v>
      </c>
      <c r="U682" s="47">
        <v>0</v>
      </c>
      <c r="V682" s="47">
        <v>0</v>
      </c>
      <c r="W682" s="47">
        <v>0</v>
      </c>
      <c r="X682" s="47">
        <v>0</v>
      </c>
      <c r="Y682" s="48">
        <f t="shared" si="99"/>
        <v>6576856.8600000003</v>
      </c>
      <c r="Z682" s="102">
        <v>0</v>
      </c>
      <c r="AA682" s="159">
        <v>30000</v>
      </c>
      <c r="AB682" s="159">
        <v>0</v>
      </c>
      <c r="AC682" s="159">
        <v>0</v>
      </c>
      <c r="AD682" s="159">
        <v>70000</v>
      </c>
      <c r="AE682" s="111">
        <v>123102.8</v>
      </c>
      <c r="AF682" s="50">
        <v>0</v>
      </c>
      <c r="AG682" s="49">
        <f t="shared" si="100"/>
        <v>223102.8</v>
      </c>
      <c r="AH682" s="193" t="s">
        <v>595</v>
      </c>
      <c r="AI682" s="70" t="s">
        <v>74</v>
      </c>
      <c r="AJ682" s="70" t="s">
        <v>74</v>
      </c>
      <c r="AK682" s="193" t="s">
        <v>595</v>
      </c>
      <c r="AL682" s="193" t="s">
        <v>793</v>
      </c>
      <c r="AM682" s="193" t="s">
        <v>74</v>
      </c>
      <c r="AN682" s="52">
        <v>0</v>
      </c>
      <c r="AO682" s="52">
        <v>0</v>
      </c>
      <c r="AP682" s="52">
        <v>0</v>
      </c>
      <c r="AQ682" s="52">
        <v>0</v>
      </c>
      <c r="AR682" s="52">
        <v>0</v>
      </c>
      <c r="AS682" s="52">
        <f t="shared" si="101"/>
        <v>0</v>
      </c>
      <c r="AT682" s="53" t="s">
        <v>74</v>
      </c>
      <c r="AU682" s="52">
        <v>0</v>
      </c>
      <c r="AV682" s="52">
        <v>0</v>
      </c>
      <c r="AW682" s="52">
        <v>0</v>
      </c>
      <c r="AX682" s="52">
        <v>0</v>
      </c>
      <c r="AY682" s="52">
        <v>0</v>
      </c>
      <c r="AZ682" s="52">
        <v>0</v>
      </c>
      <c r="BA682" s="52">
        <f t="shared" si="102"/>
        <v>0</v>
      </c>
      <c r="BB682" s="54" t="s">
        <v>74</v>
      </c>
      <c r="BC682" s="53" t="s">
        <v>74</v>
      </c>
      <c r="BD682" s="55" t="s">
        <v>74</v>
      </c>
      <c r="BE682" s="55" t="s">
        <v>74</v>
      </c>
      <c r="BF682" s="55" t="s">
        <v>74</v>
      </c>
      <c r="BG682" s="55" t="s">
        <v>74</v>
      </c>
      <c r="BH682" s="52">
        <f t="shared" si="103"/>
        <v>0</v>
      </c>
      <c r="BI682" s="52">
        <f t="shared" si="104"/>
        <v>6353754.0600000005</v>
      </c>
      <c r="BJ682" s="52">
        <f>BI682-BH682</f>
        <v>6353754.0600000005</v>
      </c>
      <c r="BK682" s="56">
        <v>44440</v>
      </c>
      <c r="BL682" s="57">
        <f>1107925.24+5245828.82</f>
        <v>6353754.0600000005</v>
      </c>
      <c r="BM682" s="47">
        <v>0</v>
      </c>
      <c r="BN682" s="9"/>
      <c r="BO682" s="9"/>
      <c r="BP682" s="9"/>
      <c r="BQ682" s="9"/>
      <c r="BR682" s="9"/>
      <c r="BS682" s="9"/>
      <c r="BT682" s="9"/>
      <c r="BU682" s="9"/>
      <c r="BV682" s="9"/>
      <c r="BW682" s="9"/>
    </row>
    <row r="683" spans="1:75" hidden="1" outlineLevel="2" x14ac:dyDescent="0.25">
      <c r="A683" s="71" t="s">
        <v>754</v>
      </c>
      <c r="B683" s="116" t="s">
        <v>755</v>
      </c>
      <c r="C683" s="73">
        <v>2021</v>
      </c>
      <c r="D683" s="116" t="s">
        <v>89</v>
      </c>
      <c r="E683" s="75">
        <v>5345828.82</v>
      </c>
      <c r="F683" s="75">
        <v>0</v>
      </c>
      <c r="G683" s="139">
        <v>1231028.04</v>
      </c>
      <c r="H683" s="75">
        <v>0</v>
      </c>
      <c r="I683" s="75">
        <v>0</v>
      </c>
      <c r="J683" s="75">
        <v>0</v>
      </c>
      <c r="K683" s="75">
        <v>0</v>
      </c>
      <c r="L683" s="75">
        <v>0</v>
      </c>
      <c r="M683" s="75">
        <v>0</v>
      </c>
      <c r="N683" s="75">
        <v>0</v>
      </c>
      <c r="O683" s="75">
        <v>0</v>
      </c>
      <c r="P683" s="75">
        <v>0</v>
      </c>
      <c r="Q683" s="75">
        <v>0</v>
      </c>
      <c r="R683" s="75">
        <v>0</v>
      </c>
      <c r="S683" s="75">
        <v>0</v>
      </c>
      <c r="T683" s="75">
        <v>0</v>
      </c>
      <c r="U683" s="75">
        <v>0</v>
      </c>
      <c r="V683" s="75">
        <v>0</v>
      </c>
      <c r="W683" s="75">
        <v>0</v>
      </c>
      <c r="X683" s="75">
        <v>0</v>
      </c>
      <c r="Y683" s="76">
        <f t="shared" si="99"/>
        <v>6576856.8600000003</v>
      </c>
      <c r="Z683" s="80">
        <v>0</v>
      </c>
      <c r="AA683" s="160">
        <v>30000</v>
      </c>
      <c r="AB683" s="79">
        <v>0</v>
      </c>
      <c r="AC683" s="79">
        <v>0</v>
      </c>
      <c r="AD683" s="160">
        <v>70000</v>
      </c>
      <c r="AE683" s="79">
        <v>0</v>
      </c>
      <c r="AF683" s="79">
        <v>0</v>
      </c>
      <c r="AG683" s="80">
        <f t="shared" si="100"/>
        <v>100000</v>
      </c>
      <c r="AH683" s="123" t="s">
        <v>595</v>
      </c>
      <c r="AI683" s="81" t="s">
        <v>74</v>
      </c>
      <c r="AJ683" s="81" t="s">
        <v>74</v>
      </c>
      <c r="AK683" s="123" t="s">
        <v>595</v>
      </c>
      <c r="AL683" s="81" t="s">
        <v>74</v>
      </c>
      <c r="AM683" s="81" t="s">
        <v>74</v>
      </c>
      <c r="AN683" s="82">
        <v>0</v>
      </c>
      <c r="AO683" s="82">
        <v>0</v>
      </c>
      <c r="AP683" s="82">
        <v>0</v>
      </c>
      <c r="AQ683" s="82">
        <v>0</v>
      </c>
      <c r="AR683" s="82">
        <v>0</v>
      </c>
      <c r="AS683" s="82">
        <f t="shared" si="101"/>
        <v>0</v>
      </c>
      <c r="AT683" s="124" t="s">
        <v>74</v>
      </c>
      <c r="AU683" s="82">
        <v>0</v>
      </c>
      <c r="AV683" s="82">
        <v>0</v>
      </c>
      <c r="AW683" s="82">
        <v>0</v>
      </c>
      <c r="AX683" s="82">
        <v>0</v>
      </c>
      <c r="AY683" s="82">
        <v>0</v>
      </c>
      <c r="AZ683" s="82">
        <v>0</v>
      </c>
      <c r="BA683" s="82">
        <f t="shared" si="102"/>
        <v>0</v>
      </c>
      <c r="BB683" s="125" t="s">
        <v>74</v>
      </c>
      <c r="BC683" s="124" t="s">
        <v>74</v>
      </c>
      <c r="BD683" s="126" t="s">
        <v>74</v>
      </c>
      <c r="BE683" s="126" t="s">
        <v>74</v>
      </c>
      <c r="BF683" s="126" t="s">
        <v>74</v>
      </c>
      <c r="BG683" s="126" t="s">
        <v>74</v>
      </c>
      <c r="BH683" s="82">
        <f t="shared" si="103"/>
        <v>0</v>
      </c>
      <c r="BI683" s="82">
        <f t="shared" si="104"/>
        <v>6476856.8600000003</v>
      </c>
      <c r="BJ683" s="52">
        <f>BI683-BH683</f>
        <v>6476856.8600000003</v>
      </c>
      <c r="BK683" s="56">
        <v>44470</v>
      </c>
      <c r="BL683" s="83">
        <f>5245828.82+1231028.04</f>
        <v>6476856.8600000003</v>
      </c>
      <c r="BM683" s="75">
        <v>0</v>
      </c>
      <c r="BN683" s="9"/>
      <c r="BO683" s="9"/>
      <c r="BP683" s="9"/>
      <c r="BQ683" s="9"/>
      <c r="BR683" s="9"/>
      <c r="BS683" s="9"/>
      <c r="BT683" s="9"/>
      <c r="BU683" s="9"/>
      <c r="BV683" s="9"/>
      <c r="BW683" s="9"/>
    </row>
    <row r="684" spans="1:75" hidden="1" outlineLevel="1" collapsed="1" x14ac:dyDescent="0.25">
      <c r="A684" s="84"/>
      <c r="B684" s="120" t="s">
        <v>794</v>
      </c>
      <c r="C684" s="86"/>
      <c r="D684" s="120"/>
      <c r="E684" s="88"/>
      <c r="F684" s="88"/>
      <c r="G684" s="95"/>
      <c r="H684" s="88"/>
      <c r="I684" s="88"/>
      <c r="J684" s="88"/>
      <c r="K684" s="88"/>
      <c r="L684" s="88"/>
      <c r="M684" s="88"/>
      <c r="N684" s="88"/>
      <c r="O684" s="88"/>
      <c r="P684" s="88"/>
      <c r="Q684" s="88"/>
      <c r="R684" s="88"/>
      <c r="S684" s="88"/>
      <c r="T684" s="88"/>
      <c r="U684" s="88"/>
      <c r="V684" s="88"/>
      <c r="W684" s="88"/>
      <c r="X684" s="88"/>
      <c r="Y684" s="89">
        <f t="shared" ref="Y684:AG684" si="105">SUBTOTAL(9,Y660:Y683)</f>
        <v>0</v>
      </c>
      <c r="Z684" s="89">
        <f t="shared" si="105"/>
        <v>0</v>
      </c>
      <c r="AA684" s="162">
        <f t="shared" si="105"/>
        <v>0</v>
      </c>
      <c r="AB684" s="89">
        <f t="shared" si="105"/>
        <v>0</v>
      </c>
      <c r="AC684" s="89">
        <f t="shared" si="105"/>
        <v>0</v>
      </c>
      <c r="AD684" s="162">
        <f t="shared" si="105"/>
        <v>0</v>
      </c>
      <c r="AE684" s="89">
        <f t="shared" si="105"/>
        <v>0</v>
      </c>
      <c r="AF684" s="89">
        <f t="shared" si="105"/>
        <v>0</v>
      </c>
      <c r="AG684" s="89">
        <f t="shared" si="105"/>
        <v>0</v>
      </c>
      <c r="AH684" s="129"/>
      <c r="AI684" s="91"/>
      <c r="AJ684" s="91"/>
      <c r="AK684" s="129"/>
      <c r="AL684" s="91"/>
      <c r="AM684" s="91"/>
      <c r="AN684" s="92">
        <f t="shared" ref="AN684:AS684" si="106">SUBTOTAL(9,AN660:AN683)</f>
        <v>0</v>
      </c>
      <c r="AO684" s="92">
        <f t="shared" si="106"/>
        <v>0</v>
      </c>
      <c r="AP684" s="92">
        <f t="shared" si="106"/>
        <v>0</v>
      </c>
      <c r="AQ684" s="92">
        <f t="shared" si="106"/>
        <v>0</v>
      </c>
      <c r="AR684" s="92">
        <f t="shared" si="106"/>
        <v>0</v>
      </c>
      <c r="AS684" s="92">
        <f t="shared" si="106"/>
        <v>0</v>
      </c>
      <c r="AT684" s="130"/>
      <c r="AU684" s="92">
        <f t="shared" ref="AU684:BA684" si="107">SUBTOTAL(9,AU660:AU683)</f>
        <v>0</v>
      </c>
      <c r="AV684" s="92">
        <f t="shared" si="107"/>
        <v>0</v>
      </c>
      <c r="AW684" s="92">
        <f t="shared" si="107"/>
        <v>0</v>
      </c>
      <c r="AX684" s="92">
        <f t="shared" si="107"/>
        <v>0</v>
      </c>
      <c r="AY684" s="92">
        <f t="shared" si="107"/>
        <v>0</v>
      </c>
      <c r="AZ684" s="92">
        <f t="shared" si="107"/>
        <v>0</v>
      </c>
      <c r="BA684" s="92">
        <f t="shared" si="107"/>
        <v>0</v>
      </c>
      <c r="BB684" s="131"/>
      <c r="BC684" s="130"/>
      <c r="BD684" s="132"/>
      <c r="BE684" s="132"/>
      <c r="BF684" s="132"/>
      <c r="BG684" s="132"/>
      <c r="BH684" s="92">
        <f>SUBTOTAL(9,BH660:BH683)</f>
        <v>0</v>
      </c>
      <c r="BI684" s="92">
        <f>SUBTOTAL(9,BI660:BI683)</f>
        <v>0</v>
      </c>
      <c r="BJ684" s="93"/>
      <c r="BK684" s="94"/>
      <c r="BL684" s="95">
        <f>SUBTOTAL(9,BL660:BL683)</f>
        <v>0</v>
      </c>
      <c r="BM684" s="88">
        <f>SUBTOTAL(9,BM660:BM683)</f>
        <v>0</v>
      </c>
      <c r="BN684" s="9"/>
      <c r="BO684" s="9"/>
      <c r="BP684" s="9"/>
      <c r="BQ684" s="9"/>
      <c r="BR684" s="9"/>
      <c r="BS684" s="9"/>
      <c r="BT684" s="9"/>
      <c r="BU684" s="9"/>
      <c r="BV684" s="9"/>
      <c r="BW684" s="9"/>
    </row>
    <row r="685" spans="1:75" ht="166.5" hidden="1" outlineLevel="2" x14ac:dyDescent="0.25">
      <c r="A685" s="96" t="s">
        <v>795</v>
      </c>
      <c r="B685" s="97" t="s">
        <v>796</v>
      </c>
      <c r="C685" s="98">
        <v>2017</v>
      </c>
      <c r="D685" s="97" t="s">
        <v>73</v>
      </c>
      <c r="E685" s="100">
        <v>1247122.6499999999</v>
      </c>
      <c r="F685" s="100">
        <v>1703853.6</v>
      </c>
      <c r="G685" s="100">
        <v>0</v>
      </c>
      <c r="H685" s="100">
        <v>0</v>
      </c>
      <c r="I685" s="100">
        <v>0</v>
      </c>
      <c r="J685" s="100">
        <v>0</v>
      </c>
      <c r="K685" s="100">
        <v>0</v>
      </c>
      <c r="L685" s="100">
        <v>0</v>
      </c>
      <c r="M685" s="100">
        <v>0</v>
      </c>
      <c r="N685" s="100">
        <v>0</v>
      </c>
      <c r="O685" s="100">
        <v>0</v>
      </c>
      <c r="P685" s="100">
        <v>0</v>
      </c>
      <c r="Q685" s="100">
        <v>0</v>
      </c>
      <c r="R685" s="100">
        <v>0</v>
      </c>
      <c r="S685" s="100">
        <v>0</v>
      </c>
      <c r="T685" s="100">
        <v>0</v>
      </c>
      <c r="U685" s="100">
        <v>0</v>
      </c>
      <c r="V685" s="100">
        <v>0</v>
      </c>
      <c r="W685" s="100">
        <v>0</v>
      </c>
      <c r="X685" s="100">
        <v>0</v>
      </c>
      <c r="Y685" s="101">
        <v>2950976.25</v>
      </c>
      <c r="Z685" s="102">
        <v>0</v>
      </c>
      <c r="AA685" s="103">
        <v>0</v>
      </c>
      <c r="AB685" s="103">
        <v>0</v>
      </c>
      <c r="AC685" s="103">
        <v>0</v>
      </c>
      <c r="AD685" s="103">
        <v>0</v>
      </c>
      <c r="AE685" s="103">
        <v>0</v>
      </c>
      <c r="AF685" s="103">
        <v>1703853.6</v>
      </c>
      <c r="AG685" s="102">
        <v>1703853.6</v>
      </c>
      <c r="AH685" s="104" t="s">
        <v>74</v>
      </c>
      <c r="AI685" s="104" t="s">
        <v>74</v>
      </c>
      <c r="AJ685" s="104" t="s">
        <v>74</v>
      </c>
      <c r="AK685" s="104" t="s">
        <v>74</v>
      </c>
      <c r="AL685" s="104" t="s">
        <v>74</v>
      </c>
      <c r="AM685" s="104" t="s">
        <v>797</v>
      </c>
      <c r="AN685" s="105">
        <v>0</v>
      </c>
      <c r="AO685" s="105">
        <v>0</v>
      </c>
      <c r="AP685" s="105">
        <v>0</v>
      </c>
      <c r="AQ685" s="105">
        <v>0</v>
      </c>
      <c r="AR685" s="105">
        <v>0</v>
      </c>
      <c r="AS685" s="105">
        <v>0</v>
      </c>
      <c r="AT685" s="106" t="s">
        <v>74</v>
      </c>
      <c r="AU685" s="105">
        <v>0</v>
      </c>
      <c r="AV685" s="105"/>
      <c r="AW685" s="105">
        <v>0</v>
      </c>
      <c r="AX685" s="105"/>
      <c r="AY685" s="105"/>
      <c r="AZ685" s="105">
        <v>0</v>
      </c>
      <c r="BA685" s="105">
        <v>0</v>
      </c>
      <c r="BB685" s="107" t="s">
        <v>74</v>
      </c>
      <c r="BC685" s="106" t="s">
        <v>74</v>
      </c>
      <c r="BD685" s="108" t="s">
        <v>74</v>
      </c>
      <c r="BE685" s="108" t="s">
        <v>74</v>
      </c>
      <c r="BF685" s="108" t="s">
        <v>74</v>
      </c>
      <c r="BG685" s="108" t="s">
        <v>74</v>
      </c>
      <c r="BH685" s="105">
        <v>0</v>
      </c>
      <c r="BI685" s="105">
        <v>1247122.6499999999</v>
      </c>
      <c r="BJ685" s="52">
        <v>1247122.6499999999</v>
      </c>
      <c r="BK685" s="56">
        <v>42736</v>
      </c>
      <c r="BL685" s="109">
        <v>1247122.6499999999</v>
      </c>
      <c r="BM685" s="100">
        <v>0</v>
      </c>
      <c r="BN685" s="9"/>
      <c r="BO685" s="9"/>
      <c r="BP685" s="9"/>
      <c r="BQ685" s="9"/>
      <c r="BR685" s="9"/>
      <c r="BS685" s="9"/>
      <c r="BT685" s="9"/>
      <c r="BU685" s="9"/>
      <c r="BV685" s="9"/>
      <c r="BW685" s="9"/>
    </row>
    <row r="686" spans="1:75" ht="166.5" hidden="1" outlineLevel="2" x14ac:dyDescent="0.25">
      <c r="A686" s="43" t="s">
        <v>795</v>
      </c>
      <c r="B686" s="110" t="s">
        <v>796</v>
      </c>
      <c r="C686" s="45">
        <v>2017</v>
      </c>
      <c r="D686" s="110" t="s">
        <v>75</v>
      </c>
      <c r="E686" s="47">
        <v>1247122.6499999999</v>
      </c>
      <c r="F686" s="47">
        <v>1703853.6</v>
      </c>
      <c r="G686" s="47">
        <v>0</v>
      </c>
      <c r="H686" s="47">
        <v>0</v>
      </c>
      <c r="I686" s="47">
        <v>0</v>
      </c>
      <c r="J686" s="47">
        <v>0</v>
      </c>
      <c r="K686" s="47">
        <v>0</v>
      </c>
      <c r="L686" s="47">
        <v>0</v>
      </c>
      <c r="M686" s="47">
        <v>0</v>
      </c>
      <c r="N686" s="47">
        <v>0</v>
      </c>
      <c r="O686" s="47">
        <v>0</v>
      </c>
      <c r="P686" s="47">
        <v>0</v>
      </c>
      <c r="Q686" s="47">
        <v>0</v>
      </c>
      <c r="R686" s="47">
        <v>0</v>
      </c>
      <c r="S686" s="47">
        <v>0</v>
      </c>
      <c r="T686" s="47">
        <v>0</v>
      </c>
      <c r="U686" s="47">
        <v>0</v>
      </c>
      <c r="V686" s="47">
        <v>0</v>
      </c>
      <c r="W686" s="47">
        <v>0</v>
      </c>
      <c r="X686" s="47">
        <v>0</v>
      </c>
      <c r="Y686" s="48">
        <v>2950976.25</v>
      </c>
      <c r="Z686" s="49">
        <v>0</v>
      </c>
      <c r="AA686" s="50">
        <v>0</v>
      </c>
      <c r="AB686" s="50">
        <v>0</v>
      </c>
      <c r="AC686" s="50">
        <v>0</v>
      </c>
      <c r="AD686" s="50">
        <v>0</v>
      </c>
      <c r="AE686" s="50">
        <v>0</v>
      </c>
      <c r="AF686" s="50">
        <v>1703853.6</v>
      </c>
      <c r="AG686" s="49">
        <v>1703853.6</v>
      </c>
      <c r="AH686" s="51" t="s">
        <v>74</v>
      </c>
      <c r="AI686" s="51" t="s">
        <v>74</v>
      </c>
      <c r="AJ686" s="51" t="s">
        <v>74</v>
      </c>
      <c r="AK686" s="51" t="s">
        <v>74</v>
      </c>
      <c r="AL686" s="51" t="s">
        <v>74</v>
      </c>
      <c r="AM686" s="51" t="s">
        <v>797</v>
      </c>
      <c r="AN686" s="52">
        <v>0</v>
      </c>
      <c r="AO686" s="52">
        <v>0</v>
      </c>
      <c r="AP686" s="52">
        <v>0</v>
      </c>
      <c r="AQ686" s="52">
        <v>0</v>
      </c>
      <c r="AR686" s="52">
        <v>0</v>
      </c>
      <c r="AS686" s="52">
        <v>0</v>
      </c>
      <c r="AT686" s="53" t="s">
        <v>74</v>
      </c>
      <c r="AU686" s="52">
        <v>0</v>
      </c>
      <c r="AV686" s="52"/>
      <c r="AW686" s="52">
        <v>0</v>
      </c>
      <c r="AX686" s="52"/>
      <c r="AY686" s="52"/>
      <c r="AZ686" s="52">
        <v>0</v>
      </c>
      <c r="BA686" s="52">
        <v>0</v>
      </c>
      <c r="BB686" s="54" t="s">
        <v>74</v>
      </c>
      <c r="BC686" s="53" t="s">
        <v>74</v>
      </c>
      <c r="BD686" s="55" t="s">
        <v>74</v>
      </c>
      <c r="BE686" s="55" t="s">
        <v>74</v>
      </c>
      <c r="BF686" s="55" t="s">
        <v>74</v>
      </c>
      <c r="BG686" s="55" t="s">
        <v>74</v>
      </c>
      <c r="BH686" s="52">
        <v>0</v>
      </c>
      <c r="BI686" s="52">
        <v>1247122.6499999999</v>
      </c>
      <c r="BJ686" s="52">
        <v>1247122.6499999999</v>
      </c>
      <c r="BK686" s="56">
        <v>42767</v>
      </c>
      <c r="BL686" s="57">
        <v>1247122.6499999999</v>
      </c>
      <c r="BM686" s="47">
        <v>0</v>
      </c>
      <c r="BN686" s="9"/>
      <c r="BO686" s="9"/>
      <c r="BP686" s="9"/>
      <c r="BQ686" s="9"/>
      <c r="BR686" s="9"/>
      <c r="BS686" s="9"/>
      <c r="BT686" s="9"/>
      <c r="BU686" s="9"/>
      <c r="BV686" s="9"/>
      <c r="BW686" s="9"/>
    </row>
    <row r="687" spans="1:75" ht="230.25" hidden="1" outlineLevel="2" x14ac:dyDescent="0.25">
      <c r="A687" s="43" t="s">
        <v>795</v>
      </c>
      <c r="B687" s="110" t="s">
        <v>796</v>
      </c>
      <c r="C687" s="45">
        <v>2017</v>
      </c>
      <c r="D687" s="110" t="s">
        <v>77</v>
      </c>
      <c r="E687" s="47">
        <v>1247122.6499999999</v>
      </c>
      <c r="F687" s="47">
        <v>3660231.21</v>
      </c>
      <c r="G687" s="47">
        <v>0</v>
      </c>
      <c r="H687" s="47">
        <v>0</v>
      </c>
      <c r="I687" s="47">
        <v>0</v>
      </c>
      <c r="J687" s="47">
        <v>0</v>
      </c>
      <c r="K687" s="47">
        <v>0</v>
      </c>
      <c r="L687" s="47">
        <v>0</v>
      </c>
      <c r="M687" s="47">
        <v>0</v>
      </c>
      <c r="N687" s="47">
        <v>0</v>
      </c>
      <c r="O687" s="47">
        <v>0</v>
      </c>
      <c r="P687" s="47">
        <v>0</v>
      </c>
      <c r="Q687" s="47">
        <v>0</v>
      </c>
      <c r="R687" s="47">
        <v>0</v>
      </c>
      <c r="S687" s="47">
        <v>0</v>
      </c>
      <c r="T687" s="47">
        <v>0</v>
      </c>
      <c r="U687" s="47">
        <v>0</v>
      </c>
      <c r="V687" s="47">
        <v>0</v>
      </c>
      <c r="W687" s="47">
        <v>0</v>
      </c>
      <c r="X687" s="47">
        <v>0</v>
      </c>
      <c r="Y687" s="48">
        <v>4907353.8600000003</v>
      </c>
      <c r="Z687" s="58">
        <v>518341.79</v>
      </c>
      <c r="AA687" s="50">
        <v>518341.79</v>
      </c>
      <c r="AB687" s="50">
        <v>0</v>
      </c>
      <c r="AC687" s="50">
        <v>0</v>
      </c>
      <c r="AD687" s="50">
        <v>0</v>
      </c>
      <c r="AE687" s="50">
        <v>0</v>
      </c>
      <c r="AF687" s="50">
        <v>1956377.61</v>
      </c>
      <c r="AG687" s="49">
        <v>2474719.4</v>
      </c>
      <c r="AH687" s="51" t="s">
        <v>104</v>
      </c>
      <c r="AI687" s="51" t="s">
        <v>74</v>
      </c>
      <c r="AJ687" s="51" t="s">
        <v>74</v>
      </c>
      <c r="AK687" s="51" t="s">
        <v>74</v>
      </c>
      <c r="AL687" s="51" t="s">
        <v>74</v>
      </c>
      <c r="AM687" s="51" t="s">
        <v>798</v>
      </c>
      <c r="AN687" s="52">
        <v>0</v>
      </c>
      <c r="AO687" s="52">
        <v>0</v>
      </c>
      <c r="AP687" s="52">
        <v>0</v>
      </c>
      <c r="AQ687" s="52">
        <v>0</v>
      </c>
      <c r="AR687" s="52">
        <v>0</v>
      </c>
      <c r="AS687" s="52">
        <v>0</v>
      </c>
      <c r="AT687" s="53" t="s">
        <v>74</v>
      </c>
      <c r="AU687" s="52">
        <v>0</v>
      </c>
      <c r="AV687" s="52"/>
      <c r="AW687" s="52">
        <v>0</v>
      </c>
      <c r="AX687" s="52"/>
      <c r="AY687" s="52"/>
      <c r="AZ687" s="52">
        <v>0</v>
      </c>
      <c r="BA687" s="52">
        <v>0</v>
      </c>
      <c r="BB687" s="54" t="s">
        <v>74</v>
      </c>
      <c r="BC687" s="53" t="s">
        <v>74</v>
      </c>
      <c r="BD687" s="55" t="s">
        <v>74</v>
      </c>
      <c r="BE687" s="55" t="s">
        <v>74</v>
      </c>
      <c r="BF687" s="55" t="s">
        <v>74</v>
      </c>
      <c r="BG687" s="55" t="s">
        <v>74</v>
      </c>
      <c r="BH687" s="52">
        <v>0</v>
      </c>
      <c r="BI687" s="52">
        <v>2432634.46</v>
      </c>
      <c r="BJ687" s="52">
        <v>2432634.46</v>
      </c>
      <c r="BK687" s="56">
        <v>42795</v>
      </c>
      <c r="BL687" s="57">
        <v>2432634.46</v>
      </c>
      <c r="BM687" s="47">
        <v>0</v>
      </c>
      <c r="BN687" s="9"/>
      <c r="BO687" s="9"/>
      <c r="BP687" s="9"/>
      <c r="BQ687" s="9"/>
      <c r="BR687" s="9"/>
      <c r="BS687" s="9"/>
      <c r="BT687" s="9"/>
      <c r="BU687" s="9"/>
      <c r="BV687" s="9"/>
      <c r="BW687" s="9"/>
    </row>
    <row r="688" spans="1:75" ht="26.25" hidden="1" outlineLevel="2" x14ac:dyDescent="0.25">
      <c r="A688" s="43" t="s">
        <v>795</v>
      </c>
      <c r="B688" s="110" t="s">
        <v>796</v>
      </c>
      <c r="C688" s="45">
        <v>2017</v>
      </c>
      <c r="D688" s="110" t="s">
        <v>79</v>
      </c>
      <c r="E688" s="47">
        <v>1247122.6499999999</v>
      </c>
      <c r="F688" s="47">
        <v>1703853.6</v>
      </c>
      <c r="G688" s="47">
        <v>0</v>
      </c>
      <c r="H688" s="47">
        <v>0</v>
      </c>
      <c r="I688" s="47">
        <v>0</v>
      </c>
      <c r="J688" s="47">
        <v>0</v>
      </c>
      <c r="K688" s="47">
        <v>0</v>
      </c>
      <c r="L688" s="47">
        <v>0</v>
      </c>
      <c r="M688" s="47">
        <v>0</v>
      </c>
      <c r="N688" s="47">
        <v>0</v>
      </c>
      <c r="O688" s="47">
        <v>0</v>
      </c>
      <c r="P688" s="47">
        <v>0</v>
      </c>
      <c r="Q688" s="47">
        <v>0</v>
      </c>
      <c r="R688" s="47">
        <v>0</v>
      </c>
      <c r="S688" s="47">
        <v>0</v>
      </c>
      <c r="T688" s="47">
        <v>0</v>
      </c>
      <c r="U688" s="47">
        <v>0</v>
      </c>
      <c r="V688" s="47">
        <v>0</v>
      </c>
      <c r="W688" s="47">
        <v>0</v>
      </c>
      <c r="X688" s="47">
        <v>0</v>
      </c>
      <c r="Y688" s="48">
        <v>2950976.25</v>
      </c>
      <c r="Z688" s="58">
        <v>518341.79</v>
      </c>
      <c r="AA688" s="50">
        <v>518341.79</v>
      </c>
      <c r="AB688" s="50">
        <v>0</v>
      </c>
      <c r="AC688" s="50">
        <v>0</v>
      </c>
      <c r="AD688" s="50">
        <v>0</v>
      </c>
      <c r="AE688" s="50">
        <v>0</v>
      </c>
      <c r="AF688" s="50">
        <v>0</v>
      </c>
      <c r="AG688" s="49">
        <v>518341.79</v>
      </c>
      <c r="AH688" s="51" t="s">
        <v>104</v>
      </c>
      <c r="AI688" s="51" t="s">
        <v>74</v>
      </c>
      <c r="AJ688" s="51" t="s">
        <v>74</v>
      </c>
      <c r="AK688" s="51" t="s">
        <v>74</v>
      </c>
      <c r="AL688" s="51" t="s">
        <v>74</v>
      </c>
      <c r="AM688" s="51" t="s">
        <v>74</v>
      </c>
      <c r="AN688" s="52">
        <v>0</v>
      </c>
      <c r="AO688" s="52">
        <v>0</v>
      </c>
      <c r="AP688" s="52">
        <v>0</v>
      </c>
      <c r="AQ688" s="52">
        <v>0</v>
      </c>
      <c r="AR688" s="52">
        <v>0</v>
      </c>
      <c r="AS688" s="52">
        <v>0</v>
      </c>
      <c r="AT688" s="53" t="s">
        <v>74</v>
      </c>
      <c r="AU688" s="52">
        <v>0</v>
      </c>
      <c r="AV688" s="52"/>
      <c r="AW688" s="52">
        <v>0</v>
      </c>
      <c r="AX688" s="52"/>
      <c r="AY688" s="52"/>
      <c r="AZ688" s="52">
        <v>0</v>
      </c>
      <c r="BA688" s="52">
        <v>0</v>
      </c>
      <c r="BB688" s="54" t="s">
        <v>74</v>
      </c>
      <c r="BC688" s="53" t="s">
        <v>74</v>
      </c>
      <c r="BD688" s="55" t="s">
        <v>74</v>
      </c>
      <c r="BE688" s="55" t="s">
        <v>74</v>
      </c>
      <c r="BF688" s="55" t="s">
        <v>74</v>
      </c>
      <c r="BG688" s="55" t="s">
        <v>74</v>
      </c>
      <c r="BH688" s="52">
        <v>0</v>
      </c>
      <c r="BI688" s="52">
        <v>2432634.46</v>
      </c>
      <c r="BJ688" s="52">
        <v>2432634.46</v>
      </c>
      <c r="BK688" s="56">
        <v>42826</v>
      </c>
      <c r="BL688" s="57">
        <v>2432634.46</v>
      </c>
      <c r="BM688" s="47">
        <v>0</v>
      </c>
      <c r="BN688" s="9"/>
      <c r="BO688" s="9"/>
      <c r="BP688" s="9"/>
      <c r="BQ688" s="9"/>
      <c r="BR688" s="9"/>
      <c r="BS688" s="9"/>
      <c r="BT688" s="9"/>
      <c r="BU688" s="9"/>
      <c r="BV688" s="9"/>
      <c r="BW688" s="9"/>
    </row>
    <row r="689" spans="1:75" ht="128.25" hidden="1" outlineLevel="2" x14ac:dyDescent="0.25">
      <c r="A689" s="43" t="s">
        <v>795</v>
      </c>
      <c r="B689" s="110" t="s">
        <v>796</v>
      </c>
      <c r="C689" s="45">
        <v>2017</v>
      </c>
      <c r="D689" s="110" t="s">
        <v>81</v>
      </c>
      <c r="E689" s="47">
        <v>1247122.6499999999</v>
      </c>
      <c r="F689" s="47">
        <v>1703853.6</v>
      </c>
      <c r="G689" s="47">
        <v>0</v>
      </c>
      <c r="H689" s="47">
        <v>0</v>
      </c>
      <c r="I689" s="47">
        <v>0</v>
      </c>
      <c r="J689" s="47">
        <v>0</v>
      </c>
      <c r="K689" s="47">
        <v>0</v>
      </c>
      <c r="L689" s="47">
        <v>0</v>
      </c>
      <c r="M689" s="47">
        <v>0</v>
      </c>
      <c r="N689" s="47">
        <v>0</v>
      </c>
      <c r="O689" s="47">
        <v>0</v>
      </c>
      <c r="P689" s="47">
        <v>0</v>
      </c>
      <c r="Q689" s="47">
        <v>0</v>
      </c>
      <c r="R689" s="47">
        <v>0</v>
      </c>
      <c r="S689" s="47">
        <v>0</v>
      </c>
      <c r="T689" s="47">
        <v>0</v>
      </c>
      <c r="U689" s="47">
        <v>0</v>
      </c>
      <c r="V689" s="47">
        <v>0</v>
      </c>
      <c r="W689" s="47">
        <v>0</v>
      </c>
      <c r="X689" s="47">
        <v>0</v>
      </c>
      <c r="Y689" s="48">
        <v>2950976.25</v>
      </c>
      <c r="Z689" s="58">
        <v>518341.79</v>
      </c>
      <c r="AA689" s="50">
        <v>518341.79</v>
      </c>
      <c r="AB689" s="50">
        <v>0</v>
      </c>
      <c r="AC689" s="50">
        <v>0</v>
      </c>
      <c r="AD689" s="50">
        <v>0</v>
      </c>
      <c r="AE689" s="50">
        <v>0</v>
      </c>
      <c r="AF689" s="50">
        <v>0</v>
      </c>
      <c r="AG689" s="49">
        <v>518341.79</v>
      </c>
      <c r="AH689" s="51" t="s">
        <v>799</v>
      </c>
      <c r="AI689" s="51" t="s">
        <v>74</v>
      </c>
      <c r="AJ689" s="51"/>
      <c r="AK689" s="51" t="s">
        <v>74</v>
      </c>
      <c r="AL689" s="51" t="s">
        <v>74</v>
      </c>
      <c r="AM689" s="51" t="s">
        <v>74</v>
      </c>
      <c r="AN689" s="52">
        <v>0</v>
      </c>
      <c r="AO689" s="52">
        <v>0</v>
      </c>
      <c r="AP689" s="52">
        <v>0</v>
      </c>
      <c r="AQ689" s="52">
        <v>0</v>
      </c>
      <c r="AR689" s="52">
        <v>0</v>
      </c>
      <c r="AS689" s="52">
        <v>0</v>
      </c>
      <c r="AT689" s="53" t="s">
        <v>74</v>
      </c>
      <c r="AU689" s="52">
        <v>0</v>
      </c>
      <c r="AV689" s="52"/>
      <c r="AW689" s="52">
        <v>0</v>
      </c>
      <c r="AX689" s="52"/>
      <c r="AY689" s="52"/>
      <c r="AZ689" s="52">
        <v>0</v>
      </c>
      <c r="BA689" s="52">
        <v>0</v>
      </c>
      <c r="BB689" s="54" t="s">
        <v>74</v>
      </c>
      <c r="BC689" s="53" t="s">
        <v>74</v>
      </c>
      <c r="BD689" s="55" t="s">
        <v>74</v>
      </c>
      <c r="BE689" s="55" t="s">
        <v>74</v>
      </c>
      <c r="BF689" s="55" t="s">
        <v>74</v>
      </c>
      <c r="BG689" s="55" t="s">
        <v>74</v>
      </c>
      <c r="BH689" s="52">
        <v>0</v>
      </c>
      <c r="BI689" s="52">
        <v>2432634.46</v>
      </c>
      <c r="BJ689" s="52">
        <v>2432634.46</v>
      </c>
      <c r="BK689" s="56">
        <v>42856</v>
      </c>
      <c r="BL689" s="57">
        <v>2432634.46</v>
      </c>
      <c r="BM689" s="47">
        <v>0</v>
      </c>
      <c r="BN689" s="9"/>
      <c r="BO689" s="9"/>
      <c r="BP689" s="9"/>
      <c r="BQ689" s="9"/>
      <c r="BR689" s="9"/>
      <c r="BS689" s="9"/>
      <c r="BT689" s="9"/>
      <c r="BU689" s="9"/>
      <c r="BV689" s="9"/>
      <c r="BW689" s="9"/>
    </row>
    <row r="690" spans="1:75" ht="26.25" hidden="1" outlineLevel="2" x14ac:dyDescent="0.25">
      <c r="A690" s="43" t="s">
        <v>795</v>
      </c>
      <c r="B690" s="110" t="s">
        <v>796</v>
      </c>
      <c r="C690" s="45">
        <v>2017</v>
      </c>
      <c r="D690" s="110" t="s">
        <v>83</v>
      </c>
      <c r="E690" s="47">
        <v>1247122.6499999999</v>
      </c>
      <c r="F690" s="47">
        <v>1703853.6</v>
      </c>
      <c r="G690" s="47">
        <v>0</v>
      </c>
      <c r="H690" s="47">
        <v>0</v>
      </c>
      <c r="I690" s="47">
        <v>0</v>
      </c>
      <c r="J690" s="47">
        <v>0</v>
      </c>
      <c r="K690" s="47">
        <v>0</v>
      </c>
      <c r="L690" s="47">
        <v>0</v>
      </c>
      <c r="M690" s="47">
        <v>0</v>
      </c>
      <c r="N690" s="47">
        <v>0</v>
      </c>
      <c r="O690" s="47">
        <v>0</v>
      </c>
      <c r="P690" s="47">
        <v>0</v>
      </c>
      <c r="Q690" s="47">
        <v>0</v>
      </c>
      <c r="R690" s="47">
        <v>0</v>
      </c>
      <c r="S690" s="47">
        <v>0</v>
      </c>
      <c r="T690" s="47">
        <v>0</v>
      </c>
      <c r="U690" s="47">
        <v>0</v>
      </c>
      <c r="V690" s="47">
        <v>0</v>
      </c>
      <c r="W690" s="47">
        <v>0</v>
      </c>
      <c r="X690" s="47">
        <v>0</v>
      </c>
      <c r="Y690" s="48">
        <v>2950976.25</v>
      </c>
      <c r="Z690" s="58">
        <v>518341.79</v>
      </c>
      <c r="AA690" s="50">
        <v>518341.79</v>
      </c>
      <c r="AB690" s="50">
        <v>0</v>
      </c>
      <c r="AC690" s="50">
        <v>0</v>
      </c>
      <c r="AD690" s="50">
        <v>0</v>
      </c>
      <c r="AE690" s="50">
        <v>0</v>
      </c>
      <c r="AF690" s="50">
        <v>0</v>
      </c>
      <c r="AG690" s="49">
        <v>518341.79</v>
      </c>
      <c r="AH690" s="51" t="s">
        <v>104</v>
      </c>
      <c r="AI690" s="51" t="s">
        <v>74</v>
      </c>
      <c r="AJ690" s="51" t="s">
        <v>74</v>
      </c>
      <c r="AK690" s="51" t="s">
        <v>74</v>
      </c>
      <c r="AL690" s="51" t="s">
        <v>74</v>
      </c>
      <c r="AM690" s="51" t="s">
        <v>74</v>
      </c>
      <c r="AN690" s="52">
        <v>0</v>
      </c>
      <c r="AO690" s="52">
        <v>0</v>
      </c>
      <c r="AP690" s="52">
        <v>0</v>
      </c>
      <c r="AQ690" s="52">
        <v>0</v>
      </c>
      <c r="AR690" s="52">
        <v>0</v>
      </c>
      <c r="AS690" s="52">
        <v>0</v>
      </c>
      <c r="AT690" s="53" t="s">
        <v>74</v>
      </c>
      <c r="AU690" s="52">
        <v>0</v>
      </c>
      <c r="AV690" s="52"/>
      <c r="AW690" s="52">
        <v>0</v>
      </c>
      <c r="AX690" s="52"/>
      <c r="AY690" s="52"/>
      <c r="AZ690" s="52">
        <v>0</v>
      </c>
      <c r="BA690" s="52">
        <v>0</v>
      </c>
      <c r="BB690" s="54" t="s">
        <v>74</v>
      </c>
      <c r="BC690" s="53" t="s">
        <v>74</v>
      </c>
      <c r="BD690" s="55" t="s">
        <v>74</v>
      </c>
      <c r="BE690" s="55" t="s">
        <v>74</v>
      </c>
      <c r="BF690" s="55" t="s">
        <v>74</v>
      </c>
      <c r="BG690" s="55" t="s">
        <v>74</v>
      </c>
      <c r="BH690" s="52">
        <v>0</v>
      </c>
      <c r="BI690" s="52">
        <v>2432634.46</v>
      </c>
      <c r="BJ690" s="52">
        <v>2432634.46</v>
      </c>
      <c r="BK690" s="56">
        <v>42887</v>
      </c>
      <c r="BL690" s="57">
        <v>2432634.46</v>
      </c>
      <c r="BM690" s="47">
        <v>0</v>
      </c>
      <c r="BN690" s="9"/>
      <c r="BO690" s="9"/>
      <c r="BP690" s="9"/>
      <c r="BQ690" s="9"/>
      <c r="BR690" s="9"/>
      <c r="BS690" s="9"/>
      <c r="BT690" s="9"/>
      <c r="BU690" s="9"/>
      <c r="BV690" s="9"/>
      <c r="BW690" s="9"/>
    </row>
    <row r="691" spans="1:75" ht="26.25" hidden="1" outlineLevel="2" x14ac:dyDescent="0.25">
      <c r="A691" s="43" t="s">
        <v>795</v>
      </c>
      <c r="B691" s="110" t="s">
        <v>796</v>
      </c>
      <c r="C691" s="45">
        <v>2017</v>
      </c>
      <c r="D691" s="110" t="s">
        <v>84</v>
      </c>
      <c r="E691" s="47">
        <v>1247122.6499999999</v>
      </c>
      <c r="F691" s="47">
        <v>1703853.6</v>
      </c>
      <c r="G691" s="47">
        <v>0</v>
      </c>
      <c r="H691" s="47">
        <v>0</v>
      </c>
      <c r="I691" s="47">
        <v>0</v>
      </c>
      <c r="J691" s="47">
        <v>0</v>
      </c>
      <c r="K691" s="47">
        <v>0</v>
      </c>
      <c r="L691" s="47">
        <v>0</v>
      </c>
      <c r="M691" s="47">
        <v>0</v>
      </c>
      <c r="N691" s="47">
        <v>0</v>
      </c>
      <c r="O691" s="47">
        <v>0</v>
      </c>
      <c r="P691" s="47">
        <v>0</v>
      </c>
      <c r="Q691" s="47">
        <v>0</v>
      </c>
      <c r="R691" s="47">
        <v>0</v>
      </c>
      <c r="S691" s="47">
        <v>0</v>
      </c>
      <c r="T691" s="47">
        <v>0</v>
      </c>
      <c r="U691" s="47">
        <v>0</v>
      </c>
      <c r="V691" s="47">
        <v>0</v>
      </c>
      <c r="W691" s="47">
        <v>0</v>
      </c>
      <c r="X691" s="47">
        <v>0</v>
      </c>
      <c r="Y691" s="48">
        <v>2950976.25</v>
      </c>
      <c r="Z691" s="58">
        <v>339079.24</v>
      </c>
      <c r="AA691" s="50">
        <v>339079.24</v>
      </c>
      <c r="AB691" s="50">
        <v>0</v>
      </c>
      <c r="AC691" s="50">
        <v>0</v>
      </c>
      <c r="AD691" s="50">
        <v>0</v>
      </c>
      <c r="AE691" s="50">
        <v>0</v>
      </c>
      <c r="AF691" s="50">
        <v>0</v>
      </c>
      <c r="AG691" s="49">
        <v>339079.24</v>
      </c>
      <c r="AH691" s="51" t="s">
        <v>104</v>
      </c>
      <c r="AI691" s="51" t="s">
        <v>74</v>
      </c>
      <c r="AJ691" s="51" t="s">
        <v>74</v>
      </c>
      <c r="AK691" s="51" t="s">
        <v>74</v>
      </c>
      <c r="AL691" s="51" t="s">
        <v>74</v>
      </c>
      <c r="AM691" s="51" t="s">
        <v>74</v>
      </c>
      <c r="AN691" s="52">
        <v>0</v>
      </c>
      <c r="AO691" s="52">
        <v>0</v>
      </c>
      <c r="AP691" s="52">
        <v>0</v>
      </c>
      <c r="AQ691" s="52">
        <v>0</v>
      </c>
      <c r="AR691" s="52">
        <v>0</v>
      </c>
      <c r="AS691" s="52">
        <v>0</v>
      </c>
      <c r="AT691" s="53" t="s">
        <v>74</v>
      </c>
      <c r="AU691" s="52">
        <v>0</v>
      </c>
      <c r="AV691" s="52"/>
      <c r="AW691" s="52">
        <v>0</v>
      </c>
      <c r="AX691" s="52"/>
      <c r="AY691" s="52"/>
      <c r="AZ691" s="52">
        <v>0</v>
      </c>
      <c r="BA691" s="52">
        <v>0</v>
      </c>
      <c r="BB691" s="54" t="s">
        <v>74</v>
      </c>
      <c r="BC691" s="53" t="s">
        <v>74</v>
      </c>
      <c r="BD691" s="55" t="s">
        <v>74</v>
      </c>
      <c r="BE691" s="55" t="s">
        <v>74</v>
      </c>
      <c r="BF691" s="55" t="s">
        <v>74</v>
      </c>
      <c r="BG691" s="55" t="s">
        <v>74</v>
      </c>
      <c r="BH691" s="52">
        <v>0</v>
      </c>
      <c r="BI691" s="52">
        <v>2611897.0099999998</v>
      </c>
      <c r="BJ691" s="52">
        <v>2611897.0099999998</v>
      </c>
      <c r="BK691" s="56">
        <v>42917</v>
      </c>
      <c r="BL691" s="57">
        <v>2611897.0099999998</v>
      </c>
      <c r="BM691" s="47">
        <v>0</v>
      </c>
      <c r="BN691" s="9"/>
      <c r="BO691" s="9"/>
      <c r="BP691" s="9"/>
      <c r="BQ691" s="9"/>
      <c r="BR691" s="9"/>
      <c r="BS691" s="9"/>
      <c r="BT691" s="9"/>
      <c r="BU691" s="9"/>
      <c r="BV691" s="9"/>
      <c r="BW691" s="9"/>
    </row>
    <row r="692" spans="1:75" ht="26.25" hidden="1" outlineLevel="2" x14ac:dyDescent="0.25">
      <c r="A692" s="43" t="s">
        <v>795</v>
      </c>
      <c r="B692" s="110" t="s">
        <v>796</v>
      </c>
      <c r="C692" s="45">
        <v>2017</v>
      </c>
      <c r="D692" s="110" t="s">
        <v>86</v>
      </c>
      <c r="E692" s="47">
        <v>1247122.6499999999</v>
      </c>
      <c r="F692" s="47">
        <v>1703853.6</v>
      </c>
      <c r="G692" s="47">
        <v>0</v>
      </c>
      <c r="H692" s="47">
        <v>0</v>
      </c>
      <c r="I692" s="47">
        <v>0</v>
      </c>
      <c r="J692" s="47">
        <v>0</v>
      </c>
      <c r="K692" s="47">
        <v>0</v>
      </c>
      <c r="L692" s="47">
        <v>0</v>
      </c>
      <c r="M692" s="47">
        <v>0</v>
      </c>
      <c r="N692" s="47">
        <v>0</v>
      </c>
      <c r="O692" s="47">
        <v>0</v>
      </c>
      <c r="P692" s="47">
        <v>0</v>
      </c>
      <c r="Q692" s="47">
        <v>0</v>
      </c>
      <c r="R692" s="47">
        <v>0</v>
      </c>
      <c r="S692" s="47">
        <v>0</v>
      </c>
      <c r="T692" s="47">
        <v>0</v>
      </c>
      <c r="U692" s="47">
        <v>0</v>
      </c>
      <c r="V692" s="47">
        <v>0</v>
      </c>
      <c r="W692" s="47">
        <v>0</v>
      </c>
      <c r="X692" s="47">
        <v>0</v>
      </c>
      <c r="Y692" s="48">
        <v>2950976.25</v>
      </c>
      <c r="Z692" s="58">
        <v>308688.89</v>
      </c>
      <c r="AA692" s="50">
        <v>308688.89</v>
      </c>
      <c r="AB692" s="50">
        <v>0</v>
      </c>
      <c r="AC692" s="50">
        <v>0</v>
      </c>
      <c r="AD692" s="50">
        <v>0</v>
      </c>
      <c r="AE692" s="50">
        <v>0</v>
      </c>
      <c r="AF692" s="50">
        <v>0</v>
      </c>
      <c r="AG692" s="49">
        <v>308688.89</v>
      </c>
      <c r="AH692" s="51" t="s">
        <v>104</v>
      </c>
      <c r="AI692" s="51" t="s">
        <v>74</v>
      </c>
      <c r="AJ692" s="51" t="s">
        <v>74</v>
      </c>
      <c r="AK692" s="51" t="s">
        <v>74</v>
      </c>
      <c r="AL692" s="51" t="s">
        <v>74</v>
      </c>
      <c r="AM692" s="51" t="s">
        <v>74</v>
      </c>
      <c r="AN692" s="52">
        <v>0</v>
      </c>
      <c r="AO692" s="52">
        <v>0</v>
      </c>
      <c r="AP692" s="52">
        <v>0</v>
      </c>
      <c r="AQ692" s="52">
        <v>0</v>
      </c>
      <c r="AR692" s="52">
        <v>0</v>
      </c>
      <c r="AS692" s="52">
        <v>0</v>
      </c>
      <c r="AT692" s="53" t="s">
        <v>74</v>
      </c>
      <c r="AU692" s="52">
        <v>0</v>
      </c>
      <c r="AV692" s="52"/>
      <c r="AW692" s="52">
        <v>0</v>
      </c>
      <c r="AX692" s="52"/>
      <c r="AY692" s="52"/>
      <c r="AZ692" s="52">
        <v>0</v>
      </c>
      <c r="BA692" s="52">
        <v>0</v>
      </c>
      <c r="BB692" s="54" t="s">
        <v>74</v>
      </c>
      <c r="BC692" s="53" t="s">
        <v>74</v>
      </c>
      <c r="BD692" s="55" t="s">
        <v>74</v>
      </c>
      <c r="BE692" s="55" t="s">
        <v>74</v>
      </c>
      <c r="BF692" s="55" t="s">
        <v>74</v>
      </c>
      <c r="BG692" s="55" t="s">
        <v>74</v>
      </c>
      <c r="BH692" s="52">
        <v>0</v>
      </c>
      <c r="BI692" s="52">
        <v>2642287.36</v>
      </c>
      <c r="BJ692" s="52">
        <v>2642287.36</v>
      </c>
      <c r="BK692" s="56">
        <v>42948</v>
      </c>
      <c r="BL692" s="57">
        <v>2642287.36</v>
      </c>
      <c r="BM692" s="47">
        <v>0</v>
      </c>
      <c r="BN692" s="9"/>
      <c r="BO692" s="9"/>
      <c r="BP692" s="9"/>
      <c r="BQ692" s="9"/>
      <c r="BR692" s="9"/>
      <c r="BS692" s="9"/>
      <c r="BT692" s="9"/>
      <c r="BU692" s="9"/>
      <c r="BV692" s="9"/>
      <c r="BW692" s="9"/>
    </row>
    <row r="693" spans="1:75" ht="26.25" hidden="1" outlineLevel="2" x14ac:dyDescent="0.25">
      <c r="A693" s="43" t="s">
        <v>795</v>
      </c>
      <c r="B693" s="110" t="s">
        <v>796</v>
      </c>
      <c r="C693" s="45">
        <v>2017</v>
      </c>
      <c r="D693" s="110" t="s">
        <v>88</v>
      </c>
      <c r="E693" s="47">
        <v>1247122.6499999999</v>
      </c>
      <c r="F693" s="47">
        <v>1703853.6</v>
      </c>
      <c r="G693" s="47">
        <v>0</v>
      </c>
      <c r="H693" s="47">
        <v>0</v>
      </c>
      <c r="I693" s="47">
        <v>0</v>
      </c>
      <c r="J693" s="47">
        <v>0</v>
      </c>
      <c r="K693" s="47">
        <v>0</v>
      </c>
      <c r="L693" s="47">
        <v>0</v>
      </c>
      <c r="M693" s="47">
        <v>0</v>
      </c>
      <c r="N693" s="47">
        <v>0</v>
      </c>
      <c r="O693" s="47">
        <v>0</v>
      </c>
      <c r="P693" s="47">
        <v>0</v>
      </c>
      <c r="Q693" s="47">
        <v>0</v>
      </c>
      <c r="R693" s="47">
        <v>0</v>
      </c>
      <c r="S693" s="47">
        <v>0</v>
      </c>
      <c r="T693" s="47">
        <v>0</v>
      </c>
      <c r="U693" s="47">
        <v>0</v>
      </c>
      <c r="V693" s="47">
        <v>0</v>
      </c>
      <c r="W693" s="47">
        <v>0</v>
      </c>
      <c r="X693" s="47">
        <v>0</v>
      </c>
      <c r="Y693" s="48">
        <v>2950976.25</v>
      </c>
      <c r="Z693" s="58">
        <v>308688.87</v>
      </c>
      <c r="AA693" s="50">
        <v>308688.87</v>
      </c>
      <c r="AB693" s="50">
        <v>0</v>
      </c>
      <c r="AC693" s="50">
        <v>0</v>
      </c>
      <c r="AD693" s="50">
        <v>0</v>
      </c>
      <c r="AE693" s="50">
        <v>0</v>
      </c>
      <c r="AF693" s="50">
        <v>0</v>
      </c>
      <c r="AG693" s="49">
        <v>308688.87</v>
      </c>
      <c r="AH693" s="51" t="s">
        <v>104</v>
      </c>
      <c r="AI693" s="51" t="s">
        <v>74</v>
      </c>
      <c r="AJ693" s="51" t="s">
        <v>74</v>
      </c>
      <c r="AK693" s="51" t="s">
        <v>74</v>
      </c>
      <c r="AL693" s="51" t="s">
        <v>74</v>
      </c>
      <c r="AM693" s="51" t="s">
        <v>74</v>
      </c>
      <c r="AN693" s="52">
        <v>0</v>
      </c>
      <c r="AO693" s="52">
        <v>0</v>
      </c>
      <c r="AP693" s="52">
        <v>0</v>
      </c>
      <c r="AQ693" s="52">
        <v>0</v>
      </c>
      <c r="AR693" s="52">
        <v>0</v>
      </c>
      <c r="AS693" s="52">
        <v>0</v>
      </c>
      <c r="AT693" s="53" t="s">
        <v>74</v>
      </c>
      <c r="AU693" s="52">
        <v>0</v>
      </c>
      <c r="AV693" s="52"/>
      <c r="AW693" s="52">
        <v>0</v>
      </c>
      <c r="AX693" s="52"/>
      <c r="AY693" s="52"/>
      <c r="AZ693" s="52">
        <v>0</v>
      </c>
      <c r="BA693" s="52">
        <v>0</v>
      </c>
      <c r="BB693" s="54" t="s">
        <v>74</v>
      </c>
      <c r="BC693" s="53" t="s">
        <v>74</v>
      </c>
      <c r="BD693" s="55" t="s">
        <v>74</v>
      </c>
      <c r="BE693" s="55" t="s">
        <v>74</v>
      </c>
      <c r="BF693" s="55" t="s">
        <v>74</v>
      </c>
      <c r="BG693" s="55" t="s">
        <v>74</v>
      </c>
      <c r="BH693" s="52">
        <v>0</v>
      </c>
      <c r="BI693" s="52">
        <v>2642287.38</v>
      </c>
      <c r="BJ693" s="52">
        <v>2642287.38</v>
      </c>
      <c r="BK693" s="56">
        <v>42979</v>
      </c>
      <c r="BL693" s="57">
        <v>2642287.38</v>
      </c>
      <c r="BM693" s="47">
        <v>0</v>
      </c>
      <c r="BN693" s="9"/>
      <c r="BO693" s="9"/>
      <c r="BP693" s="9"/>
      <c r="BQ693" s="9"/>
      <c r="BR693" s="9"/>
      <c r="BS693" s="9"/>
      <c r="BT693" s="9"/>
      <c r="BU693" s="9"/>
      <c r="BV693" s="9"/>
      <c r="BW693" s="9"/>
    </row>
    <row r="694" spans="1:75" ht="179.25" hidden="1" outlineLevel="2" x14ac:dyDescent="0.25">
      <c r="A694" s="43" t="s">
        <v>795</v>
      </c>
      <c r="B694" s="110" t="s">
        <v>796</v>
      </c>
      <c r="C694" s="45">
        <v>2017</v>
      </c>
      <c r="D694" s="110" t="s">
        <v>89</v>
      </c>
      <c r="E694" s="47">
        <v>1247122.6499999999</v>
      </c>
      <c r="F694" s="47">
        <v>1703853.6</v>
      </c>
      <c r="G694" s="47">
        <v>0</v>
      </c>
      <c r="H694" s="47">
        <v>0</v>
      </c>
      <c r="I694" s="47">
        <v>0</v>
      </c>
      <c r="J694" s="47">
        <v>0</v>
      </c>
      <c r="K694" s="47">
        <v>0</v>
      </c>
      <c r="L694" s="47">
        <v>0</v>
      </c>
      <c r="M694" s="47">
        <v>0</v>
      </c>
      <c r="N694" s="47">
        <v>0</v>
      </c>
      <c r="O694" s="47">
        <v>0</v>
      </c>
      <c r="P694" s="47">
        <v>0</v>
      </c>
      <c r="Q694" s="47">
        <v>0</v>
      </c>
      <c r="R694" s="47">
        <v>0</v>
      </c>
      <c r="S694" s="47">
        <v>0</v>
      </c>
      <c r="T694" s="47">
        <v>0</v>
      </c>
      <c r="U694" s="47">
        <v>0</v>
      </c>
      <c r="V694" s="47">
        <v>0</v>
      </c>
      <c r="W694" s="47">
        <v>0</v>
      </c>
      <c r="X694" s="47">
        <v>0</v>
      </c>
      <c r="Y694" s="48">
        <v>2950976.25</v>
      </c>
      <c r="Z694" s="58">
        <v>339872.22</v>
      </c>
      <c r="AA694" s="50">
        <v>339872.22</v>
      </c>
      <c r="AB694" s="50">
        <v>0</v>
      </c>
      <c r="AC694" s="50">
        <v>0</v>
      </c>
      <c r="AD694" s="50">
        <v>0</v>
      </c>
      <c r="AE694" s="50">
        <v>0</v>
      </c>
      <c r="AF694" s="50">
        <v>0</v>
      </c>
      <c r="AG694" s="49">
        <v>339872.22</v>
      </c>
      <c r="AH694" s="51" t="s">
        <v>104</v>
      </c>
      <c r="AI694" s="51" t="s">
        <v>74</v>
      </c>
      <c r="AJ694" s="51" t="s">
        <v>74</v>
      </c>
      <c r="AK694" s="51" t="s">
        <v>74</v>
      </c>
      <c r="AL694" s="51" t="s">
        <v>74</v>
      </c>
      <c r="AM694" s="51" t="s">
        <v>74</v>
      </c>
      <c r="AN694" s="52">
        <v>0</v>
      </c>
      <c r="AO694" s="52">
        <v>0</v>
      </c>
      <c r="AP694" s="52"/>
      <c r="AQ694" s="52">
        <v>0</v>
      </c>
      <c r="AR694" s="52">
        <v>0</v>
      </c>
      <c r="AS694" s="52">
        <v>0</v>
      </c>
      <c r="AT694" s="53" t="s">
        <v>74</v>
      </c>
      <c r="AU694" s="52">
        <v>295207.3</v>
      </c>
      <c r="AV694" s="52"/>
      <c r="AW694" s="52">
        <v>0</v>
      </c>
      <c r="AX694" s="52"/>
      <c r="AY694" s="52"/>
      <c r="AZ694" s="52">
        <v>0</v>
      </c>
      <c r="BA694" s="52">
        <v>295207.3</v>
      </c>
      <c r="BB694" s="55" t="s">
        <v>800</v>
      </c>
      <c r="BC694" s="51" t="s">
        <v>74</v>
      </c>
      <c r="BD694" s="54" t="s">
        <v>74</v>
      </c>
      <c r="BE694" s="54" t="s">
        <v>74</v>
      </c>
      <c r="BF694" s="54" t="s">
        <v>74</v>
      </c>
      <c r="BG694" s="54" t="s">
        <v>74</v>
      </c>
      <c r="BH694" s="52">
        <v>295207.3</v>
      </c>
      <c r="BI694" s="52">
        <v>2906311.33</v>
      </c>
      <c r="BJ694" s="52">
        <v>2611104.0299999998</v>
      </c>
      <c r="BK694" s="56">
        <v>43009</v>
      </c>
      <c r="BL694" s="57">
        <v>2906311.33</v>
      </c>
      <c r="BM694" s="47">
        <v>0</v>
      </c>
      <c r="BN694" s="9"/>
      <c r="BO694" s="9"/>
      <c r="BP694" s="9"/>
      <c r="BQ694" s="9"/>
      <c r="BR694" s="9"/>
      <c r="BS694" s="9"/>
      <c r="BT694" s="9"/>
      <c r="BU694" s="9"/>
      <c r="BV694" s="9"/>
      <c r="BW694" s="9"/>
    </row>
    <row r="695" spans="1:75" ht="26.25" hidden="1" outlineLevel="2" x14ac:dyDescent="0.25">
      <c r="A695" s="43" t="s">
        <v>795</v>
      </c>
      <c r="B695" s="110" t="s">
        <v>796</v>
      </c>
      <c r="C695" s="45">
        <v>2017</v>
      </c>
      <c r="D695" s="110" t="s">
        <v>90</v>
      </c>
      <c r="E695" s="47">
        <v>1247122.6499999999</v>
      </c>
      <c r="F695" s="47">
        <v>1703853.6</v>
      </c>
      <c r="G695" s="47">
        <v>0</v>
      </c>
      <c r="H695" s="47">
        <v>0</v>
      </c>
      <c r="I695" s="47">
        <v>0</v>
      </c>
      <c r="J695" s="47">
        <v>0</v>
      </c>
      <c r="K695" s="47">
        <v>0</v>
      </c>
      <c r="L695" s="47">
        <v>0</v>
      </c>
      <c r="M695" s="47">
        <v>0</v>
      </c>
      <c r="N695" s="47">
        <v>0</v>
      </c>
      <c r="O695" s="47">
        <v>0</v>
      </c>
      <c r="P695" s="47">
        <v>0</v>
      </c>
      <c r="Q695" s="47">
        <v>0</v>
      </c>
      <c r="R695" s="47">
        <v>0</v>
      </c>
      <c r="S695" s="47">
        <v>0</v>
      </c>
      <c r="T695" s="47">
        <v>0</v>
      </c>
      <c r="U695" s="47">
        <v>0</v>
      </c>
      <c r="V695" s="47">
        <v>0</v>
      </c>
      <c r="W695" s="47">
        <v>0</v>
      </c>
      <c r="X695" s="47">
        <v>0</v>
      </c>
      <c r="Y695" s="48">
        <v>2950976.25</v>
      </c>
      <c r="Z695" s="58">
        <v>518341.79</v>
      </c>
      <c r="AA695" s="50">
        <v>518341.79</v>
      </c>
      <c r="AB695" s="50">
        <v>0</v>
      </c>
      <c r="AC695" s="50">
        <v>0</v>
      </c>
      <c r="AD695" s="50">
        <v>9254</v>
      </c>
      <c r="AE695" s="50">
        <v>0</v>
      </c>
      <c r="AF695" s="50">
        <v>0</v>
      </c>
      <c r="AG695" s="49">
        <v>527595.79</v>
      </c>
      <c r="AH695" s="51" t="s">
        <v>104</v>
      </c>
      <c r="AI695" s="51" t="s">
        <v>74</v>
      </c>
      <c r="AJ695" s="51" t="s">
        <v>74</v>
      </c>
      <c r="AK695" s="51" t="s">
        <v>353</v>
      </c>
      <c r="AL695" s="51" t="s">
        <v>74</v>
      </c>
      <c r="AM695" s="51" t="s">
        <v>74</v>
      </c>
      <c r="AN695" s="52">
        <v>0</v>
      </c>
      <c r="AO695" s="52">
        <v>0</v>
      </c>
      <c r="AP695" s="52">
        <v>0</v>
      </c>
      <c r="AQ695" s="52">
        <v>0</v>
      </c>
      <c r="AR695" s="52">
        <v>0</v>
      </c>
      <c r="AS695" s="52">
        <v>0</v>
      </c>
      <c r="AT695" s="53" t="s">
        <v>74</v>
      </c>
      <c r="AU695" s="52">
        <v>0</v>
      </c>
      <c r="AV695" s="52"/>
      <c r="AW695" s="52">
        <v>0</v>
      </c>
      <c r="AX695" s="52"/>
      <c r="AY695" s="52"/>
      <c r="AZ695" s="52">
        <v>0</v>
      </c>
      <c r="BA695" s="52">
        <v>0</v>
      </c>
      <c r="BB695" s="54" t="s">
        <v>74</v>
      </c>
      <c r="BC695" s="53" t="s">
        <v>74</v>
      </c>
      <c r="BD695" s="55" t="s">
        <v>74</v>
      </c>
      <c r="BE695" s="55" t="s">
        <v>74</v>
      </c>
      <c r="BF695" s="55" t="s">
        <v>74</v>
      </c>
      <c r="BG695" s="55" t="s">
        <v>74</v>
      </c>
      <c r="BH695" s="52">
        <v>0</v>
      </c>
      <c r="BI695" s="52">
        <v>2423380.46</v>
      </c>
      <c r="BJ695" s="52">
        <v>2423380.46</v>
      </c>
      <c r="BK695" s="56">
        <v>43040</v>
      </c>
      <c r="BL695" s="57">
        <v>2423380.46</v>
      </c>
      <c r="BM695" s="47">
        <v>0</v>
      </c>
      <c r="BN695" s="9"/>
      <c r="BO695" s="9"/>
      <c r="BP695" s="9"/>
      <c r="BQ695" s="9"/>
      <c r="BR695" s="9"/>
      <c r="BS695" s="9"/>
      <c r="BT695" s="9"/>
      <c r="BU695" s="9"/>
      <c r="BV695" s="9"/>
      <c r="BW695" s="9"/>
    </row>
    <row r="696" spans="1:75" ht="26.25" hidden="1" outlineLevel="2" x14ac:dyDescent="0.25">
      <c r="A696" s="43" t="s">
        <v>795</v>
      </c>
      <c r="B696" s="110" t="s">
        <v>796</v>
      </c>
      <c r="C696" s="45">
        <v>2017</v>
      </c>
      <c r="D696" s="110" t="s">
        <v>93</v>
      </c>
      <c r="E696" s="47">
        <v>1247122.6499999999</v>
      </c>
      <c r="F696" s="47">
        <v>1703853.6</v>
      </c>
      <c r="G696" s="47">
        <v>0</v>
      </c>
      <c r="H696" s="47">
        <v>0</v>
      </c>
      <c r="I696" s="47">
        <v>0</v>
      </c>
      <c r="J696" s="47">
        <v>0</v>
      </c>
      <c r="K696" s="47">
        <v>0</v>
      </c>
      <c r="L696" s="47">
        <v>0</v>
      </c>
      <c r="M696" s="47">
        <v>0</v>
      </c>
      <c r="N696" s="47">
        <v>0</v>
      </c>
      <c r="O696" s="47">
        <v>0</v>
      </c>
      <c r="P696" s="47">
        <v>0</v>
      </c>
      <c r="Q696" s="47">
        <v>0</v>
      </c>
      <c r="R696" s="47">
        <v>0</v>
      </c>
      <c r="S696" s="47">
        <v>0</v>
      </c>
      <c r="T696" s="47">
        <v>0</v>
      </c>
      <c r="U696" s="47">
        <v>0</v>
      </c>
      <c r="V696" s="47">
        <v>0</v>
      </c>
      <c r="W696" s="47">
        <v>0</v>
      </c>
      <c r="X696" s="47">
        <v>0</v>
      </c>
      <c r="Y696" s="48">
        <v>2950976.25</v>
      </c>
      <c r="Z696" s="58">
        <v>308688.87</v>
      </c>
      <c r="AA696" s="50">
        <v>308688.87</v>
      </c>
      <c r="AB696" s="50">
        <v>0</v>
      </c>
      <c r="AC696" s="50">
        <v>0</v>
      </c>
      <c r="AD696" s="50">
        <v>12945.89</v>
      </c>
      <c r="AE696" s="50">
        <v>0</v>
      </c>
      <c r="AF696" s="50">
        <v>0</v>
      </c>
      <c r="AG696" s="49">
        <v>321634.76</v>
      </c>
      <c r="AH696" s="51" t="s">
        <v>104</v>
      </c>
      <c r="AI696" s="51" t="s">
        <v>74</v>
      </c>
      <c r="AJ696" s="51" t="s">
        <v>74</v>
      </c>
      <c r="AK696" s="51" t="s">
        <v>801</v>
      </c>
      <c r="AL696" s="51" t="s">
        <v>74</v>
      </c>
      <c r="AM696" s="51" t="s">
        <v>74</v>
      </c>
      <c r="AN696" s="52">
        <v>0</v>
      </c>
      <c r="AO696" s="52">
        <v>0</v>
      </c>
      <c r="AP696" s="52">
        <v>0</v>
      </c>
      <c r="AQ696" s="52">
        <v>0</v>
      </c>
      <c r="AR696" s="52">
        <v>0</v>
      </c>
      <c r="AS696" s="52">
        <v>0</v>
      </c>
      <c r="AT696" s="53" t="s">
        <v>74</v>
      </c>
      <c r="AU696" s="52">
        <v>0</v>
      </c>
      <c r="AV696" s="52"/>
      <c r="AW696" s="52">
        <v>0</v>
      </c>
      <c r="AX696" s="52"/>
      <c r="AY696" s="52"/>
      <c r="AZ696" s="52">
        <v>0</v>
      </c>
      <c r="BA696" s="52">
        <v>0</v>
      </c>
      <c r="BB696" s="54" t="s">
        <v>74</v>
      </c>
      <c r="BC696" s="53" t="s">
        <v>74</v>
      </c>
      <c r="BD696" s="55" t="s">
        <v>74</v>
      </c>
      <c r="BE696" s="55" t="s">
        <v>74</v>
      </c>
      <c r="BF696" s="55" t="s">
        <v>74</v>
      </c>
      <c r="BG696" s="55" t="s">
        <v>74</v>
      </c>
      <c r="BH696" s="52">
        <v>0</v>
      </c>
      <c r="BI696" s="52">
        <v>2629341.4900000002</v>
      </c>
      <c r="BJ696" s="52">
        <v>2629341.4900000002</v>
      </c>
      <c r="BK696" s="56">
        <v>43070</v>
      </c>
      <c r="BL696" s="57">
        <v>2629341.4900000002</v>
      </c>
      <c r="BM696" s="47">
        <v>0</v>
      </c>
      <c r="BN696" s="9"/>
      <c r="BO696" s="9"/>
      <c r="BP696" s="9"/>
      <c r="BQ696" s="9"/>
      <c r="BR696" s="9"/>
      <c r="BS696" s="9"/>
      <c r="BT696" s="9"/>
      <c r="BU696" s="9"/>
      <c r="BV696" s="9"/>
      <c r="BW696" s="9"/>
    </row>
    <row r="697" spans="1:75" ht="26.25" hidden="1" outlineLevel="2" x14ac:dyDescent="0.25">
      <c r="A697" s="43" t="s">
        <v>795</v>
      </c>
      <c r="B697" s="110" t="s">
        <v>796</v>
      </c>
      <c r="C697" s="45">
        <v>2018</v>
      </c>
      <c r="D697" s="110" t="s">
        <v>73</v>
      </c>
      <c r="E697" s="47">
        <v>1247122.6499999999</v>
      </c>
      <c r="F697" s="47">
        <v>1703853.6</v>
      </c>
      <c r="G697" s="47">
        <v>0</v>
      </c>
      <c r="H697" s="47">
        <v>0</v>
      </c>
      <c r="I697" s="47">
        <v>0</v>
      </c>
      <c r="J697" s="47">
        <v>0</v>
      </c>
      <c r="K697" s="47">
        <v>0</v>
      </c>
      <c r="L697" s="47">
        <v>0</v>
      </c>
      <c r="M697" s="47">
        <v>0</v>
      </c>
      <c r="N697" s="47">
        <v>0</v>
      </c>
      <c r="O697" s="47">
        <v>0</v>
      </c>
      <c r="P697" s="47">
        <v>0</v>
      </c>
      <c r="Q697" s="47">
        <v>0</v>
      </c>
      <c r="R697" s="47">
        <v>0</v>
      </c>
      <c r="S697" s="47">
        <v>0</v>
      </c>
      <c r="T697" s="47">
        <v>0</v>
      </c>
      <c r="U697" s="47">
        <v>0</v>
      </c>
      <c r="V697" s="47">
        <v>0</v>
      </c>
      <c r="W697" s="47">
        <v>0</v>
      </c>
      <c r="X697" s="47">
        <v>0</v>
      </c>
      <c r="Y697" s="48">
        <v>2950976.25</v>
      </c>
      <c r="Z697" s="58">
        <v>335566.09</v>
      </c>
      <c r="AA697" s="50">
        <v>335566.09</v>
      </c>
      <c r="AB697" s="50">
        <v>0</v>
      </c>
      <c r="AC697" s="50">
        <v>0</v>
      </c>
      <c r="AD697" s="50">
        <v>11401.38</v>
      </c>
      <c r="AE697" s="50">
        <v>0</v>
      </c>
      <c r="AF697" s="50">
        <v>0</v>
      </c>
      <c r="AG697" s="49">
        <v>346967.47</v>
      </c>
      <c r="AH697" s="51" t="s">
        <v>104</v>
      </c>
      <c r="AI697" s="51" t="s">
        <v>74</v>
      </c>
      <c r="AJ697" s="51" t="s">
        <v>74</v>
      </c>
      <c r="AK697" s="51" t="s">
        <v>97</v>
      </c>
      <c r="AL697" s="51" t="s">
        <v>74</v>
      </c>
      <c r="AM697" s="51" t="s">
        <v>74</v>
      </c>
      <c r="AN697" s="52">
        <v>0</v>
      </c>
      <c r="AO697" s="52">
        <v>0</v>
      </c>
      <c r="AP697" s="52">
        <v>0</v>
      </c>
      <c r="AQ697" s="52">
        <v>0</v>
      </c>
      <c r="AR697" s="52">
        <v>0</v>
      </c>
      <c r="AS697" s="52">
        <v>0</v>
      </c>
      <c r="AT697" s="53" t="s">
        <v>74</v>
      </c>
      <c r="AU697" s="52">
        <v>0</v>
      </c>
      <c r="AV697" s="52"/>
      <c r="AW697" s="52">
        <v>0</v>
      </c>
      <c r="AX697" s="52"/>
      <c r="AY697" s="52"/>
      <c r="AZ697" s="52">
        <v>0</v>
      </c>
      <c r="BA697" s="52">
        <v>0</v>
      </c>
      <c r="BB697" s="54" t="s">
        <v>74</v>
      </c>
      <c r="BC697" s="53" t="s">
        <v>74</v>
      </c>
      <c r="BD697" s="55" t="s">
        <v>74</v>
      </c>
      <c r="BE697" s="55" t="s">
        <v>74</v>
      </c>
      <c r="BF697" s="55" t="s">
        <v>74</v>
      </c>
      <c r="BG697" s="55" t="s">
        <v>74</v>
      </c>
      <c r="BH697" s="52">
        <v>0</v>
      </c>
      <c r="BI697" s="52">
        <v>2604008.7799999998</v>
      </c>
      <c r="BJ697" s="52">
        <v>2604008.7799999998</v>
      </c>
      <c r="BK697" s="56">
        <v>43101</v>
      </c>
      <c r="BL697" s="57">
        <v>2604008.7799999998</v>
      </c>
      <c r="BM697" s="47">
        <v>0</v>
      </c>
      <c r="BN697" s="9"/>
      <c r="BO697" s="9"/>
      <c r="BP697" s="9"/>
      <c r="BQ697" s="9"/>
      <c r="BR697" s="9"/>
      <c r="BS697" s="9"/>
      <c r="BT697" s="9"/>
      <c r="BU697" s="9"/>
      <c r="BV697" s="9"/>
      <c r="BW697" s="9"/>
    </row>
    <row r="698" spans="1:75" ht="26.25" hidden="1" outlineLevel="2" x14ac:dyDescent="0.25">
      <c r="A698" s="43" t="s">
        <v>795</v>
      </c>
      <c r="B698" s="110" t="s">
        <v>796</v>
      </c>
      <c r="C698" s="45">
        <v>2018</v>
      </c>
      <c r="D698" s="110" t="s">
        <v>75</v>
      </c>
      <c r="E698" s="47">
        <v>1247122.6499999999</v>
      </c>
      <c r="F698" s="47">
        <v>1703853.6</v>
      </c>
      <c r="G698" s="47">
        <v>0</v>
      </c>
      <c r="H698" s="47">
        <v>0</v>
      </c>
      <c r="I698" s="47">
        <v>0</v>
      </c>
      <c r="J698" s="47">
        <v>0</v>
      </c>
      <c r="K698" s="47">
        <v>0</v>
      </c>
      <c r="L698" s="47">
        <v>0</v>
      </c>
      <c r="M698" s="47">
        <v>0</v>
      </c>
      <c r="N698" s="47">
        <v>0</v>
      </c>
      <c r="O698" s="47">
        <v>0</v>
      </c>
      <c r="P698" s="47">
        <v>0</v>
      </c>
      <c r="Q698" s="47">
        <v>0</v>
      </c>
      <c r="R698" s="47">
        <v>0</v>
      </c>
      <c r="S698" s="47">
        <v>0</v>
      </c>
      <c r="T698" s="47">
        <v>0</v>
      </c>
      <c r="U698" s="47">
        <v>0</v>
      </c>
      <c r="V698" s="47">
        <v>0</v>
      </c>
      <c r="W698" s="47">
        <v>0</v>
      </c>
      <c r="X698" s="47">
        <v>0</v>
      </c>
      <c r="Y698" s="48">
        <v>2950976.25</v>
      </c>
      <c r="Z698" s="58">
        <v>338194.5</v>
      </c>
      <c r="AA698" s="50">
        <v>338194.5</v>
      </c>
      <c r="AB698" s="50">
        <v>0</v>
      </c>
      <c r="AC698" s="50">
        <v>0</v>
      </c>
      <c r="AD698" s="50">
        <v>12065.62</v>
      </c>
      <c r="AE698" s="50">
        <v>0</v>
      </c>
      <c r="AF698" s="50">
        <v>0</v>
      </c>
      <c r="AG698" s="49">
        <v>350260.12</v>
      </c>
      <c r="AH698" s="51" t="s">
        <v>104</v>
      </c>
      <c r="AI698" s="51" t="s">
        <v>74</v>
      </c>
      <c r="AJ698" s="51" t="s">
        <v>74</v>
      </c>
      <c r="AK698" s="51" t="s">
        <v>99</v>
      </c>
      <c r="AL698" s="51" t="s">
        <v>74</v>
      </c>
      <c r="AM698" s="51" t="s">
        <v>74</v>
      </c>
      <c r="AN698" s="52">
        <v>0</v>
      </c>
      <c r="AO698" s="52">
        <v>0</v>
      </c>
      <c r="AP698" s="52">
        <v>0</v>
      </c>
      <c r="AQ698" s="52">
        <v>0</v>
      </c>
      <c r="AR698" s="52">
        <v>0</v>
      </c>
      <c r="AS698" s="52">
        <v>0</v>
      </c>
      <c r="AT698" s="53" t="s">
        <v>74</v>
      </c>
      <c r="AU698" s="52">
        <v>0</v>
      </c>
      <c r="AV698" s="52"/>
      <c r="AW698" s="52">
        <v>0</v>
      </c>
      <c r="AX698" s="52"/>
      <c r="AY698" s="52"/>
      <c r="AZ698" s="52">
        <v>0</v>
      </c>
      <c r="BA698" s="52">
        <v>0</v>
      </c>
      <c r="BB698" s="54" t="s">
        <v>74</v>
      </c>
      <c r="BC698" s="53" t="s">
        <v>74</v>
      </c>
      <c r="BD698" s="55" t="s">
        <v>74</v>
      </c>
      <c r="BE698" s="55" t="s">
        <v>74</v>
      </c>
      <c r="BF698" s="55" t="s">
        <v>74</v>
      </c>
      <c r="BG698" s="55" t="s">
        <v>74</v>
      </c>
      <c r="BH698" s="52">
        <v>0</v>
      </c>
      <c r="BI698" s="52">
        <v>2600716.13</v>
      </c>
      <c r="BJ698" s="52">
        <v>2600716.13</v>
      </c>
      <c r="BK698" s="56">
        <v>43132</v>
      </c>
      <c r="BL698" s="57">
        <v>2600716.13</v>
      </c>
      <c r="BM698" s="47">
        <v>0</v>
      </c>
      <c r="BN698" s="9"/>
      <c r="BO698" s="9"/>
      <c r="BP698" s="9"/>
      <c r="BQ698" s="9"/>
      <c r="BR698" s="9"/>
      <c r="BS698" s="9"/>
      <c r="BT698" s="9"/>
      <c r="BU698" s="9"/>
      <c r="BV698" s="9"/>
      <c r="BW698" s="9"/>
    </row>
    <row r="699" spans="1:75" ht="26.25" hidden="1" outlineLevel="2" x14ac:dyDescent="0.25">
      <c r="A699" s="43" t="s">
        <v>795</v>
      </c>
      <c r="B699" s="110" t="s">
        <v>796</v>
      </c>
      <c r="C699" s="45">
        <v>2018</v>
      </c>
      <c r="D699" s="110" t="s">
        <v>77</v>
      </c>
      <c r="E699" s="47">
        <v>1247122.6499999999</v>
      </c>
      <c r="F699" s="47">
        <v>1703853.6</v>
      </c>
      <c r="G699" s="47">
        <v>0</v>
      </c>
      <c r="H699" s="47">
        <v>0</v>
      </c>
      <c r="I699" s="47">
        <v>0</v>
      </c>
      <c r="J699" s="47">
        <v>0</v>
      </c>
      <c r="K699" s="47">
        <v>0</v>
      </c>
      <c r="L699" s="47">
        <v>0</v>
      </c>
      <c r="M699" s="47">
        <v>0</v>
      </c>
      <c r="N699" s="47">
        <v>0</v>
      </c>
      <c r="O699" s="47">
        <v>0</v>
      </c>
      <c r="P699" s="47">
        <v>0</v>
      </c>
      <c r="Q699" s="47">
        <v>0</v>
      </c>
      <c r="R699" s="47">
        <v>0</v>
      </c>
      <c r="S699" s="47">
        <v>0</v>
      </c>
      <c r="T699" s="47">
        <v>0</v>
      </c>
      <c r="U699" s="47">
        <v>0</v>
      </c>
      <c r="V699" s="47">
        <v>0</v>
      </c>
      <c r="W699" s="47">
        <v>0</v>
      </c>
      <c r="X699" s="47">
        <v>0</v>
      </c>
      <c r="Y699" s="48">
        <v>2950976.25</v>
      </c>
      <c r="Z699" s="58">
        <v>321809.78000000003</v>
      </c>
      <c r="AA699" s="50">
        <v>321809.78000000003</v>
      </c>
      <c r="AB699" s="50">
        <v>0</v>
      </c>
      <c r="AC699" s="50">
        <v>0</v>
      </c>
      <c r="AD699" s="50">
        <v>13017.86</v>
      </c>
      <c r="AE699" s="50">
        <v>0</v>
      </c>
      <c r="AF699" s="50">
        <v>0</v>
      </c>
      <c r="AG699" s="49">
        <v>334827.64</v>
      </c>
      <c r="AH699" s="51" t="s">
        <v>104</v>
      </c>
      <c r="AI699" s="51" t="s">
        <v>74</v>
      </c>
      <c r="AJ699" s="51" t="s">
        <v>74</v>
      </c>
      <c r="AK699" s="51" t="s">
        <v>102</v>
      </c>
      <c r="AL699" s="51" t="s">
        <v>74</v>
      </c>
      <c r="AM699" s="51" t="s">
        <v>74</v>
      </c>
      <c r="AN699" s="52">
        <v>0</v>
      </c>
      <c r="AO699" s="52">
        <v>0</v>
      </c>
      <c r="AP699" s="52">
        <v>0</v>
      </c>
      <c r="AQ699" s="52">
        <v>0</v>
      </c>
      <c r="AR699" s="52">
        <v>0</v>
      </c>
      <c r="AS699" s="52">
        <v>0</v>
      </c>
      <c r="AT699" s="53" t="s">
        <v>74</v>
      </c>
      <c r="AU699" s="52">
        <v>0</v>
      </c>
      <c r="AV699" s="52"/>
      <c r="AW699" s="52">
        <v>0</v>
      </c>
      <c r="AX699" s="52"/>
      <c r="AY699" s="52"/>
      <c r="AZ699" s="52">
        <v>0</v>
      </c>
      <c r="BA699" s="52">
        <v>0</v>
      </c>
      <c r="BB699" s="54" t="s">
        <v>74</v>
      </c>
      <c r="BC699" s="53" t="s">
        <v>74</v>
      </c>
      <c r="BD699" s="55" t="s">
        <v>74</v>
      </c>
      <c r="BE699" s="55" t="s">
        <v>74</v>
      </c>
      <c r="BF699" s="55" t="s">
        <v>74</v>
      </c>
      <c r="BG699" s="55" t="s">
        <v>74</v>
      </c>
      <c r="BH699" s="52">
        <v>0</v>
      </c>
      <c r="BI699" s="52">
        <v>2616148.61</v>
      </c>
      <c r="BJ699" s="52">
        <v>2616148.61</v>
      </c>
      <c r="BK699" s="56">
        <v>43160</v>
      </c>
      <c r="BL699" s="57">
        <v>2616148.61</v>
      </c>
      <c r="BM699" s="47">
        <v>0</v>
      </c>
      <c r="BN699" s="9"/>
      <c r="BO699" s="9"/>
      <c r="BP699" s="9"/>
      <c r="BQ699" s="9"/>
      <c r="BR699" s="9"/>
      <c r="BS699" s="9"/>
      <c r="BT699" s="9"/>
      <c r="BU699" s="9"/>
      <c r="BV699" s="9"/>
      <c r="BW699" s="9"/>
    </row>
    <row r="700" spans="1:75" ht="26.25" hidden="1" outlineLevel="2" x14ac:dyDescent="0.25">
      <c r="A700" s="43" t="s">
        <v>795</v>
      </c>
      <c r="B700" s="110" t="s">
        <v>796</v>
      </c>
      <c r="C700" s="45">
        <v>2018</v>
      </c>
      <c r="D700" s="110" t="s">
        <v>79</v>
      </c>
      <c r="E700" s="47">
        <v>1247122.6499999999</v>
      </c>
      <c r="F700" s="47">
        <v>1703853.6</v>
      </c>
      <c r="G700" s="47">
        <v>0</v>
      </c>
      <c r="H700" s="47">
        <v>0</v>
      </c>
      <c r="I700" s="47">
        <v>0</v>
      </c>
      <c r="J700" s="47">
        <v>0</v>
      </c>
      <c r="K700" s="47">
        <v>0</v>
      </c>
      <c r="L700" s="47">
        <v>0</v>
      </c>
      <c r="M700" s="47">
        <v>0</v>
      </c>
      <c r="N700" s="47">
        <v>0</v>
      </c>
      <c r="O700" s="47">
        <v>0</v>
      </c>
      <c r="P700" s="47">
        <v>0</v>
      </c>
      <c r="Q700" s="47">
        <v>0</v>
      </c>
      <c r="R700" s="47">
        <v>0</v>
      </c>
      <c r="S700" s="47">
        <v>0</v>
      </c>
      <c r="T700" s="47">
        <v>0</v>
      </c>
      <c r="U700" s="47">
        <v>0</v>
      </c>
      <c r="V700" s="47">
        <v>0</v>
      </c>
      <c r="W700" s="47">
        <v>0</v>
      </c>
      <c r="X700" s="47">
        <v>0</v>
      </c>
      <c r="Y700" s="48">
        <v>2950976.25</v>
      </c>
      <c r="Z700" s="58">
        <v>332189.40000000002</v>
      </c>
      <c r="AA700" s="50">
        <v>332189.40000000002</v>
      </c>
      <c r="AB700" s="50">
        <v>0</v>
      </c>
      <c r="AC700" s="50">
        <v>0</v>
      </c>
      <c r="AD700" s="50">
        <v>13052.73</v>
      </c>
      <c r="AE700" s="50">
        <v>0</v>
      </c>
      <c r="AF700" s="50">
        <v>0</v>
      </c>
      <c r="AG700" s="49">
        <v>345242.13</v>
      </c>
      <c r="AH700" s="51" t="s">
        <v>104</v>
      </c>
      <c r="AI700" s="51" t="s">
        <v>74</v>
      </c>
      <c r="AJ700" s="51" t="s">
        <v>74</v>
      </c>
      <c r="AK700" s="51" t="s">
        <v>106</v>
      </c>
      <c r="AL700" s="51" t="s">
        <v>74</v>
      </c>
      <c r="AM700" s="51" t="s">
        <v>74</v>
      </c>
      <c r="AN700" s="52">
        <v>0</v>
      </c>
      <c r="AO700" s="52">
        <v>0</v>
      </c>
      <c r="AP700" s="52">
        <v>0</v>
      </c>
      <c r="AQ700" s="52">
        <v>0</v>
      </c>
      <c r="AR700" s="52">
        <v>0</v>
      </c>
      <c r="AS700" s="52">
        <v>0</v>
      </c>
      <c r="AT700" s="53" t="s">
        <v>74</v>
      </c>
      <c r="AU700" s="52">
        <v>0</v>
      </c>
      <c r="AV700" s="52"/>
      <c r="AW700" s="52">
        <v>0</v>
      </c>
      <c r="AX700" s="52"/>
      <c r="AY700" s="52"/>
      <c r="AZ700" s="52">
        <v>0</v>
      </c>
      <c r="BA700" s="52">
        <v>0</v>
      </c>
      <c r="BB700" s="54" t="s">
        <v>74</v>
      </c>
      <c r="BC700" s="53" t="s">
        <v>74</v>
      </c>
      <c r="BD700" s="55" t="s">
        <v>74</v>
      </c>
      <c r="BE700" s="55" t="s">
        <v>74</v>
      </c>
      <c r="BF700" s="55" t="s">
        <v>74</v>
      </c>
      <c r="BG700" s="55" t="s">
        <v>74</v>
      </c>
      <c r="BH700" s="52">
        <v>0</v>
      </c>
      <c r="BI700" s="52">
        <v>2605734.12</v>
      </c>
      <c r="BJ700" s="52">
        <v>2605734.12</v>
      </c>
      <c r="BK700" s="56">
        <v>43191</v>
      </c>
      <c r="BL700" s="57">
        <v>2605734.12</v>
      </c>
      <c r="BM700" s="47">
        <v>0</v>
      </c>
      <c r="BN700" s="9"/>
      <c r="BO700" s="9"/>
      <c r="BP700" s="9"/>
      <c r="BQ700" s="9"/>
      <c r="BR700" s="9"/>
      <c r="BS700" s="9"/>
      <c r="BT700" s="9"/>
      <c r="BU700" s="9"/>
      <c r="BV700" s="9"/>
      <c r="BW700" s="9"/>
    </row>
    <row r="701" spans="1:75" ht="26.25" hidden="1" outlineLevel="2" x14ac:dyDescent="0.25">
      <c r="A701" s="43" t="s">
        <v>795</v>
      </c>
      <c r="B701" s="110" t="s">
        <v>796</v>
      </c>
      <c r="C701" s="45">
        <v>2018</v>
      </c>
      <c r="D701" s="110" t="s">
        <v>81</v>
      </c>
      <c r="E701" s="47">
        <v>1247122.6499999999</v>
      </c>
      <c r="F701" s="47">
        <v>1703853.6</v>
      </c>
      <c r="G701" s="47">
        <v>0</v>
      </c>
      <c r="H701" s="47">
        <v>0</v>
      </c>
      <c r="I701" s="47">
        <v>0</v>
      </c>
      <c r="J701" s="47">
        <v>0</v>
      </c>
      <c r="K701" s="47">
        <v>0</v>
      </c>
      <c r="L701" s="47">
        <v>0</v>
      </c>
      <c r="M701" s="47">
        <v>0</v>
      </c>
      <c r="N701" s="47">
        <v>0</v>
      </c>
      <c r="O701" s="47">
        <v>0</v>
      </c>
      <c r="P701" s="47">
        <v>0</v>
      </c>
      <c r="Q701" s="47">
        <v>0</v>
      </c>
      <c r="R701" s="47">
        <v>0</v>
      </c>
      <c r="S701" s="47">
        <v>0</v>
      </c>
      <c r="T701" s="47">
        <v>0</v>
      </c>
      <c r="U701" s="47">
        <v>0</v>
      </c>
      <c r="V701" s="47">
        <v>0</v>
      </c>
      <c r="W701" s="47">
        <v>0</v>
      </c>
      <c r="X701" s="47">
        <v>0</v>
      </c>
      <c r="Y701" s="48">
        <v>2950976.25</v>
      </c>
      <c r="Z701" s="58">
        <v>303749.26</v>
      </c>
      <c r="AA701" s="50">
        <v>303749.26</v>
      </c>
      <c r="AB701" s="50">
        <v>0</v>
      </c>
      <c r="AC701" s="50">
        <v>0</v>
      </c>
      <c r="AD701" s="50">
        <v>12955.43</v>
      </c>
      <c r="AE701" s="50">
        <v>0</v>
      </c>
      <c r="AF701" s="50">
        <v>0</v>
      </c>
      <c r="AG701" s="49">
        <v>316704.69</v>
      </c>
      <c r="AH701" s="51" t="s">
        <v>104</v>
      </c>
      <c r="AI701" s="51" t="s">
        <v>74</v>
      </c>
      <c r="AJ701" s="51" t="s">
        <v>74</v>
      </c>
      <c r="AK701" s="51" t="s">
        <v>197</v>
      </c>
      <c r="AL701" s="51" t="s">
        <v>74</v>
      </c>
      <c r="AM701" s="51" t="s">
        <v>74</v>
      </c>
      <c r="AN701" s="52">
        <v>0</v>
      </c>
      <c r="AO701" s="52">
        <v>0</v>
      </c>
      <c r="AP701" s="52">
        <v>0</v>
      </c>
      <c r="AQ701" s="52">
        <v>0</v>
      </c>
      <c r="AR701" s="52">
        <v>0</v>
      </c>
      <c r="AS701" s="52">
        <v>0</v>
      </c>
      <c r="AT701" s="53" t="s">
        <v>74</v>
      </c>
      <c r="AU701" s="52">
        <v>0</v>
      </c>
      <c r="AV701" s="52"/>
      <c r="AW701" s="52">
        <v>0</v>
      </c>
      <c r="AX701" s="52"/>
      <c r="AY701" s="52"/>
      <c r="AZ701" s="52">
        <v>0</v>
      </c>
      <c r="BA701" s="52">
        <v>0</v>
      </c>
      <c r="BB701" s="54" t="s">
        <v>74</v>
      </c>
      <c r="BC701" s="53" t="s">
        <v>74</v>
      </c>
      <c r="BD701" s="55" t="s">
        <v>74</v>
      </c>
      <c r="BE701" s="55" t="s">
        <v>74</v>
      </c>
      <c r="BF701" s="55" t="s">
        <v>74</v>
      </c>
      <c r="BG701" s="55" t="s">
        <v>74</v>
      </c>
      <c r="BH701" s="52">
        <v>0</v>
      </c>
      <c r="BI701" s="52">
        <v>2634271.56</v>
      </c>
      <c r="BJ701" s="52">
        <v>2634271.56</v>
      </c>
      <c r="BK701" s="56">
        <v>43221</v>
      </c>
      <c r="BL701" s="57">
        <v>2634271.56</v>
      </c>
      <c r="BM701" s="47">
        <v>0</v>
      </c>
      <c r="BN701" s="9"/>
      <c r="BO701" s="9"/>
      <c r="BP701" s="9"/>
      <c r="BQ701" s="9"/>
      <c r="BR701" s="9"/>
      <c r="BS701" s="9"/>
      <c r="BT701" s="9"/>
      <c r="BU701" s="9"/>
      <c r="BV701" s="9"/>
      <c r="BW701" s="9"/>
    </row>
    <row r="702" spans="1:75" ht="26.25" hidden="1" outlineLevel="2" x14ac:dyDescent="0.25">
      <c r="A702" s="43" t="s">
        <v>795</v>
      </c>
      <c r="B702" s="110" t="s">
        <v>796</v>
      </c>
      <c r="C702" s="45">
        <v>2018</v>
      </c>
      <c r="D702" s="110" t="s">
        <v>83</v>
      </c>
      <c r="E702" s="47">
        <v>1247122.6499999999</v>
      </c>
      <c r="F702" s="47">
        <v>1703853.6</v>
      </c>
      <c r="G702" s="47">
        <v>0</v>
      </c>
      <c r="H702" s="47">
        <v>0</v>
      </c>
      <c r="I702" s="47">
        <v>0</v>
      </c>
      <c r="J702" s="47">
        <v>0</v>
      </c>
      <c r="K702" s="47">
        <v>0</v>
      </c>
      <c r="L702" s="47">
        <v>0</v>
      </c>
      <c r="M702" s="47">
        <v>0</v>
      </c>
      <c r="N702" s="47">
        <v>0</v>
      </c>
      <c r="O702" s="47">
        <v>0</v>
      </c>
      <c r="P702" s="47">
        <v>0</v>
      </c>
      <c r="Q702" s="47">
        <v>0</v>
      </c>
      <c r="R702" s="47">
        <v>0</v>
      </c>
      <c r="S702" s="47">
        <v>0</v>
      </c>
      <c r="T702" s="47">
        <v>0</v>
      </c>
      <c r="U702" s="47">
        <v>0</v>
      </c>
      <c r="V702" s="47">
        <v>0</v>
      </c>
      <c r="W702" s="47">
        <v>0</v>
      </c>
      <c r="X702" s="47">
        <v>0</v>
      </c>
      <c r="Y702" s="48">
        <v>2950976.25</v>
      </c>
      <c r="Z702" s="58">
        <v>300318.77</v>
      </c>
      <c r="AA702" s="50">
        <v>300318.77</v>
      </c>
      <c r="AB702" s="50">
        <v>0</v>
      </c>
      <c r="AC702" s="50">
        <v>0</v>
      </c>
      <c r="AD702" s="50">
        <v>10849.18</v>
      </c>
      <c r="AE702" s="50">
        <v>0</v>
      </c>
      <c r="AF702" s="50">
        <v>0</v>
      </c>
      <c r="AG702" s="49">
        <v>311167.95</v>
      </c>
      <c r="AH702" s="51" t="s">
        <v>104</v>
      </c>
      <c r="AI702" s="51" t="s">
        <v>74</v>
      </c>
      <c r="AJ702" s="51" t="s">
        <v>74</v>
      </c>
      <c r="AK702" s="51" t="s">
        <v>112</v>
      </c>
      <c r="AL702" s="51" t="s">
        <v>74</v>
      </c>
      <c r="AM702" s="51" t="s">
        <v>74</v>
      </c>
      <c r="AN702" s="52">
        <v>0</v>
      </c>
      <c r="AO702" s="52">
        <v>0</v>
      </c>
      <c r="AP702" s="52">
        <v>0</v>
      </c>
      <c r="AQ702" s="52">
        <v>0</v>
      </c>
      <c r="AR702" s="52">
        <v>0</v>
      </c>
      <c r="AS702" s="52">
        <v>0</v>
      </c>
      <c r="AT702" s="53" t="s">
        <v>74</v>
      </c>
      <c r="AU702" s="52">
        <v>0</v>
      </c>
      <c r="AV702" s="52"/>
      <c r="AW702" s="52">
        <v>0</v>
      </c>
      <c r="AX702" s="52"/>
      <c r="AY702" s="52"/>
      <c r="AZ702" s="52">
        <v>0</v>
      </c>
      <c r="BA702" s="52">
        <v>0</v>
      </c>
      <c r="BB702" s="54" t="s">
        <v>74</v>
      </c>
      <c r="BC702" s="53" t="s">
        <v>74</v>
      </c>
      <c r="BD702" s="55" t="s">
        <v>74</v>
      </c>
      <c r="BE702" s="55" t="s">
        <v>74</v>
      </c>
      <c r="BF702" s="55" t="s">
        <v>74</v>
      </c>
      <c r="BG702" s="55" t="s">
        <v>74</v>
      </c>
      <c r="BH702" s="52">
        <v>0</v>
      </c>
      <c r="BI702" s="52">
        <v>2639808.2999999998</v>
      </c>
      <c r="BJ702" s="52">
        <v>2639808.2999999998</v>
      </c>
      <c r="BK702" s="56">
        <v>43252</v>
      </c>
      <c r="BL702" s="57">
        <v>2639808.2999999998</v>
      </c>
      <c r="BM702" s="47">
        <v>0</v>
      </c>
      <c r="BN702" s="9"/>
      <c r="BO702" s="9"/>
      <c r="BP702" s="9"/>
      <c r="BQ702" s="9"/>
      <c r="BR702" s="9"/>
      <c r="BS702" s="9"/>
      <c r="BT702" s="9"/>
      <c r="BU702" s="9"/>
      <c r="BV702" s="9"/>
      <c r="BW702" s="9"/>
    </row>
    <row r="703" spans="1:75" ht="26.25" hidden="1" outlineLevel="2" x14ac:dyDescent="0.25">
      <c r="A703" s="43" t="s">
        <v>795</v>
      </c>
      <c r="B703" s="110" t="s">
        <v>796</v>
      </c>
      <c r="C703" s="45">
        <v>2018</v>
      </c>
      <c r="D703" s="110" t="s">
        <v>84</v>
      </c>
      <c r="E703" s="47">
        <v>1247122.6499999999</v>
      </c>
      <c r="F703" s="47">
        <v>1703853.6</v>
      </c>
      <c r="G703" s="47">
        <v>0</v>
      </c>
      <c r="H703" s="47">
        <v>0</v>
      </c>
      <c r="I703" s="47">
        <v>0</v>
      </c>
      <c r="J703" s="47">
        <v>0</v>
      </c>
      <c r="K703" s="47">
        <v>0</v>
      </c>
      <c r="L703" s="47">
        <v>0</v>
      </c>
      <c r="M703" s="47">
        <v>0</v>
      </c>
      <c r="N703" s="47">
        <v>0</v>
      </c>
      <c r="O703" s="47">
        <v>0</v>
      </c>
      <c r="P703" s="47">
        <v>0</v>
      </c>
      <c r="Q703" s="47">
        <v>0</v>
      </c>
      <c r="R703" s="47">
        <v>0</v>
      </c>
      <c r="S703" s="47">
        <v>0</v>
      </c>
      <c r="T703" s="47">
        <v>0</v>
      </c>
      <c r="U703" s="47">
        <v>0</v>
      </c>
      <c r="V703" s="47">
        <v>0</v>
      </c>
      <c r="W703" s="47">
        <v>0</v>
      </c>
      <c r="X703" s="47">
        <v>0</v>
      </c>
      <c r="Y703" s="48">
        <v>2950976.25</v>
      </c>
      <c r="Z703" s="58">
        <v>300318.77</v>
      </c>
      <c r="AA703" s="50">
        <v>300318.77</v>
      </c>
      <c r="AB703" s="50">
        <v>0</v>
      </c>
      <c r="AC703" s="50">
        <v>0</v>
      </c>
      <c r="AD703" s="50">
        <v>11068.32</v>
      </c>
      <c r="AE703" s="50">
        <v>0</v>
      </c>
      <c r="AF703" s="50">
        <v>0</v>
      </c>
      <c r="AG703" s="49">
        <v>311387.09000000003</v>
      </c>
      <c r="AH703" s="51" t="s">
        <v>104</v>
      </c>
      <c r="AI703" s="51" t="s">
        <v>74</v>
      </c>
      <c r="AJ703" s="51" t="s">
        <v>74</v>
      </c>
      <c r="AK703" s="51" t="s">
        <v>115</v>
      </c>
      <c r="AL703" s="51" t="s">
        <v>74</v>
      </c>
      <c r="AM703" s="51" t="s">
        <v>74</v>
      </c>
      <c r="AN703" s="52">
        <v>0</v>
      </c>
      <c r="AO703" s="52">
        <v>0</v>
      </c>
      <c r="AP703" s="52">
        <v>0</v>
      </c>
      <c r="AQ703" s="52">
        <v>0</v>
      </c>
      <c r="AR703" s="52">
        <v>0</v>
      </c>
      <c r="AS703" s="52">
        <v>0</v>
      </c>
      <c r="AT703" s="53" t="s">
        <v>74</v>
      </c>
      <c r="AU703" s="52">
        <v>0</v>
      </c>
      <c r="AV703" s="52"/>
      <c r="AW703" s="52">
        <v>0</v>
      </c>
      <c r="AX703" s="52"/>
      <c r="AY703" s="52"/>
      <c r="AZ703" s="52">
        <v>0</v>
      </c>
      <c r="BA703" s="52">
        <v>0</v>
      </c>
      <c r="BB703" s="54" t="s">
        <v>74</v>
      </c>
      <c r="BC703" s="53" t="s">
        <v>74</v>
      </c>
      <c r="BD703" s="55" t="s">
        <v>74</v>
      </c>
      <c r="BE703" s="55" t="s">
        <v>74</v>
      </c>
      <c r="BF703" s="55" t="s">
        <v>74</v>
      </c>
      <c r="BG703" s="55" t="s">
        <v>74</v>
      </c>
      <c r="BH703" s="52">
        <v>0</v>
      </c>
      <c r="BI703" s="52">
        <v>2639589.16</v>
      </c>
      <c r="BJ703" s="52">
        <v>2639589.16</v>
      </c>
      <c r="BK703" s="56">
        <v>43282</v>
      </c>
      <c r="BL703" s="57">
        <v>2639589.16</v>
      </c>
      <c r="BM703" s="47">
        <v>0</v>
      </c>
      <c r="BN703" s="9"/>
      <c r="BO703" s="9"/>
      <c r="BP703" s="9"/>
      <c r="BQ703" s="9"/>
      <c r="BR703" s="9"/>
      <c r="BS703" s="9"/>
      <c r="BT703" s="9"/>
      <c r="BU703" s="9"/>
      <c r="BV703" s="9"/>
      <c r="BW703" s="9"/>
    </row>
    <row r="704" spans="1:75" ht="77.25" hidden="1" outlineLevel="2" x14ac:dyDescent="0.25">
      <c r="A704" s="43" t="s">
        <v>795</v>
      </c>
      <c r="B704" s="110" t="s">
        <v>796</v>
      </c>
      <c r="C704" s="45">
        <v>2018</v>
      </c>
      <c r="D704" s="110" t="s">
        <v>86</v>
      </c>
      <c r="E704" s="47">
        <v>0</v>
      </c>
      <c r="F704" s="47">
        <v>2459146.88</v>
      </c>
      <c r="G704" s="47">
        <v>521151.83</v>
      </c>
      <c r="H704" s="47">
        <v>0</v>
      </c>
      <c r="I704" s="47">
        <v>0</v>
      </c>
      <c r="J704" s="47">
        <v>0</v>
      </c>
      <c r="K704" s="47">
        <v>0</v>
      </c>
      <c r="L704" s="47">
        <v>0</v>
      </c>
      <c r="M704" s="47">
        <v>0</v>
      </c>
      <c r="N704" s="47">
        <v>0</v>
      </c>
      <c r="O704" s="47">
        <v>0</v>
      </c>
      <c r="P704" s="47">
        <v>0</v>
      </c>
      <c r="Q704" s="47">
        <v>0</v>
      </c>
      <c r="R704" s="47">
        <v>0</v>
      </c>
      <c r="S704" s="47">
        <v>0</v>
      </c>
      <c r="T704" s="47">
        <v>0</v>
      </c>
      <c r="U704" s="47">
        <v>0</v>
      </c>
      <c r="V704" s="47">
        <v>0</v>
      </c>
      <c r="W704" s="47">
        <v>0</v>
      </c>
      <c r="X704" s="47">
        <v>0</v>
      </c>
      <c r="Y704" s="48">
        <v>2980298.71</v>
      </c>
      <c r="Z704" s="58">
        <v>310899.51</v>
      </c>
      <c r="AA704" s="50">
        <v>310899.51</v>
      </c>
      <c r="AB704" s="50">
        <v>0</v>
      </c>
      <c r="AC704" s="50">
        <v>0</v>
      </c>
      <c r="AD704" s="50">
        <v>11284.74</v>
      </c>
      <c r="AE704" s="50">
        <v>821.03</v>
      </c>
      <c r="AF704" s="50">
        <v>491829.37</v>
      </c>
      <c r="AG704" s="49">
        <v>814834.65</v>
      </c>
      <c r="AH704" s="51" t="s">
        <v>104</v>
      </c>
      <c r="AI704" s="51" t="s">
        <v>74</v>
      </c>
      <c r="AJ704" s="51" t="s">
        <v>74</v>
      </c>
      <c r="AK704" s="51" t="s">
        <v>118</v>
      </c>
      <c r="AL704" s="51" t="s">
        <v>802</v>
      </c>
      <c r="AM704" s="51" t="s">
        <v>803</v>
      </c>
      <c r="AN704" s="52">
        <v>0</v>
      </c>
      <c r="AO704" s="52">
        <v>0</v>
      </c>
      <c r="AP704" s="52">
        <v>0</v>
      </c>
      <c r="AQ704" s="52">
        <v>0</v>
      </c>
      <c r="AR704" s="52">
        <v>0</v>
      </c>
      <c r="AS704" s="52">
        <v>0</v>
      </c>
      <c r="AT704" s="53" t="s">
        <v>74</v>
      </c>
      <c r="AU704" s="52">
        <v>0</v>
      </c>
      <c r="AV704" s="52"/>
      <c r="AW704" s="52">
        <v>0</v>
      </c>
      <c r="AX704" s="52"/>
      <c r="AY704" s="52"/>
      <c r="AZ704" s="52">
        <v>0</v>
      </c>
      <c r="BA704" s="52">
        <v>0</v>
      </c>
      <c r="BB704" s="54" t="s">
        <v>74</v>
      </c>
      <c r="BC704" s="53" t="s">
        <v>74</v>
      </c>
      <c r="BD704" s="55" t="s">
        <v>74</v>
      </c>
      <c r="BE704" s="55" t="s">
        <v>74</v>
      </c>
      <c r="BF704" s="55" t="s">
        <v>74</v>
      </c>
      <c r="BG704" s="55" t="s">
        <v>74</v>
      </c>
      <c r="BH704" s="52">
        <v>0</v>
      </c>
      <c r="BI704" s="52">
        <v>2165464.06</v>
      </c>
      <c r="BJ704" s="52">
        <v>2165464.06</v>
      </c>
      <c r="BK704" s="56">
        <v>43313</v>
      </c>
      <c r="BL704" s="57">
        <v>2165464.06</v>
      </c>
      <c r="BM704" s="47">
        <v>0</v>
      </c>
      <c r="BN704" s="9"/>
      <c r="BO704" s="9"/>
      <c r="BP704" s="9"/>
      <c r="BQ704" s="9"/>
      <c r="BR704" s="9"/>
      <c r="BS704" s="9"/>
      <c r="BT704" s="9"/>
      <c r="BU704" s="9"/>
      <c r="BV704" s="9"/>
      <c r="BW704" s="9"/>
    </row>
    <row r="705" spans="1:75" ht="64.5" hidden="1" outlineLevel="2" x14ac:dyDescent="0.25">
      <c r="A705" s="43" t="s">
        <v>795</v>
      </c>
      <c r="B705" s="110" t="s">
        <v>796</v>
      </c>
      <c r="C705" s="45">
        <v>2018</v>
      </c>
      <c r="D705" s="110" t="s">
        <v>88</v>
      </c>
      <c r="E705" s="47">
        <v>0</v>
      </c>
      <c r="F705" s="47">
        <v>0</v>
      </c>
      <c r="G705" s="47">
        <v>3097588.55</v>
      </c>
      <c r="H705" s="47">
        <v>0</v>
      </c>
      <c r="I705" s="47">
        <v>0</v>
      </c>
      <c r="J705" s="47">
        <v>0</v>
      </c>
      <c r="K705" s="47">
        <v>0</v>
      </c>
      <c r="L705" s="47">
        <v>0</v>
      </c>
      <c r="M705" s="47">
        <v>0</v>
      </c>
      <c r="N705" s="47">
        <v>0</v>
      </c>
      <c r="O705" s="47">
        <v>0</v>
      </c>
      <c r="P705" s="47">
        <v>0</v>
      </c>
      <c r="Q705" s="47">
        <v>0</v>
      </c>
      <c r="R705" s="47">
        <v>0</v>
      </c>
      <c r="S705" s="47">
        <v>0</v>
      </c>
      <c r="T705" s="47">
        <v>0</v>
      </c>
      <c r="U705" s="47">
        <v>0</v>
      </c>
      <c r="V705" s="47">
        <v>0</v>
      </c>
      <c r="W705" s="47">
        <v>0</v>
      </c>
      <c r="X705" s="47">
        <v>0</v>
      </c>
      <c r="Y705" s="48">
        <v>3097588.55</v>
      </c>
      <c r="Z705" s="58">
        <v>325145.27</v>
      </c>
      <c r="AA705" s="50">
        <v>325145.27</v>
      </c>
      <c r="AB705" s="50">
        <v>0</v>
      </c>
      <c r="AC705" s="50">
        <v>0</v>
      </c>
      <c r="AD705" s="50">
        <v>12108.37</v>
      </c>
      <c r="AE705" s="50">
        <v>11885.4</v>
      </c>
      <c r="AF705" s="50">
        <v>2613722.61</v>
      </c>
      <c r="AG705" s="49">
        <v>2962861.65</v>
      </c>
      <c r="AH705" s="51" t="s">
        <v>104</v>
      </c>
      <c r="AI705" s="51" t="s">
        <v>74</v>
      </c>
      <c r="AJ705" s="51" t="s">
        <v>74</v>
      </c>
      <c r="AK705" s="51" t="s">
        <v>121</v>
      </c>
      <c r="AL705" s="51" t="s">
        <v>804</v>
      </c>
      <c r="AM705" s="51" t="s">
        <v>805</v>
      </c>
      <c r="AN705" s="52">
        <v>0</v>
      </c>
      <c r="AO705" s="52">
        <v>0</v>
      </c>
      <c r="AP705" s="52">
        <v>0</v>
      </c>
      <c r="AQ705" s="52">
        <v>0</v>
      </c>
      <c r="AR705" s="52">
        <v>0</v>
      </c>
      <c r="AS705" s="52">
        <v>0</v>
      </c>
      <c r="AT705" s="53" t="s">
        <v>74</v>
      </c>
      <c r="AU705" s="52">
        <v>0</v>
      </c>
      <c r="AV705" s="52"/>
      <c r="AW705" s="52">
        <v>0</v>
      </c>
      <c r="AX705" s="52"/>
      <c r="AY705" s="52"/>
      <c r="AZ705" s="52">
        <v>0</v>
      </c>
      <c r="BA705" s="52">
        <v>0</v>
      </c>
      <c r="BB705" s="54" t="s">
        <v>74</v>
      </c>
      <c r="BC705" s="53" t="s">
        <v>74</v>
      </c>
      <c r="BD705" s="55" t="s">
        <v>74</v>
      </c>
      <c r="BE705" s="55" t="s">
        <v>74</v>
      </c>
      <c r="BF705" s="55" t="s">
        <v>74</v>
      </c>
      <c r="BG705" s="55" t="s">
        <v>74</v>
      </c>
      <c r="BH705" s="52">
        <v>0</v>
      </c>
      <c r="BI705" s="52">
        <v>134726.9</v>
      </c>
      <c r="BJ705" s="52">
        <v>134726.9</v>
      </c>
      <c r="BK705" s="56">
        <v>43344</v>
      </c>
      <c r="BL705" s="57">
        <v>134726.9</v>
      </c>
      <c r="BM705" s="47">
        <v>0</v>
      </c>
      <c r="BN705" s="9"/>
      <c r="BO705" s="9"/>
      <c r="BP705" s="9"/>
      <c r="BQ705" s="9"/>
      <c r="BR705" s="9"/>
      <c r="BS705" s="9"/>
      <c r="BT705" s="9"/>
      <c r="BU705" s="9"/>
      <c r="BV705" s="9"/>
      <c r="BW705" s="9"/>
    </row>
    <row r="706" spans="1:75" ht="64.5" hidden="1" outlineLevel="2" x14ac:dyDescent="0.25">
      <c r="A706" s="43" t="s">
        <v>795</v>
      </c>
      <c r="B706" s="110" t="s">
        <v>796</v>
      </c>
      <c r="C706" s="45">
        <v>2018</v>
      </c>
      <c r="D706" s="110" t="s">
        <v>89</v>
      </c>
      <c r="E706" s="47">
        <v>0</v>
      </c>
      <c r="F706" s="47">
        <v>0</v>
      </c>
      <c r="G706" s="47">
        <v>3097588.55</v>
      </c>
      <c r="H706" s="47">
        <v>0</v>
      </c>
      <c r="I706" s="47">
        <v>0</v>
      </c>
      <c r="J706" s="47">
        <v>0</v>
      </c>
      <c r="K706" s="47">
        <v>0</v>
      </c>
      <c r="L706" s="47">
        <v>0</v>
      </c>
      <c r="M706" s="47">
        <v>0</v>
      </c>
      <c r="N706" s="47">
        <v>0</v>
      </c>
      <c r="O706" s="47">
        <v>0</v>
      </c>
      <c r="P706" s="47">
        <v>0</v>
      </c>
      <c r="Q706" s="47">
        <v>0</v>
      </c>
      <c r="R706" s="47">
        <v>0</v>
      </c>
      <c r="S706" s="47">
        <v>0</v>
      </c>
      <c r="T706" s="47">
        <v>0</v>
      </c>
      <c r="U706" s="47">
        <v>0</v>
      </c>
      <c r="V706" s="47">
        <v>0</v>
      </c>
      <c r="W706" s="47">
        <v>0</v>
      </c>
      <c r="X706" s="47">
        <v>0</v>
      </c>
      <c r="Y706" s="48">
        <v>3097588.55</v>
      </c>
      <c r="Z706" s="58">
        <v>342203.44</v>
      </c>
      <c r="AA706" s="50">
        <v>342203.44</v>
      </c>
      <c r="AB706" s="50">
        <v>0</v>
      </c>
      <c r="AC706" s="50">
        <v>0</v>
      </c>
      <c r="AD706" s="50">
        <v>15477.26</v>
      </c>
      <c r="AE706" s="50">
        <v>70208.28</v>
      </c>
      <c r="AF706" s="50">
        <v>1678103.97</v>
      </c>
      <c r="AG706" s="49">
        <v>2105992.9500000002</v>
      </c>
      <c r="AH706" s="51" t="s">
        <v>104</v>
      </c>
      <c r="AI706" s="51" t="s">
        <v>74</v>
      </c>
      <c r="AJ706" s="51" t="s">
        <v>74</v>
      </c>
      <c r="AK706" s="51" t="s">
        <v>124</v>
      </c>
      <c r="AL706" s="51" t="s">
        <v>806</v>
      </c>
      <c r="AM706" s="51" t="s">
        <v>807</v>
      </c>
      <c r="AN706" s="52">
        <v>0</v>
      </c>
      <c r="AO706" s="52">
        <v>0</v>
      </c>
      <c r="AP706" s="52">
        <v>0</v>
      </c>
      <c r="AQ706" s="52">
        <v>0</v>
      </c>
      <c r="AR706" s="52">
        <v>0</v>
      </c>
      <c r="AS706" s="52">
        <v>0</v>
      </c>
      <c r="AT706" s="53" t="s">
        <v>74</v>
      </c>
      <c r="AU706" s="52">
        <v>0</v>
      </c>
      <c r="AV706" s="52"/>
      <c r="AW706" s="52">
        <v>0</v>
      </c>
      <c r="AX706" s="52"/>
      <c r="AY706" s="52"/>
      <c r="AZ706" s="52">
        <v>0</v>
      </c>
      <c r="BA706" s="52">
        <v>0</v>
      </c>
      <c r="BB706" s="54" t="s">
        <v>74</v>
      </c>
      <c r="BC706" s="53" t="s">
        <v>74</v>
      </c>
      <c r="BD706" s="55" t="s">
        <v>74</v>
      </c>
      <c r="BE706" s="55" t="s">
        <v>74</v>
      </c>
      <c r="BF706" s="55" t="s">
        <v>74</v>
      </c>
      <c r="BG706" s="55" t="s">
        <v>74</v>
      </c>
      <c r="BH706" s="52">
        <v>0</v>
      </c>
      <c r="BI706" s="52">
        <v>991595.6</v>
      </c>
      <c r="BJ706" s="52">
        <v>991595.6</v>
      </c>
      <c r="BK706" s="56">
        <v>43374</v>
      </c>
      <c r="BL706" s="57">
        <v>991595.6</v>
      </c>
      <c r="BM706" s="47">
        <v>0</v>
      </c>
      <c r="BN706" s="9"/>
      <c r="BO706" s="9"/>
      <c r="BP706" s="9"/>
      <c r="BQ706" s="9"/>
      <c r="BR706" s="9"/>
      <c r="BS706" s="9"/>
      <c r="BT706" s="9"/>
      <c r="BU706" s="9"/>
      <c r="BV706" s="9"/>
      <c r="BW706" s="9"/>
    </row>
    <row r="707" spans="1:75" ht="64.5" hidden="1" outlineLevel="2" x14ac:dyDescent="0.25">
      <c r="A707" s="43" t="s">
        <v>795</v>
      </c>
      <c r="B707" s="110" t="s">
        <v>796</v>
      </c>
      <c r="C707" s="45">
        <v>2018</v>
      </c>
      <c r="D707" s="110" t="s">
        <v>90</v>
      </c>
      <c r="E707" s="47">
        <v>0</v>
      </c>
      <c r="F707" s="47">
        <v>0</v>
      </c>
      <c r="G707" s="47">
        <v>3097588.55</v>
      </c>
      <c r="H707" s="47">
        <v>0</v>
      </c>
      <c r="I707" s="47">
        <v>0</v>
      </c>
      <c r="J707" s="47">
        <v>0</v>
      </c>
      <c r="K707" s="47">
        <v>0</v>
      </c>
      <c r="L707" s="47">
        <v>0</v>
      </c>
      <c r="M707" s="47">
        <v>0</v>
      </c>
      <c r="N707" s="47">
        <v>0</v>
      </c>
      <c r="O707" s="47">
        <v>0</v>
      </c>
      <c r="P707" s="47">
        <v>0</v>
      </c>
      <c r="Q707" s="47">
        <v>0</v>
      </c>
      <c r="R707" s="47">
        <v>0</v>
      </c>
      <c r="S707" s="47">
        <v>0</v>
      </c>
      <c r="T707" s="47">
        <v>0</v>
      </c>
      <c r="U707" s="47">
        <v>0</v>
      </c>
      <c r="V707" s="47">
        <v>0</v>
      </c>
      <c r="W707" s="47">
        <v>0</v>
      </c>
      <c r="X707" s="47">
        <v>0</v>
      </c>
      <c r="Y707" s="48">
        <v>3097588.55</v>
      </c>
      <c r="Z707" s="58">
        <v>287687.12</v>
      </c>
      <c r="AA707" s="50">
        <v>287687.12</v>
      </c>
      <c r="AB707" s="50">
        <v>0</v>
      </c>
      <c r="AC707" s="50">
        <v>0</v>
      </c>
      <c r="AD707" s="50">
        <v>12524.71</v>
      </c>
      <c r="AE707" s="50">
        <v>94822.58</v>
      </c>
      <c r="AF707" s="50">
        <v>0</v>
      </c>
      <c r="AG707" s="49">
        <v>395034.41</v>
      </c>
      <c r="AH707" s="51" t="s">
        <v>104</v>
      </c>
      <c r="AI707" s="51" t="s">
        <v>74</v>
      </c>
      <c r="AJ707" s="51" t="s">
        <v>74</v>
      </c>
      <c r="AK707" s="51" t="s">
        <v>126</v>
      </c>
      <c r="AL707" s="51" t="s">
        <v>808</v>
      </c>
      <c r="AM707" s="51" t="s">
        <v>74</v>
      </c>
      <c r="AN707" s="52">
        <v>0</v>
      </c>
      <c r="AO707" s="52">
        <v>0</v>
      </c>
      <c r="AP707" s="52">
        <v>0</v>
      </c>
      <c r="AQ707" s="52">
        <v>0</v>
      </c>
      <c r="AR707" s="52">
        <v>0</v>
      </c>
      <c r="AS707" s="52">
        <v>0</v>
      </c>
      <c r="AT707" s="53" t="s">
        <v>74</v>
      </c>
      <c r="AU707" s="52">
        <v>0</v>
      </c>
      <c r="AV707" s="52"/>
      <c r="AW707" s="52">
        <v>0</v>
      </c>
      <c r="AX707" s="52"/>
      <c r="AY707" s="52"/>
      <c r="AZ707" s="52">
        <v>0</v>
      </c>
      <c r="BA707" s="52">
        <v>0</v>
      </c>
      <c r="BB707" s="54" t="s">
        <v>74</v>
      </c>
      <c r="BC707" s="53" t="s">
        <v>74</v>
      </c>
      <c r="BD707" s="55" t="s">
        <v>74</v>
      </c>
      <c r="BE707" s="55" t="s">
        <v>74</v>
      </c>
      <c r="BF707" s="55" t="s">
        <v>74</v>
      </c>
      <c r="BG707" s="55" t="s">
        <v>74</v>
      </c>
      <c r="BH707" s="52">
        <v>0</v>
      </c>
      <c r="BI707" s="52">
        <v>2702554.14</v>
      </c>
      <c r="BJ707" s="52">
        <v>2702554.14</v>
      </c>
      <c r="BK707" s="56">
        <v>43405</v>
      </c>
      <c r="BL707" s="57">
        <v>2702554.14</v>
      </c>
      <c r="BM707" s="47">
        <v>0</v>
      </c>
      <c r="BN707" s="9"/>
      <c r="BO707" s="9"/>
      <c r="BP707" s="9"/>
      <c r="BQ707" s="9"/>
      <c r="BR707" s="9"/>
      <c r="BS707" s="9"/>
      <c r="BT707" s="9"/>
      <c r="BU707" s="9"/>
      <c r="BV707" s="9"/>
      <c r="BW707" s="9"/>
    </row>
    <row r="708" spans="1:75" ht="268.5" hidden="1" outlineLevel="2" x14ac:dyDescent="0.25">
      <c r="A708" s="43" t="s">
        <v>795</v>
      </c>
      <c r="B708" s="110" t="s">
        <v>796</v>
      </c>
      <c r="C708" s="45">
        <v>2018</v>
      </c>
      <c r="D708" s="110" t="s">
        <v>93</v>
      </c>
      <c r="E708" s="47">
        <v>0</v>
      </c>
      <c r="F708" s="47">
        <v>0</v>
      </c>
      <c r="G708" s="47">
        <v>3097588.55</v>
      </c>
      <c r="H708" s="47">
        <v>0</v>
      </c>
      <c r="I708" s="47">
        <v>0</v>
      </c>
      <c r="J708" s="47">
        <v>0</v>
      </c>
      <c r="K708" s="47">
        <v>0</v>
      </c>
      <c r="L708" s="47">
        <v>0</v>
      </c>
      <c r="M708" s="47">
        <v>0</v>
      </c>
      <c r="N708" s="47">
        <v>0</v>
      </c>
      <c r="O708" s="47">
        <v>0</v>
      </c>
      <c r="P708" s="47">
        <v>0</v>
      </c>
      <c r="Q708" s="47">
        <v>0</v>
      </c>
      <c r="R708" s="47">
        <v>0</v>
      </c>
      <c r="S708" s="47">
        <v>0</v>
      </c>
      <c r="T708" s="47">
        <v>0</v>
      </c>
      <c r="U708" s="47">
        <v>0</v>
      </c>
      <c r="V708" s="47">
        <v>0</v>
      </c>
      <c r="W708" s="47">
        <v>0</v>
      </c>
      <c r="X708" s="47">
        <v>0</v>
      </c>
      <c r="Y708" s="48">
        <v>3097588.55</v>
      </c>
      <c r="Z708" s="58">
        <v>294591.82</v>
      </c>
      <c r="AA708" s="50">
        <v>294591.82</v>
      </c>
      <c r="AB708" s="50">
        <v>0</v>
      </c>
      <c r="AC708" s="50">
        <v>0</v>
      </c>
      <c r="AD708" s="50">
        <v>20335.669999999998</v>
      </c>
      <c r="AE708" s="50">
        <v>146612.29999999999</v>
      </c>
      <c r="AF708" s="50">
        <v>0</v>
      </c>
      <c r="AG708" s="49">
        <v>461539.79</v>
      </c>
      <c r="AH708" s="51" t="s">
        <v>104</v>
      </c>
      <c r="AI708" s="51" t="s">
        <v>74</v>
      </c>
      <c r="AJ708" s="51" t="s">
        <v>74</v>
      </c>
      <c r="AK708" s="51" t="s">
        <v>128</v>
      </c>
      <c r="AL708" s="51" t="s">
        <v>809</v>
      </c>
      <c r="AM708" s="51" t="s">
        <v>74</v>
      </c>
      <c r="AN708" s="52">
        <v>0</v>
      </c>
      <c r="AO708" s="52">
        <v>718895.45</v>
      </c>
      <c r="AP708" s="52">
        <v>0</v>
      </c>
      <c r="AQ708" s="52">
        <v>0</v>
      </c>
      <c r="AR708" s="52">
        <v>0</v>
      </c>
      <c r="AS708" s="52">
        <v>718895.45</v>
      </c>
      <c r="AT708" s="51" t="s">
        <v>810</v>
      </c>
      <c r="AU708" s="52">
        <v>0</v>
      </c>
      <c r="AV708" s="52"/>
      <c r="AW708" s="52">
        <v>0</v>
      </c>
      <c r="AX708" s="52"/>
      <c r="AY708" s="52"/>
      <c r="AZ708" s="52">
        <v>0</v>
      </c>
      <c r="BA708" s="52">
        <v>0</v>
      </c>
      <c r="BB708" s="54" t="s">
        <v>74</v>
      </c>
      <c r="BC708" s="53" t="s">
        <v>74</v>
      </c>
      <c r="BD708" s="55" t="s">
        <v>74</v>
      </c>
      <c r="BE708" s="55" t="s">
        <v>74</v>
      </c>
      <c r="BF708" s="55" t="s">
        <v>74</v>
      </c>
      <c r="BG708" s="55" t="s">
        <v>74</v>
      </c>
      <c r="BH708" s="52">
        <v>718895.45</v>
      </c>
      <c r="BI708" s="52">
        <v>3354944.21</v>
      </c>
      <c r="BJ708" s="52">
        <v>2636048.7599999998</v>
      </c>
      <c r="BK708" s="56">
        <v>43435</v>
      </c>
      <c r="BL708" s="57">
        <v>3354944.21</v>
      </c>
      <c r="BM708" s="47">
        <v>0</v>
      </c>
      <c r="BN708" s="9"/>
      <c r="BO708" s="9"/>
      <c r="BP708" s="9"/>
      <c r="BQ708" s="9"/>
      <c r="BR708" s="9"/>
      <c r="BS708" s="9"/>
      <c r="BT708" s="9"/>
      <c r="BU708" s="9"/>
      <c r="BV708" s="9"/>
      <c r="BW708" s="9"/>
    </row>
    <row r="709" spans="1:75" ht="26.25" hidden="1" outlineLevel="2" x14ac:dyDescent="0.25">
      <c r="A709" s="43" t="s">
        <v>795</v>
      </c>
      <c r="B709" s="110" t="s">
        <v>796</v>
      </c>
      <c r="C709" s="45">
        <v>2019</v>
      </c>
      <c r="D709" s="110" t="s">
        <v>73</v>
      </c>
      <c r="E709" s="47">
        <v>0</v>
      </c>
      <c r="F709" s="47">
        <v>0</v>
      </c>
      <c r="G709" s="47">
        <v>2950976.25</v>
      </c>
      <c r="H709" s="47">
        <v>0</v>
      </c>
      <c r="I709" s="47">
        <v>0</v>
      </c>
      <c r="J709" s="47">
        <v>0</v>
      </c>
      <c r="K709" s="47">
        <v>0</v>
      </c>
      <c r="L709" s="47">
        <v>0</v>
      </c>
      <c r="M709" s="47">
        <v>0</v>
      </c>
      <c r="N709" s="47">
        <v>0</v>
      </c>
      <c r="O709" s="47">
        <v>0</v>
      </c>
      <c r="P709" s="47">
        <v>0</v>
      </c>
      <c r="Q709" s="47">
        <v>0</v>
      </c>
      <c r="R709" s="47">
        <v>0</v>
      </c>
      <c r="S709" s="47">
        <v>0</v>
      </c>
      <c r="T709" s="47">
        <v>0</v>
      </c>
      <c r="U709" s="47">
        <v>0</v>
      </c>
      <c r="V709" s="47">
        <v>0</v>
      </c>
      <c r="W709" s="47">
        <v>0</v>
      </c>
      <c r="X709" s="47">
        <v>0</v>
      </c>
      <c r="Y709" s="48">
        <v>2950976.25</v>
      </c>
      <c r="Z709" s="58">
        <v>301446.84000000003</v>
      </c>
      <c r="AA709" s="50">
        <v>301446.84000000003</v>
      </c>
      <c r="AB709" s="50">
        <v>0</v>
      </c>
      <c r="AC709" s="50">
        <v>0</v>
      </c>
      <c r="AD709" s="50">
        <v>15888.73</v>
      </c>
      <c r="AE709" s="50">
        <v>0</v>
      </c>
      <c r="AF709" s="50">
        <v>0</v>
      </c>
      <c r="AG709" s="49">
        <v>317335.57</v>
      </c>
      <c r="AH709" s="51" t="s">
        <v>104</v>
      </c>
      <c r="AI709" s="51" t="s">
        <v>74</v>
      </c>
      <c r="AJ709" s="51" t="s">
        <v>74</v>
      </c>
      <c r="AK709" s="51" t="s">
        <v>254</v>
      </c>
      <c r="AL709" s="51" t="s">
        <v>74</v>
      </c>
      <c r="AM709" s="51" t="s">
        <v>74</v>
      </c>
      <c r="AN709" s="52">
        <v>0</v>
      </c>
      <c r="AO709" s="52">
        <v>0</v>
      </c>
      <c r="AP709" s="52">
        <v>0</v>
      </c>
      <c r="AQ709" s="52">
        <v>0</v>
      </c>
      <c r="AR709" s="52">
        <v>0</v>
      </c>
      <c r="AS709" s="52">
        <v>0</v>
      </c>
      <c r="AT709" s="53" t="s">
        <v>74</v>
      </c>
      <c r="AU709" s="52">
        <v>0</v>
      </c>
      <c r="AV709" s="52"/>
      <c r="AW709" s="52">
        <v>0</v>
      </c>
      <c r="AX709" s="52"/>
      <c r="AY709" s="52"/>
      <c r="AZ709" s="52">
        <v>0</v>
      </c>
      <c r="BA709" s="52">
        <v>0</v>
      </c>
      <c r="BB709" s="54" t="s">
        <v>74</v>
      </c>
      <c r="BC709" s="53" t="s">
        <v>74</v>
      </c>
      <c r="BD709" s="55" t="s">
        <v>74</v>
      </c>
      <c r="BE709" s="55" t="s">
        <v>74</v>
      </c>
      <c r="BF709" s="55" t="s">
        <v>74</v>
      </c>
      <c r="BG709" s="55" t="s">
        <v>74</v>
      </c>
      <c r="BH709" s="52">
        <v>0</v>
      </c>
      <c r="BI709" s="52">
        <v>2633640.6800000002</v>
      </c>
      <c r="BJ709" s="52">
        <v>2633640.6800000002</v>
      </c>
      <c r="BK709" s="56">
        <v>43466</v>
      </c>
      <c r="BL709" s="57">
        <v>2633640.6800000002</v>
      </c>
      <c r="BM709" s="47">
        <v>0</v>
      </c>
      <c r="BN709" s="9"/>
      <c r="BO709" s="9"/>
      <c r="BP709" s="9"/>
      <c r="BQ709" s="9"/>
      <c r="BR709" s="9"/>
      <c r="BS709" s="9"/>
      <c r="BT709" s="9"/>
      <c r="BU709" s="9"/>
      <c r="BV709" s="9"/>
      <c r="BW709" s="9"/>
    </row>
    <row r="710" spans="1:75" ht="90" hidden="1" outlineLevel="2" x14ac:dyDescent="0.25">
      <c r="A710" s="43" t="s">
        <v>795</v>
      </c>
      <c r="B710" s="110" t="s">
        <v>796</v>
      </c>
      <c r="C710" s="45">
        <v>2019</v>
      </c>
      <c r="D710" s="110" t="s">
        <v>75</v>
      </c>
      <c r="E710" s="47">
        <v>0</v>
      </c>
      <c r="F710" s="47">
        <v>0</v>
      </c>
      <c r="G710" s="47">
        <v>2950976.25</v>
      </c>
      <c r="H710" s="47">
        <v>0</v>
      </c>
      <c r="I710" s="47">
        <v>0</v>
      </c>
      <c r="J710" s="47">
        <v>0</v>
      </c>
      <c r="K710" s="47">
        <v>0</v>
      </c>
      <c r="L710" s="47">
        <v>0</v>
      </c>
      <c r="M710" s="47">
        <v>0</v>
      </c>
      <c r="N710" s="47">
        <v>0</v>
      </c>
      <c r="O710" s="47">
        <v>0</v>
      </c>
      <c r="P710" s="47">
        <v>0</v>
      </c>
      <c r="Q710" s="47">
        <v>0</v>
      </c>
      <c r="R710" s="47">
        <v>0</v>
      </c>
      <c r="S710" s="47">
        <v>0</v>
      </c>
      <c r="T710" s="47">
        <v>0</v>
      </c>
      <c r="U710" s="47">
        <v>0</v>
      </c>
      <c r="V710" s="47">
        <v>0</v>
      </c>
      <c r="W710" s="47">
        <v>0</v>
      </c>
      <c r="X710" s="47">
        <v>0</v>
      </c>
      <c r="Y710" s="48">
        <v>2950976.25</v>
      </c>
      <c r="Z710" s="58">
        <v>309508.09000000003</v>
      </c>
      <c r="AA710" s="50">
        <v>309508.09000000003</v>
      </c>
      <c r="AB710" s="50">
        <v>0</v>
      </c>
      <c r="AC710" s="50">
        <v>0</v>
      </c>
      <c r="AD710" s="50">
        <v>0</v>
      </c>
      <c r="AE710" s="50">
        <v>0</v>
      </c>
      <c r="AF710" s="50">
        <v>0</v>
      </c>
      <c r="AG710" s="49">
        <v>309508.09000000003</v>
      </c>
      <c r="AH710" s="51" t="s">
        <v>104</v>
      </c>
      <c r="AI710" s="51" t="s">
        <v>74</v>
      </c>
      <c r="AJ710" s="51" t="s">
        <v>74</v>
      </c>
      <c r="AK710" s="51" t="s">
        <v>74</v>
      </c>
      <c r="AL710" s="51" t="s">
        <v>74</v>
      </c>
      <c r="AM710" s="51" t="s">
        <v>74</v>
      </c>
      <c r="AN710" s="52">
        <v>0</v>
      </c>
      <c r="AO710" s="52">
        <v>50</v>
      </c>
      <c r="AP710" s="52">
        <v>0</v>
      </c>
      <c r="AQ710" s="52">
        <v>0</v>
      </c>
      <c r="AR710" s="52">
        <v>0</v>
      </c>
      <c r="AS710" s="52">
        <v>50</v>
      </c>
      <c r="AT710" s="51" t="s">
        <v>811</v>
      </c>
      <c r="AU710" s="52">
        <v>0</v>
      </c>
      <c r="AV710" s="52"/>
      <c r="AW710" s="52">
        <v>0</v>
      </c>
      <c r="AX710" s="52"/>
      <c r="AY710" s="52"/>
      <c r="AZ710" s="52">
        <v>0</v>
      </c>
      <c r="BA710" s="52">
        <v>0</v>
      </c>
      <c r="BB710" s="54" t="s">
        <v>74</v>
      </c>
      <c r="BC710" s="53" t="s">
        <v>74</v>
      </c>
      <c r="BD710" s="55" t="s">
        <v>74</v>
      </c>
      <c r="BE710" s="55" t="s">
        <v>74</v>
      </c>
      <c r="BF710" s="55" t="s">
        <v>74</v>
      </c>
      <c r="BG710" s="55" t="s">
        <v>74</v>
      </c>
      <c r="BH710" s="52">
        <v>50</v>
      </c>
      <c r="BI710" s="52">
        <v>2641518.16</v>
      </c>
      <c r="BJ710" s="52">
        <v>2641518.16</v>
      </c>
      <c r="BK710" s="56">
        <v>43497</v>
      </c>
      <c r="BL710" s="57">
        <v>2641518.16</v>
      </c>
      <c r="BM710" s="47">
        <v>0</v>
      </c>
      <c r="BN710" s="9"/>
      <c r="BO710" s="9"/>
      <c r="BP710" s="9"/>
      <c r="BQ710" s="9"/>
      <c r="BR710" s="9"/>
      <c r="BS710" s="9"/>
      <c r="BT710" s="9"/>
      <c r="BU710" s="9"/>
      <c r="BV710" s="9"/>
      <c r="BW710" s="9"/>
    </row>
    <row r="711" spans="1:75" ht="26.25" hidden="1" outlineLevel="2" x14ac:dyDescent="0.25">
      <c r="A711" s="43" t="s">
        <v>795</v>
      </c>
      <c r="B711" s="110" t="s">
        <v>796</v>
      </c>
      <c r="C711" s="45">
        <v>2019</v>
      </c>
      <c r="D711" s="110" t="s">
        <v>77</v>
      </c>
      <c r="E711" s="47">
        <v>0</v>
      </c>
      <c r="F711" s="47">
        <v>0</v>
      </c>
      <c r="G711" s="47">
        <v>2950976.25</v>
      </c>
      <c r="H711" s="47">
        <v>0</v>
      </c>
      <c r="I711" s="47">
        <v>0</v>
      </c>
      <c r="J711" s="47">
        <v>0</v>
      </c>
      <c r="K711" s="47">
        <v>0</v>
      </c>
      <c r="L711" s="47">
        <v>0</v>
      </c>
      <c r="M711" s="47">
        <v>0</v>
      </c>
      <c r="N711" s="47">
        <v>0</v>
      </c>
      <c r="O711" s="47">
        <v>0</v>
      </c>
      <c r="P711" s="47">
        <v>0</v>
      </c>
      <c r="Q711" s="47">
        <v>0</v>
      </c>
      <c r="R711" s="47">
        <v>0</v>
      </c>
      <c r="S711" s="47">
        <v>0</v>
      </c>
      <c r="T711" s="47">
        <v>0</v>
      </c>
      <c r="U711" s="47">
        <v>0</v>
      </c>
      <c r="V711" s="47">
        <v>0</v>
      </c>
      <c r="W711" s="47">
        <v>0</v>
      </c>
      <c r="X711" s="47">
        <v>0</v>
      </c>
      <c r="Y711" s="48">
        <v>2950976.25</v>
      </c>
      <c r="Z711" s="58">
        <v>298851.37</v>
      </c>
      <c r="AA711" s="50">
        <v>298851.37</v>
      </c>
      <c r="AB711" s="50">
        <v>0</v>
      </c>
      <c r="AC711" s="50">
        <v>0</v>
      </c>
      <c r="AD711" s="50">
        <v>14864.77</v>
      </c>
      <c r="AE711" s="50">
        <v>0</v>
      </c>
      <c r="AF711" s="50">
        <v>0</v>
      </c>
      <c r="AG711" s="49">
        <v>313716.14</v>
      </c>
      <c r="AH711" s="51" t="s">
        <v>104</v>
      </c>
      <c r="AI711" s="51" t="s">
        <v>74</v>
      </c>
      <c r="AJ711" s="51" t="s">
        <v>74</v>
      </c>
      <c r="AK711" s="51" t="s">
        <v>134</v>
      </c>
      <c r="AL711" s="51" t="s">
        <v>74</v>
      </c>
      <c r="AM711" s="51" t="s">
        <v>74</v>
      </c>
      <c r="AN711" s="52">
        <v>0</v>
      </c>
      <c r="AO711" s="52">
        <v>0</v>
      </c>
      <c r="AP711" s="52">
        <v>0</v>
      </c>
      <c r="AQ711" s="52">
        <v>0</v>
      </c>
      <c r="AR711" s="52">
        <v>0</v>
      </c>
      <c r="AS711" s="52">
        <v>0</v>
      </c>
      <c r="AT711" s="53" t="s">
        <v>74</v>
      </c>
      <c r="AU711" s="52">
        <v>0</v>
      </c>
      <c r="AV711" s="52"/>
      <c r="AW711" s="52">
        <v>0</v>
      </c>
      <c r="AX711" s="52"/>
      <c r="AY711" s="52"/>
      <c r="AZ711" s="52">
        <v>0</v>
      </c>
      <c r="BA711" s="52">
        <v>0</v>
      </c>
      <c r="BB711" s="54" t="s">
        <v>74</v>
      </c>
      <c r="BC711" s="53" t="s">
        <v>74</v>
      </c>
      <c r="BD711" s="55" t="s">
        <v>74</v>
      </c>
      <c r="BE711" s="55" t="s">
        <v>74</v>
      </c>
      <c r="BF711" s="55" t="s">
        <v>74</v>
      </c>
      <c r="BG711" s="55" t="s">
        <v>74</v>
      </c>
      <c r="BH711" s="52">
        <v>0</v>
      </c>
      <c r="BI711" s="52">
        <v>2637260.11</v>
      </c>
      <c r="BJ711" s="52">
        <v>2637260.11</v>
      </c>
      <c r="BK711" s="56">
        <v>43525</v>
      </c>
      <c r="BL711" s="57">
        <v>2637260.11</v>
      </c>
      <c r="BM711" s="47">
        <v>0</v>
      </c>
      <c r="BN711" s="9"/>
      <c r="BO711" s="9"/>
      <c r="BP711" s="9"/>
      <c r="BQ711" s="9"/>
      <c r="BR711" s="9"/>
      <c r="BS711" s="9"/>
      <c r="BT711" s="9"/>
      <c r="BU711" s="9"/>
      <c r="BV711" s="9"/>
      <c r="BW711" s="9"/>
    </row>
    <row r="712" spans="1:75" ht="26.25" hidden="1" outlineLevel="2" x14ac:dyDescent="0.25">
      <c r="A712" s="43" t="s">
        <v>795</v>
      </c>
      <c r="B712" s="110" t="s">
        <v>796</v>
      </c>
      <c r="C712" s="45">
        <v>2019</v>
      </c>
      <c r="D712" s="110" t="s">
        <v>79</v>
      </c>
      <c r="E712" s="47">
        <v>0</v>
      </c>
      <c r="F712" s="47">
        <v>0</v>
      </c>
      <c r="G712" s="47">
        <v>2950976.25</v>
      </c>
      <c r="H712" s="47">
        <v>0</v>
      </c>
      <c r="I712" s="47">
        <v>0</v>
      </c>
      <c r="J712" s="47">
        <v>0</v>
      </c>
      <c r="K712" s="47">
        <v>0</v>
      </c>
      <c r="L712" s="47">
        <v>0</v>
      </c>
      <c r="M712" s="47">
        <v>0</v>
      </c>
      <c r="N712" s="47">
        <v>0</v>
      </c>
      <c r="O712" s="47">
        <v>0</v>
      </c>
      <c r="P712" s="47">
        <v>0</v>
      </c>
      <c r="Q712" s="47">
        <v>0</v>
      </c>
      <c r="R712" s="47">
        <v>0</v>
      </c>
      <c r="S712" s="47">
        <v>0</v>
      </c>
      <c r="T712" s="47">
        <v>0</v>
      </c>
      <c r="U712" s="47">
        <v>0</v>
      </c>
      <c r="V712" s="47">
        <v>0</v>
      </c>
      <c r="W712" s="47">
        <v>0</v>
      </c>
      <c r="X712" s="47">
        <v>0</v>
      </c>
      <c r="Y712" s="48">
        <v>2950976.25</v>
      </c>
      <c r="Z712" s="58">
        <v>302265.15999999997</v>
      </c>
      <c r="AA712" s="50">
        <v>302265.15999999997</v>
      </c>
      <c r="AB712" s="50">
        <v>0</v>
      </c>
      <c r="AC712" s="50">
        <v>0</v>
      </c>
      <c r="AD712" s="50">
        <v>18764.98</v>
      </c>
      <c r="AE712" s="50">
        <v>0</v>
      </c>
      <c r="AF712" s="50">
        <v>0</v>
      </c>
      <c r="AG712" s="49">
        <v>321030.14</v>
      </c>
      <c r="AH712" s="51" t="s">
        <v>104</v>
      </c>
      <c r="AI712" s="51" t="s">
        <v>74</v>
      </c>
      <c r="AJ712" s="51" t="s">
        <v>74</v>
      </c>
      <c r="AK712" s="51" t="s">
        <v>259</v>
      </c>
      <c r="AL712" s="51" t="s">
        <v>74</v>
      </c>
      <c r="AM712" s="51" t="s">
        <v>74</v>
      </c>
      <c r="AN712" s="52">
        <v>0</v>
      </c>
      <c r="AO712" s="52">
        <v>0</v>
      </c>
      <c r="AP712" s="52">
        <v>0</v>
      </c>
      <c r="AQ712" s="52">
        <v>0</v>
      </c>
      <c r="AR712" s="52">
        <v>0</v>
      </c>
      <c r="AS712" s="52">
        <v>0</v>
      </c>
      <c r="AT712" s="53" t="s">
        <v>74</v>
      </c>
      <c r="AU712" s="52">
        <v>0</v>
      </c>
      <c r="AV712" s="52"/>
      <c r="AW712" s="52">
        <v>0</v>
      </c>
      <c r="AX712" s="52"/>
      <c r="AY712" s="52"/>
      <c r="AZ712" s="52">
        <v>0</v>
      </c>
      <c r="BA712" s="52">
        <v>0</v>
      </c>
      <c r="BB712" s="54" t="s">
        <v>74</v>
      </c>
      <c r="BC712" s="53" t="s">
        <v>74</v>
      </c>
      <c r="BD712" s="55" t="s">
        <v>74</v>
      </c>
      <c r="BE712" s="55" t="s">
        <v>74</v>
      </c>
      <c r="BF712" s="55" t="s">
        <v>74</v>
      </c>
      <c r="BG712" s="55" t="s">
        <v>74</v>
      </c>
      <c r="BH712" s="52">
        <v>0</v>
      </c>
      <c r="BI712" s="52">
        <v>2629946.11</v>
      </c>
      <c r="BJ712" s="52">
        <v>2629946.11</v>
      </c>
      <c r="BK712" s="56">
        <v>43556</v>
      </c>
      <c r="BL712" s="57">
        <v>2629946.11</v>
      </c>
      <c r="BM712" s="47">
        <v>0</v>
      </c>
      <c r="BN712" s="9"/>
      <c r="BO712" s="9"/>
      <c r="BP712" s="9"/>
      <c r="BQ712" s="9"/>
      <c r="BR712" s="9"/>
      <c r="BS712" s="9"/>
      <c r="BT712" s="9"/>
      <c r="BU712" s="9"/>
      <c r="BV712" s="9"/>
      <c r="BW712" s="9"/>
    </row>
    <row r="713" spans="1:75" ht="26.25" hidden="1" outlineLevel="2" x14ac:dyDescent="0.25">
      <c r="A713" s="43" t="s">
        <v>795</v>
      </c>
      <c r="B713" s="110" t="s">
        <v>796</v>
      </c>
      <c r="C713" s="45">
        <v>2019</v>
      </c>
      <c r="D713" s="110" t="s">
        <v>81</v>
      </c>
      <c r="E713" s="47">
        <v>0</v>
      </c>
      <c r="F713" s="47">
        <v>0</v>
      </c>
      <c r="G713" s="47">
        <v>2950976.25</v>
      </c>
      <c r="H713" s="47">
        <v>0</v>
      </c>
      <c r="I713" s="47">
        <v>0</v>
      </c>
      <c r="J713" s="47">
        <v>0</v>
      </c>
      <c r="K713" s="47">
        <v>0</v>
      </c>
      <c r="L713" s="47">
        <v>0</v>
      </c>
      <c r="M713" s="47">
        <v>0</v>
      </c>
      <c r="N713" s="47">
        <v>0</v>
      </c>
      <c r="O713" s="47">
        <v>0</v>
      </c>
      <c r="P713" s="47">
        <v>0</v>
      </c>
      <c r="Q713" s="47">
        <v>0</v>
      </c>
      <c r="R713" s="47">
        <v>0</v>
      </c>
      <c r="S713" s="47">
        <v>0</v>
      </c>
      <c r="T713" s="47">
        <v>0</v>
      </c>
      <c r="U713" s="47">
        <v>0</v>
      </c>
      <c r="V713" s="47">
        <v>0</v>
      </c>
      <c r="W713" s="47">
        <v>0</v>
      </c>
      <c r="X713" s="47">
        <v>0</v>
      </c>
      <c r="Y713" s="48">
        <v>2950976.25</v>
      </c>
      <c r="Z713" s="58">
        <v>286087.55</v>
      </c>
      <c r="AA713" s="50">
        <v>286087.55</v>
      </c>
      <c r="AB713" s="50">
        <v>0</v>
      </c>
      <c r="AC713" s="50">
        <v>0</v>
      </c>
      <c r="AD713" s="50">
        <v>15841.68</v>
      </c>
      <c r="AE713" s="50">
        <v>0</v>
      </c>
      <c r="AF713" s="50">
        <v>0</v>
      </c>
      <c r="AG713" s="49">
        <v>301929.23</v>
      </c>
      <c r="AH713" s="51" t="s">
        <v>104</v>
      </c>
      <c r="AI713" s="51" t="s">
        <v>74</v>
      </c>
      <c r="AJ713" s="51" t="s">
        <v>74</v>
      </c>
      <c r="AK713" s="51" t="s">
        <v>136</v>
      </c>
      <c r="AL713" s="51" t="s">
        <v>74</v>
      </c>
      <c r="AM713" s="51" t="s">
        <v>74</v>
      </c>
      <c r="AN713" s="52">
        <v>0</v>
      </c>
      <c r="AO713" s="52">
        <v>0</v>
      </c>
      <c r="AP713" s="52">
        <v>0</v>
      </c>
      <c r="AQ713" s="52">
        <v>0</v>
      </c>
      <c r="AR713" s="52">
        <v>0</v>
      </c>
      <c r="AS713" s="52">
        <v>0</v>
      </c>
      <c r="AT713" s="53" t="s">
        <v>74</v>
      </c>
      <c r="AU713" s="52">
        <v>0</v>
      </c>
      <c r="AV713" s="52"/>
      <c r="AW713" s="52">
        <v>0</v>
      </c>
      <c r="AX713" s="52"/>
      <c r="AY713" s="52"/>
      <c r="AZ713" s="52">
        <v>0</v>
      </c>
      <c r="BA713" s="52">
        <v>0</v>
      </c>
      <c r="BB713" s="54" t="s">
        <v>74</v>
      </c>
      <c r="BC713" s="53" t="s">
        <v>74</v>
      </c>
      <c r="BD713" s="55" t="s">
        <v>74</v>
      </c>
      <c r="BE713" s="55" t="s">
        <v>74</v>
      </c>
      <c r="BF713" s="55" t="s">
        <v>74</v>
      </c>
      <c r="BG713" s="55" t="s">
        <v>74</v>
      </c>
      <c r="BH713" s="52">
        <v>0</v>
      </c>
      <c r="BI713" s="52">
        <v>2649047.02</v>
      </c>
      <c r="BJ713" s="52">
        <v>2649047.02</v>
      </c>
      <c r="BK713" s="56">
        <v>43586</v>
      </c>
      <c r="BL713" s="57">
        <v>2649047.02</v>
      </c>
      <c r="BM713" s="47">
        <v>0</v>
      </c>
      <c r="BN713" s="9"/>
      <c r="BO713" s="9"/>
      <c r="BP713" s="9"/>
      <c r="BQ713" s="9"/>
      <c r="BR713" s="9"/>
      <c r="BS713" s="9"/>
      <c r="BT713" s="9"/>
      <c r="BU713" s="9"/>
      <c r="BV713" s="9"/>
      <c r="BW713" s="9"/>
    </row>
    <row r="714" spans="1:75" ht="26.25" hidden="1" outlineLevel="2" x14ac:dyDescent="0.25">
      <c r="A714" s="43" t="s">
        <v>795</v>
      </c>
      <c r="B714" s="110" t="s">
        <v>796</v>
      </c>
      <c r="C714" s="45">
        <v>2019</v>
      </c>
      <c r="D714" s="110" t="s">
        <v>83</v>
      </c>
      <c r="E714" s="47">
        <v>0</v>
      </c>
      <c r="F714" s="47">
        <v>0</v>
      </c>
      <c r="G714" s="47">
        <v>2950976.25</v>
      </c>
      <c r="H714" s="47">
        <v>0</v>
      </c>
      <c r="I714" s="47">
        <v>0</v>
      </c>
      <c r="J714" s="47">
        <v>0</v>
      </c>
      <c r="K714" s="47">
        <v>0</v>
      </c>
      <c r="L714" s="47">
        <v>0</v>
      </c>
      <c r="M714" s="47">
        <v>0</v>
      </c>
      <c r="N714" s="47">
        <v>0</v>
      </c>
      <c r="O714" s="47">
        <v>0</v>
      </c>
      <c r="P714" s="47">
        <v>0</v>
      </c>
      <c r="Q714" s="47">
        <v>0</v>
      </c>
      <c r="R714" s="47">
        <v>0</v>
      </c>
      <c r="S714" s="47">
        <v>0</v>
      </c>
      <c r="T714" s="47">
        <v>0</v>
      </c>
      <c r="U714" s="47">
        <v>0</v>
      </c>
      <c r="V714" s="47">
        <v>0</v>
      </c>
      <c r="W714" s="47">
        <v>0</v>
      </c>
      <c r="X714" s="47">
        <v>0</v>
      </c>
      <c r="Y714" s="48">
        <v>2950976.25</v>
      </c>
      <c r="Z714" s="58">
        <v>305583.02</v>
      </c>
      <c r="AA714" s="50">
        <v>305583.02</v>
      </c>
      <c r="AB714" s="50">
        <v>0</v>
      </c>
      <c r="AC714" s="50">
        <v>0</v>
      </c>
      <c r="AD714" s="50">
        <v>16547.86</v>
      </c>
      <c r="AE714" s="50">
        <v>0</v>
      </c>
      <c r="AF714" s="50">
        <v>0</v>
      </c>
      <c r="AG714" s="49">
        <v>322130.88</v>
      </c>
      <c r="AH714" s="51" t="s">
        <v>104</v>
      </c>
      <c r="AI714" s="51" t="s">
        <v>74</v>
      </c>
      <c r="AJ714" s="51" t="s">
        <v>74</v>
      </c>
      <c r="AK714" s="51" t="s">
        <v>138</v>
      </c>
      <c r="AL714" s="51" t="s">
        <v>74</v>
      </c>
      <c r="AM714" s="51" t="s">
        <v>74</v>
      </c>
      <c r="AN714" s="52">
        <v>0</v>
      </c>
      <c r="AO714" s="52">
        <v>0</v>
      </c>
      <c r="AP714" s="52">
        <v>0</v>
      </c>
      <c r="AQ714" s="52">
        <v>0</v>
      </c>
      <c r="AR714" s="52">
        <v>0</v>
      </c>
      <c r="AS714" s="52">
        <v>0</v>
      </c>
      <c r="AT714" s="53" t="s">
        <v>74</v>
      </c>
      <c r="AU714" s="52">
        <v>0</v>
      </c>
      <c r="AV714" s="52"/>
      <c r="AW714" s="52">
        <v>0</v>
      </c>
      <c r="AX714" s="52"/>
      <c r="AY714" s="52"/>
      <c r="AZ714" s="52">
        <v>0</v>
      </c>
      <c r="BA714" s="52">
        <v>0</v>
      </c>
      <c r="BB714" s="54" t="s">
        <v>74</v>
      </c>
      <c r="BC714" s="53" t="s">
        <v>74</v>
      </c>
      <c r="BD714" s="55" t="s">
        <v>74</v>
      </c>
      <c r="BE714" s="55" t="s">
        <v>74</v>
      </c>
      <c r="BF714" s="55" t="s">
        <v>74</v>
      </c>
      <c r="BG714" s="55" t="s">
        <v>74</v>
      </c>
      <c r="BH714" s="52">
        <v>0</v>
      </c>
      <c r="BI714" s="52">
        <v>2628845.37</v>
      </c>
      <c r="BJ714" s="52">
        <v>2628845.37</v>
      </c>
      <c r="BK714" s="56">
        <v>43617</v>
      </c>
      <c r="BL714" s="57">
        <v>2628845.37</v>
      </c>
      <c r="BM714" s="47">
        <v>0</v>
      </c>
      <c r="BN714" s="9"/>
      <c r="BO714" s="9"/>
      <c r="BP714" s="9"/>
      <c r="BQ714" s="9"/>
      <c r="BR714" s="9"/>
      <c r="BS714" s="9"/>
      <c r="BT714" s="9"/>
      <c r="BU714" s="9"/>
      <c r="BV714" s="9"/>
      <c r="BW714" s="9"/>
    </row>
    <row r="715" spans="1:75" ht="26.25" hidden="1" outlineLevel="2" x14ac:dyDescent="0.25">
      <c r="A715" s="43" t="s">
        <v>795</v>
      </c>
      <c r="B715" s="110" t="s">
        <v>796</v>
      </c>
      <c r="C715" s="45">
        <v>2019</v>
      </c>
      <c r="D715" s="110" t="s">
        <v>84</v>
      </c>
      <c r="E715" s="47">
        <v>0</v>
      </c>
      <c r="F715" s="47">
        <v>0</v>
      </c>
      <c r="G715" s="47">
        <v>2950976.25</v>
      </c>
      <c r="H715" s="47">
        <v>0</v>
      </c>
      <c r="I715" s="47">
        <v>0</v>
      </c>
      <c r="J715" s="47">
        <v>0</v>
      </c>
      <c r="K715" s="47">
        <v>0</v>
      </c>
      <c r="L715" s="47">
        <v>0</v>
      </c>
      <c r="M715" s="47">
        <v>0</v>
      </c>
      <c r="N715" s="47">
        <v>0</v>
      </c>
      <c r="O715" s="47">
        <v>0</v>
      </c>
      <c r="P715" s="47">
        <v>0</v>
      </c>
      <c r="Q715" s="47">
        <v>0</v>
      </c>
      <c r="R715" s="47">
        <v>0</v>
      </c>
      <c r="S715" s="47">
        <v>0</v>
      </c>
      <c r="T715" s="47">
        <v>0</v>
      </c>
      <c r="U715" s="47">
        <v>0</v>
      </c>
      <c r="V715" s="47">
        <v>0</v>
      </c>
      <c r="W715" s="47">
        <v>0</v>
      </c>
      <c r="X715" s="47">
        <v>0</v>
      </c>
      <c r="Y715" s="48">
        <v>2950976.25</v>
      </c>
      <c r="Z715" s="58">
        <v>288378.96000000002</v>
      </c>
      <c r="AA715" s="50">
        <v>288378.96000000002</v>
      </c>
      <c r="AB715" s="50">
        <v>0</v>
      </c>
      <c r="AC715" s="50">
        <v>0</v>
      </c>
      <c r="AD715" s="50">
        <v>17884.21</v>
      </c>
      <c r="AE715" s="50">
        <v>0</v>
      </c>
      <c r="AF715" s="50">
        <v>0</v>
      </c>
      <c r="AG715" s="49">
        <v>306263.17</v>
      </c>
      <c r="AH715" s="51" t="s">
        <v>104</v>
      </c>
      <c r="AI715" s="51" t="s">
        <v>74</v>
      </c>
      <c r="AJ715" s="51" t="s">
        <v>74</v>
      </c>
      <c r="AK715" s="51" t="s">
        <v>140</v>
      </c>
      <c r="AL715" s="51" t="s">
        <v>74</v>
      </c>
      <c r="AM715" s="51" t="s">
        <v>74</v>
      </c>
      <c r="AN715" s="52">
        <v>0</v>
      </c>
      <c r="AO715" s="52">
        <v>0</v>
      </c>
      <c r="AP715" s="52">
        <v>0</v>
      </c>
      <c r="AQ715" s="52">
        <v>0</v>
      </c>
      <c r="AR715" s="52">
        <v>0</v>
      </c>
      <c r="AS715" s="52">
        <v>0</v>
      </c>
      <c r="AT715" s="53" t="s">
        <v>74</v>
      </c>
      <c r="AU715" s="52">
        <v>0</v>
      </c>
      <c r="AV715" s="52"/>
      <c r="AW715" s="52">
        <v>0</v>
      </c>
      <c r="AX715" s="52"/>
      <c r="AY715" s="52"/>
      <c r="AZ715" s="52">
        <v>0</v>
      </c>
      <c r="BA715" s="52">
        <v>0</v>
      </c>
      <c r="BB715" s="54" t="s">
        <v>74</v>
      </c>
      <c r="BC715" s="53" t="s">
        <v>74</v>
      </c>
      <c r="BD715" s="55" t="s">
        <v>74</v>
      </c>
      <c r="BE715" s="55" t="s">
        <v>74</v>
      </c>
      <c r="BF715" s="55" t="s">
        <v>74</v>
      </c>
      <c r="BG715" s="55" t="s">
        <v>74</v>
      </c>
      <c r="BH715" s="52">
        <v>0</v>
      </c>
      <c r="BI715" s="52">
        <v>2644713.08</v>
      </c>
      <c r="BJ715" s="52">
        <v>2644713.08</v>
      </c>
      <c r="BK715" s="56">
        <v>43647</v>
      </c>
      <c r="BL715" s="57">
        <v>2644713.08</v>
      </c>
      <c r="BM715" s="47">
        <v>0</v>
      </c>
      <c r="BN715" s="9"/>
      <c r="BO715" s="9"/>
      <c r="BP715" s="9"/>
      <c r="BQ715" s="9"/>
      <c r="BR715" s="9"/>
      <c r="BS715" s="9"/>
      <c r="BT715" s="9"/>
      <c r="BU715" s="9"/>
      <c r="BV715" s="9"/>
      <c r="BW715" s="9"/>
    </row>
    <row r="716" spans="1:75" ht="64.5" hidden="1" outlineLevel="2" x14ac:dyDescent="0.25">
      <c r="A716" s="43" t="s">
        <v>795</v>
      </c>
      <c r="B716" s="110" t="s">
        <v>796</v>
      </c>
      <c r="C716" s="45">
        <v>2019</v>
      </c>
      <c r="D716" s="110" t="s">
        <v>86</v>
      </c>
      <c r="E716" s="47">
        <v>0</v>
      </c>
      <c r="F716" s="47">
        <v>0</v>
      </c>
      <c r="G716" s="47">
        <v>2459146.87</v>
      </c>
      <c r="H716" s="47">
        <v>491829.38</v>
      </c>
      <c r="I716" s="47">
        <v>0</v>
      </c>
      <c r="J716" s="47">
        <v>0</v>
      </c>
      <c r="K716" s="47">
        <v>0</v>
      </c>
      <c r="L716" s="47">
        <v>0</v>
      </c>
      <c r="M716" s="47">
        <v>0</v>
      </c>
      <c r="N716" s="47">
        <v>0</v>
      </c>
      <c r="O716" s="47">
        <v>0</v>
      </c>
      <c r="P716" s="47">
        <v>0</v>
      </c>
      <c r="Q716" s="47">
        <v>0</v>
      </c>
      <c r="R716" s="47">
        <v>0</v>
      </c>
      <c r="S716" s="47">
        <v>0</v>
      </c>
      <c r="T716" s="47">
        <v>0</v>
      </c>
      <c r="U716" s="47">
        <v>0</v>
      </c>
      <c r="V716" s="47">
        <v>0</v>
      </c>
      <c r="W716" s="47">
        <v>0</v>
      </c>
      <c r="X716" s="47">
        <v>0</v>
      </c>
      <c r="Y716" s="48">
        <v>2950976.25</v>
      </c>
      <c r="Z716" s="58">
        <v>304188.09999999998</v>
      </c>
      <c r="AA716" s="50">
        <v>304188.09999999998</v>
      </c>
      <c r="AB716" s="50">
        <v>0</v>
      </c>
      <c r="AC716" s="50">
        <v>0</v>
      </c>
      <c r="AD716" s="50">
        <v>26144.11</v>
      </c>
      <c r="AE716" s="50">
        <v>0</v>
      </c>
      <c r="AF716" s="50">
        <v>0</v>
      </c>
      <c r="AG716" s="49">
        <v>330332.21000000002</v>
      </c>
      <c r="AH716" s="51" t="s">
        <v>104</v>
      </c>
      <c r="AI716" s="51" t="s">
        <v>74</v>
      </c>
      <c r="AJ716" s="51" t="s">
        <v>74</v>
      </c>
      <c r="AK716" s="51" t="s">
        <v>812</v>
      </c>
      <c r="AL716" s="51" t="s">
        <v>74</v>
      </c>
      <c r="AM716" s="51" t="s">
        <v>74</v>
      </c>
      <c r="AN716" s="52">
        <v>0</v>
      </c>
      <c r="AO716" s="52">
        <v>0</v>
      </c>
      <c r="AP716" s="52">
        <v>0</v>
      </c>
      <c r="AQ716" s="52">
        <v>0</v>
      </c>
      <c r="AR716" s="52">
        <v>0</v>
      </c>
      <c r="AS716" s="52">
        <v>0</v>
      </c>
      <c r="AT716" s="53" t="s">
        <v>74</v>
      </c>
      <c r="AU716" s="52">
        <v>0</v>
      </c>
      <c r="AV716" s="52"/>
      <c r="AW716" s="52">
        <v>0</v>
      </c>
      <c r="AX716" s="52"/>
      <c r="AY716" s="52"/>
      <c r="AZ716" s="52">
        <v>0</v>
      </c>
      <c r="BA716" s="52">
        <v>0</v>
      </c>
      <c r="BB716" s="54" t="s">
        <v>74</v>
      </c>
      <c r="BC716" s="53" t="s">
        <v>74</v>
      </c>
      <c r="BD716" s="55" t="s">
        <v>74</v>
      </c>
      <c r="BE716" s="55" t="s">
        <v>74</v>
      </c>
      <c r="BF716" s="55" t="s">
        <v>74</v>
      </c>
      <c r="BG716" s="55" t="s">
        <v>74</v>
      </c>
      <c r="BH716" s="52">
        <v>0</v>
      </c>
      <c r="BI716" s="52">
        <v>2620644.04</v>
      </c>
      <c r="BJ716" s="52">
        <v>2620644.04</v>
      </c>
      <c r="BK716" s="56">
        <v>43678</v>
      </c>
      <c r="BL716" s="57">
        <v>2620644.04</v>
      </c>
      <c r="BM716" s="47">
        <v>0</v>
      </c>
      <c r="BN716" s="9"/>
      <c r="BO716" s="9"/>
      <c r="BP716" s="9"/>
      <c r="BQ716" s="9"/>
      <c r="BR716" s="9"/>
      <c r="BS716" s="9"/>
      <c r="BT716" s="9"/>
      <c r="BU716" s="9"/>
      <c r="BV716" s="9"/>
      <c r="BW716" s="9"/>
    </row>
    <row r="717" spans="1:75" ht="64.5" hidden="1" outlineLevel="2" x14ac:dyDescent="0.25">
      <c r="A717" s="195" t="s">
        <v>795</v>
      </c>
      <c r="B717" s="110" t="s">
        <v>796</v>
      </c>
      <c r="C717" s="45">
        <v>2019</v>
      </c>
      <c r="D717" s="110" t="s">
        <v>88</v>
      </c>
      <c r="E717" s="47">
        <v>0</v>
      </c>
      <c r="F717" s="47">
        <v>0</v>
      </c>
      <c r="G717" s="47">
        <v>0</v>
      </c>
      <c r="H717" s="47">
        <v>2898818.69</v>
      </c>
      <c r="I717" s="47">
        <v>0</v>
      </c>
      <c r="J717" s="47">
        <v>0</v>
      </c>
      <c r="K717" s="47">
        <v>0</v>
      </c>
      <c r="L717" s="47">
        <v>0</v>
      </c>
      <c r="M717" s="47">
        <v>0</v>
      </c>
      <c r="N717" s="47">
        <v>0</v>
      </c>
      <c r="O717" s="47">
        <v>0</v>
      </c>
      <c r="P717" s="47">
        <v>0</v>
      </c>
      <c r="Q717" s="47">
        <v>0</v>
      </c>
      <c r="R717" s="47">
        <v>0</v>
      </c>
      <c r="S717" s="47">
        <v>0</v>
      </c>
      <c r="T717" s="47">
        <v>0</v>
      </c>
      <c r="U717" s="47">
        <v>0</v>
      </c>
      <c r="V717" s="47">
        <v>0</v>
      </c>
      <c r="W717" s="47">
        <v>0</v>
      </c>
      <c r="X717" s="47">
        <v>0</v>
      </c>
      <c r="Y717" s="48">
        <v>2898818.69</v>
      </c>
      <c r="Z717" s="58">
        <v>308638.49</v>
      </c>
      <c r="AA717" s="50">
        <v>304188.09999999998</v>
      </c>
      <c r="AB717" s="50">
        <v>0</v>
      </c>
      <c r="AC717" s="50">
        <v>0</v>
      </c>
      <c r="AD717" s="50">
        <v>15864.98</v>
      </c>
      <c r="AE717" s="50">
        <v>0</v>
      </c>
      <c r="AF717" s="50">
        <v>0</v>
      </c>
      <c r="AG717" s="49">
        <v>320053.08</v>
      </c>
      <c r="AH717" s="51" t="s">
        <v>813</v>
      </c>
      <c r="AI717" s="51" t="s">
        <v>74</v>
      </c>
      <c r="AJ717" s="51" t="s">
        <v>74</v>
      </c>
      <c r="AK717" s="51" t="s">
        <v>371</v>
      </c>
      <c r="AL717" s="51" t="s">
        <v>74</v>
      </c>
      <c r="AM717" s="51" t="s">
        <v>74</v>
      </c>
      <c r="AN717" s="52">
        <v>0</v>
      </c>
      <c r="AO717" s="52">
        <v>0</v>
      </c>
      <c r="AP717" s="52">
        <v>0</v>
      </c>
      <c r="AQ717" s="52">
        <v>0</v>
      </c>
      <c r="AR717" s="52">
        <v>0</v>
      </c>
      <c r="AS717" s="52">
        <v>0</v>
      </c>
      <c r="AT717" s="53" t="s">
        <v>74</v>
      </c>
      <c r="AU717" s="52">
        <v>0</v>
      </c>
      <c r="AV717" s="52"/>
      <c r="AW717" s="52">
        <v>0</v>
      </c>
      <c r="AX717" s="52"/>
      <c r="AY717" s="52"/>
      <c r="AZ717" s="52">
        <v>0</v>
      </c>
      <c r="BA717" s="52">
        <v>0</v>
      </c>
      <c r="BB717" s="54" t="s">
        <v>74</v>
      </c>
      <c r="BC717" s="53" t="s">
        <v>74</v>
      </c>
      <c r="BD717" s="55" t="s">
        <v>74</v>
      </c>
      <c r="BE717" s="55" t="s">
        <v>74</v>
      </c>
      <c r="BF717" s="55" t="s">
        <v>74</v>
      </c>
      <c r="BG717" s="55" t="s">
        <v>74</v>
      </c>
      <c r="BH717" s="52">
        <v>0</v>
      </c>
      <c r="BI717" s="52">
        <v>2578765.61</v>
      </c>
      <c r="BJ717" s="52">
        <v>2578765.61</v>
      </c>
      <c r="BK717" s="56">
        <v>43709</v>
      </c>
      <c r="BL717" s="57">
        <v>2578765.61</v>
      </c>
      <c r="BM717" s="47">
        <v>0</v>
      </c>
      <c r="BN717" s="9"/>
      <c r="BO717" s="9"/>
      <c r="BP717" s="9"/>
      <c r="BQ717" s="9"/>
      <c r="BR717" s="9"/>
      <c r="BS717" s="9"/>
      <c r="BT717" s="9"/>
      <c r="BU717" s="9"/>
      <c r="BV717" s="9"/>
      <c r="BW717" s="9"/>
    </row>
    <row r="718" spans="1:75" ht="90" hidden="1" outlineLevel="2" x14ac:dyDescent="0.25">
      <c r="A718" s="195" t="s">
        <v>795</v>
      </c>
      <c r="B718" s="110" t="s">
        <v>796</v>
      </c>
      <c r="C718" s="45">
        <v>2019</v>
      </c>
      <c r="D718" s="110" t="s">
        <v>89</v>
      </c>
      <c r="E718" s="47">
        <v>0</v>
      </c>
      <c r="F718" s="47">
        <v>0</v>
      </c>
      <c r="G718" s="47">
        <v>0</v>
      </c>
      <c r="H718" s="47">
        <v>2638030.92</v>
      </c>
      <c r="I718" s="47">
        <v>0</v>
      </c>
      <c r="J718" s="47">
        <v>0</v>
      </c>
      <c r="K718" s="47">
        <v>0</v>
      </c>
      <c r="L718" s="47">
        <v>0</v>
      </c>
      <c r="M718" s="47">
        <v>0</v>
      </c>
      <c r="N718" s="47">
        <v>0</v>
      </c>
      <c r="O718" s="47">
        <v>0</v>
      </c>
      <c r="P718" s="47">
        <v>0</v>
      </c>
      <c r="Q718" s="47">
        <v>0</v>
      </c>
      <c r="R718" s="47">
        <v>0</v>
      </c>
      <c r="S718" s="47">
        <v>0</v>
      </c>
      <c r="T718" s="47">
        <v>0</v>
      </c>
      <c r="U718" s="47">
        <v>0</v>
      </c>
      <c r="V718" s="47">
        <v>0</v>
      </c>
      <c r="W718" s="47">
        <v>0</v>
      </c>
      <c r="X718" s="47">
        <v>0</v>
      </c>
      <c r="Y718" s="48">
        <v>2638030.92</v>
      </c>
      <c r="Z718" s="58">
        <v>314817.90000000002</v>
      </c>
      <c r="AA718" s="50">
        <v>304188.09999999998</v>
      </c>
      <c r="AB718" s="50">
        <v>0</v>
      </c>
      <c r="AC718" s="50">
        <v>0</v>
      </c>
      <c r="AD718" s="50">
        <v>20834.099999999999</v>
      </c>
      <c r="AE718" s="50">
        <v>0</v>
      </c>
      <c r="AF718" s="50">
        <v>0</v>
      </c>
      <c r="AG718" s="49">
        <v>325022.2</v>
      </c>
      <c r="AH718" s="51" t="s">
        <v>814</v>
      </c>
      <c r="AI718" s="51" t="s">
        <v>74</v>
      </c>
      <c r="AJ718" s="51" t="s">
        <v>74</v>
      </c>
      <c r="AK718" s="51" t="s">
        <v>815</v>
      </c>
      <c r="AL718" s="51" t="s">
        <v>74</v>
      </c>
      <c r="AM718" s="51" t="s">
        <v>74</v>
      </c>
      <c r="AN718" s="52"/>
      <c r="AO718" s="52">
        <v>0</v>
      </c>
      <c r="AP718" s="52"/>
      <c r="AQ718" s="52"/>
      <c r="AR718" s="52"/>
      <c r="AS718" s="52">
        <v>0</v>
      </c>
      <c r="AT718" s="53" t="s">
        <v>74</v>
      </c>
      <c r="AU718" s="52">
        <v>396133.51</v>
      </c>
      <c r="AV718" s="52"/>
      <c r="AW718" s="52">
        <v>0</v>
      </c>
      <c r="AX718" s="52"/>
      <c r="AY718" s="52"/>
      <c r="AZ718" s="52">
        <v>0</v>
      </c>
      <c r="BA718" s="52">
        <v>396133.51</v>
      </c>
      <c r="BB718" s="55" t="s">
        <v>816</v>
      </c>
      <c r="BC718" s="51" t="s">
        <v>74</v>
      </c>
      <c r="BD718" s="54" t="s">
        <v>74</v>
      </c>
      <c r="BE718" s="54" t="s">
        <v>74</v>
      </c>
      <c r="BF718" s="54" t="s">
        <v>74</v>
      </c>
      <c r="BG718" s="54" t="s">
        <v>74</v>
      </c>
      <c r="BH718" s="52">
        <v>396133.51</v>
      </c>
      <c r="BI718" s="52">
        <v>2709142.23</v>
      </c>
      <c r="BJ718" s="52">
        <v>2313008.7200000002</v>
      </c>
      <c r="BK718" s="56">
        <v>43739</v>
      </c>
      <c r="BL718" s="57">
        <v>2709142.23</v>
      </c>
      <c r="BM718" s="47">
        <v>0</v>
      </c>
      <c r="BN718" s="9"/>
      <c r="BO718" s="9"/>
      <c r="BP718" s="9"/>
      <c r="BQ718" s="9"/>
      <c r="BR718" s="9"/>
      <c r="BS718" s="9"/>
      <c r="BT718" s="9"/>
      <c r="BU718" s="9"/>
      <c r="BV718" s="9"/>
      <c r="BW718" s="9"/>
    </row>
    <row r="719" spans="1:75" ht="128.25" hidden="1" outlineLevel="2" x14ac:dyDescent="0.25">
      <c r="A719" s="43" t="s">
        <v>795</v>
      </c>
      <c r="B719" s="110" t="s">
        <v>796</v>
      </c>
      <c r="C719" s="45">
        <v>2019</v>
      </c>
      <c r="D719" s="110" t="s">
        <v>90</v>
      </c>
      <c r="E719" s="47">
        <v>0</v>
      </c>
      <c r="F719" s="47">
        <v>0</v>
      </c>
      <c r="G719" s="47">
        <v>0</v>
      </c>
      <c r="H719" s="47">
        <v>2638030.92</v>
      </c>
      <c r="I719" s="47">
        <v>0</v>
      </c>
      <c r="J719" s="47">
        <v>0</v>
      </c>
      <c r="K719" s="47">
        <v>0</v>
      </c>
      <c r="L719" s="47">
        <v>0</v>
      </c>
      <c r="M719" s="47">
        <v>0</v>
      </c>
      <c r="N719" s="47">
        <v>0</v>
      </c>
      <c r="O719" s="47">
        <v>0</v>
      </c>
      <c r="P719" s="47">
        <v>0</v>
      </c>
      <c r="Q719" s="47">
        <v>0</v>
      </c>
      <c r="R719" s="47">
        <v>0</v>
      </c>
      <c r="S719" s="47">
        <v>0</v>
      </c>
      <c r="T719" s="47">
        <v>0</v>
      </c>
      <c r="U719" s="47">
        <v>0</v>
      </c>
      <c r="V719" s="47">
        <v>0</v>
      </c>
      <c r="W719" s="47">
        <v>0</v>
      </c>
      <c r="X719" s="47">
        <v>0</v>
      </c>
      <c r="Y719" s="48">
        <v>2638030.92</v>
      </c>
      <c r="Z719" s="49">
        <v>288692.2</v>
      </c>
      <c r="AA719" s="50">
        <v>288692.2</v>
      </c>
      <c r="AB719" s="50">
        <v>15080.19</v>
      </c>
      <c r="AC719" s="50">
        <v>0</v>
      </c>
      <c r="AD719" s="50">
        <v>15495.9</v>
      </c>
      <c r="AE719" s="50">
        <v>0</v>
      </c>
      <c r="AF719" s="50">
        <v>0</v>
      </c>
      <c r="AG719" s="49">
        <v>319268.28999999998</v>
      </c>
      <c r="AH719" s="51" t="s">
        <v>104</v>
      </c>
      <c r="AI719" s="51" t="s">
        <v>817</v>
      </c>
      <c r="AJ719" s="51" t="s">
        <v>74</v>
      </c>
      <c r="AK719" s="51" t="s">
        <v>818</v>
      </c>
      <c r="AL719" s="51" t="s">
        <v>74</v>
      </c>
      <c r="AM719" s="51" t="s">
        <v>74</v>
      </c>
      <c r="AN719" s="52">
        <v>0</v>
      </c>
      <c r="AO719" s="52">
        <v>0</v>
      </c>
      <c r="AP719" s="52">
        <v>0</v>
      </c>
      <c r="AQ719" s="52">
        <v>0</v>
      </c>
      <c r="AR719" s="52">
        <v>0</v>
      </c>
      <c r="AS719" s="52">
        <v>0</v>
      </c>
      <c r="AT719" s="53" t="s">
        <v>74</v>
      </c>
      <c r="AU719" s="52">
        <v>0</v>
      </c>
      <c r="AV719" s="52"/>
      <c r="AW719" s="52">
        <v>0</v>
      </c>
      <c r="AX719" s="52"/>
      <c r="AY719" s="52"/>
      <c r="AZ719" s="52">
        <v>0</v>
      </c>
      <c r="BA719" s="52">
        <v>0</v>
      </c>
      <c r="BB719" s="54" t="s">
        <v>74</v>
      </c>
      <c r="BC719" s="53" t="s">
        <v>74</v>
      </c>
      <c r="BD719" s="55" t="s">
        <v>74</v>
      </c>
      <c r="BE719" s="55" t="s">
        <v>74</v>
      </c>
      <c r="BF719" s="55" t="s">
        <v>74</v>
      </c>
      <c r="BG719" s="55" t="s">
        <v>74</v>
      </c>
      <c r="BH719" s="52">
        <v>0</v>
      </c>
      <c r="BI719" s="52">
        <v>2318762.63</v>
      </c>
      <c r="BJ719" s="52">
        <v>2318762.63</v>
      </c>
      <c r="BK719" s="56">
        <v>43770</v>
      </c>
      <c r="BL719" s="57">
        <v>2318762.63</v>
      </c>
      <c r="BM719" s="47">
        <v>0</v>
      </c>
      <c r="BN719" s="9"/>
      <c r="BO719" s="9"/>
      <c r="BP719" s="9"/>
      <c r="BQ719" s="9"/>
      <c r="BR719" s="9"/>
      <c r="BS719" s="9"/>
      <c r="BT719" s="9"/>
      <c r="BU719" s="9"/>
      <c r="BV719" s="9"/>
      <c r="BW719" s="9"/>
    </row>
    <row r="720" spans="1:75" ht="77.25" hidden="1" outlineLevel="2" x14ac:dyDescent="0.25">
      <c r="A720" s="195" t="s">
        <v>795</v>
      </c>
      <c r="B720" s="110" t="s">
        <v>796</v>
      </c>
      <c r="C720" s="45">
        <v>2019</v>
      </c>
      <c r="D720" s="110" t="s">
        <v>93</v>
      </c>
      <c r="E720" s="47">
        <v>0</v>
      </c>
      <c r="F720" s="47">
        <v>0</v>
      </c>
      <c r="G720" s="47">
        <v>0</v>
      </c>
      <c r="H720" s="47">
        <v>2638030.92</v>
      </c>
      <c r="I720" s="47">
        <v>0</v>
      </c>
      <c r="J720" s="47">
        <v>0</v>
      </c>
      <c r="K720" s="47">
        <v>0</v>
      </c>
      <c r="L720" s="47">
        <v>0</v>
      </c>
      <c r="M720" s="47">
        <v>0</v>
      </c>
      <c r="N720" s="47">
        <v>0</v>
      </c>
      <c r="O720" s="47">
        <v>0</v>
      </c>
      <c r="P720" s="47">
        <v>0</v>
      </c>
      <c r="Q720" s="47">
        <v>0</v>
      </c>
      <c r="R720" s="47">
        <v>0</v>
      </c>
      <c r="S720" s="47">
        <v>0</v>
      </c>
      <c r="T720" s="47">
        <v>0</v>
      </c>
      <c r="U720" s="47">
        <v>0</v>
      </c>
      <c r="V720" s="47">
        <v>0</v>
      </c>
      <c r="W720" s="47">
        <v>0</v>
      </c>
      <c r="X720" s="47">
        <v>0</v>
      </c>
      <c r="Y720" s="48">
        <v>2638030.92</v>
      </c>
      <c r="Z720" s="49">
        <v>289537.84000000003</v>
      </c>
      <c r="AA720" s="50">
        <v>289537.84000000003</v>
      </c>
      <c r="AB720" s="50">
        <v>0</v>
      </c>
      <c r="AC720" s="50">
        <v>0</v>
      </c>
      <c r="AD720" s="50">
        <v>27507.279999999999</v>
      </c>
      <c r="AE720" s="50">
        <v>0</v>
      </c>
      <c r="AF720" s="50">
        <v>0</v>
      </c>
      <c r="AG720" s="49">
        <v>317045.12</v>
      </c>
      <c r="AH720" s="51" t="s">
        <v>104</v>
      </c>
      <c r="AI720" s="51" t="s">
        <v>74</v>
      </c>
      <c r="AJ720" s="51" t="s">
        <v>74</v>
      </c>
      <c r="AK720" s="51" t="s">
        <v>819</v>
      </c>
      <c r="AL720" s="51" t="s">
        <v>74</v>
      </c>
      <c r="AM720" s="51" t="s">
        <v>74</v>
      </c>
      <c r="AN720" s="52">
        <v>0</v>
      </c>
      <c r="AO720" s="52">
        <v>0</v>
      </c>
      <c r="AP720" s="52">
        <v>0</v>
      </c>
      <c r="AQ720" s="52">
        <v>0</v>
      </c>
      <c r="AR720" s="52">
        <v>0</v>
      </c>
      <c r="AS720" s="52">
        <v>0</v>
      </c>
      <c r="AT720" s="53" t="s">
        <v>74</v>
      </c>
      <c r="AU720" s="52">
        <v>0</v>
      </c>
      <c r="AV720" s="52"/>
      <c r="AW720" s="52">
        <v>0</v>
      </c>
      <c r="AX720" s="52"/>
      <c r="AY720" s="52"/>
      <c r="AZ720" s="52">
        <v>0</v>
      </c>
      <c r="BA720" s="52">
        <v>0</v>
      </c>
      <c r="BB720" s="54" t="s">
        <v>74</v>
      </c>
      <c r="BC720" s="53" t="s">
        <v>74</v>
      </c>
      <c r="BD720" s="55" t="s">
        <v>74</v>
      </c>
      <c r="BE720" s="55" t="s">
        <v>74</v>
      </c>
      <c r="BF720" s="55" t="s">
        <v>74</v>
      </c>
      <c r="BG720" s="55" t="s">
        <v>74</v>
      </c>
      <c r="BH720" s="52">
        <v>0</v>
      </c>
      <c r="BI720" s="52">
        <v>2320985.7999999998</v>
      </c>
      <c r="BJ720" s="52">
        <v>2320985.7999999998</v>
      </c>
      <c r="BK720" s="56">
        <v>43800</v>
      </c>
      <c r="BL720" s="57">
        <v>2320985.7999999998</v>
      </c>
      <c r="BM720" s="47">
        <v>0</v>
      </c>
      <c r="BN720" s="9"/>
      <c r="BO720" s="9"/>
      <c r="BP720" s="9"/>
      <c r="BQ720" s="9"/>
      <c r="BR720" s="9"/>
      <c r="BS720" s="9"/>
      <c r="BT720" s="9"/>
      <c r="BU720" s="9"/>
      <c r="BV720" s="9"/>
      <c r="BW720" s="9"/>
    </row>
    <row r="721" spans="1:75" ht="26.25" hidden="1" outlineLevel="2" x14ac:dyDescent="0.25">
      <c r="A721" s="195" t="s">
        <v>795</v>
      </c>
      <c r="B721" s="110" t="s">
        <v>796</v>
      </c>
      <c r="C721" s="45">
        <v>2020</v>
      </c>
      <c r="D721" s="110" t="s">
        <v>73</v>
      </c>
      <c r="E721" s="47">
        <v>0</v>
      </c>
      <c r="F721" s="47">
        <v>0</v>
      </c>
      <c r="G721" s="47">
        <v>0</v>
      </c>
      <c r="H721" s="47">
        <v>2638030.92</v>
      </c>
      <c r="I721" s="47">
        <v>0</v>
      </c>
      <c r="J721" s="47">
        <v>0</v>
      </c>
      <c r="K721" s="47">
        <v>0</v>
      </c>
      <c r="L721" s="47">
        <v>0</v>
      </c>
      <c r="M721" s="47">
        <v>0</v>
      </c>
      <c r="N721" s="47">
        <v>0</v>
      </c>
      <c r="O721" s="47">
        <v>0</v>
      </c>
      <c r="P721" s="47">
        <v>0</v>
      </c>
      <c r="Q721" s="47">
        <v>0</v>
      </c>
      <c r="R721" s="47">
        <v>0</v>
      </c>
      <c r="S721" s="47">
        <v>0</v>
      </c>
      <c r="T721" s="47">
        <v>0</v>
      </c>
      <c r="U721" s="47">
        <v>0</v>
      </c>
      <c r="V721" s="47">
        <v>0</v>
      </c>
      <c r="W721" s="47">
        <v>0</v>
      </c>
      <c r="X721" s="47">
        <v>0</v>
      </c>
      <c r="Y721" s="48">
        <v>2638030.92</v>
      </c>
      <c r="Z721" s="49">
        <v>296501.90999999997</v>
      </c>
      <c r="AA721" s="50">
        <v>296501.90999999997</v>
      </c>
      <c r="AB721" s="50">
        <v>0</v>
      </c>
      <c r="AC721" s="50">
        <v>0</v>
      </c>
      <c r="AD721" s="50">
        <v>18338.63</v>
      </c>
      <c r="AE721" s="50">
        <v>0</v>
      </c>
      <c r="AF721" s="50">
        <v>0</v>
      </c>
      <c r="AG721" s="49">
        <v>314840.53999999998</v>
      </c>
      <c r="AH721" s="51" t="s">
        <v>104</v>
      </c>
      <c r="AI721" s="51" t="s">
        <v>74</v>
      </c>
      <c r="AJ721" s="51" t="s">
        <v>74</v>
      </c>
      <c r="AK721" s="51" t="s">
        <v>157</v>
      </c>
      <c r="AL721" s="51" t="s">
        <v>74</v>
      </c>
      <c r="AM721" s="51" t="s">
        <v>74</v>
      </c>
      <c r="AN721" s="52">
        <v>0</v>
      </c>
      <c r="AO721" s="52">
        <v>0</v>
      </c>
      <c r="AP721" s="52">
        <v>0</v>
      </c>
      <c r="AQ721" s="52">
        <v>0</v>
      </c>
      <c r="AR721" s="52">
        <v>0</v>
      </c>
      <c r="AS721" s="52">
        <v>0</v>
      </c>
      <c r="AT721" s="53" t="s">
        <v>74</v>
      </c>
      <c r="AU721" s="52">
        <v>0</v>
      </c>
      <c r="AV721" s="52"/>
      <c r="AW721" s="52">
        <v>0</v>
      </c>
      <c r="AX721" s="52"/>
      <c r="AY721" s="52"/>
      <c r="AZ721" s="52">
        <v>0</v>
      </c>
      <c r="BA721" s="52">
        <v>0</v>
      </c>
      <c r="BB721" s="54" t="s">
        <v>74</v>
      </c>
      <c r="BC721" s="53" t="s">
        <v>74</v>
      </c>
      <c r="BD721" s="55" t="s">
        <v>74</v>
      </c>
      <c r="BE721" s="55" t="s">
        <v>74</v>
      </c>
      <c r="BF721" s="55" t="s">
        <v>74</v>
      </c>
      <c r="BG721" s="55" t="s">
        <v>74</v>
      </c>
      <c r="BH721" s="52">
        <v>0</v>
      </c>
      <c r="BI721" s="52">
        <v>2323190.38</v>
      </c>
      <c r="BJ721" s="52">
        <v>2323190.38</v>
      </c>
      <c r="BK721" s="56">
        <v>43831</v>
      </c>
      <c r="BL721" s="57">
        <v>2323190.38</v>
      </c>
      <c r="BM721" s="47">
        <v>0</v>
      </c>
      <c r="BN721" s="9"/>
      <c r="BO721" s="9"/>
      <c r="BP721" s="9"/>
      <c r="BQ721" s="9"/>
      <c r="BR721" s="9"/>
      <c r="BS721" s="9"/>
      <c r="BT721" s="9"/>
      <c r="BU721" s="9"/>
      <c r="BV721" s="9"/>
      <c r="BW721" s="9"/>
    </row>
    <row r="722" spans="1:75" ht="217.5" hidden="1" outlineLevel="2" x14ac:dyDescent="0.25">
      <c r="A722" s="195" t="s">
        <v>795</v>
      </c>
      <c r="B722" s="110" t="s">
        <v>796</v>
      </c>
      <c r="C722" s="45">
        <v>2020</v>
      </c>
      <c r="D722" s="110" t="s">
        <v>75</v>
      </c>
      <c r="E722" s="47">
        <v>0</v>
      </c>
      <c r="F722" s="47">
        <v>0</v>
      </c>
      <c r="G722" s="47">
        <v>0</v>
      </c>
      <c r="H722" s="47">
        <v>2198359.1</v>
      </c>
      <c r="I722" s="47">
        <v>0</v>
      </c>
      <c r="J722" s="47">
        <v>0</v>
      </c>
      <c r="K722" s="47">
        <v>0</v>
      </c>
      <c r="L722" s="47">
        <v>0</v>
      </c>
      <c r="M722" s="134">
        <v>791409.27599999995</v>
      </c>
      <c r="N722" s="47">
        <v>0</v>
      </c>
      <c r="O722" s="47">
        <v>0</v>
      </c>
      <c r="P722" s="47">
        <v>0</v>
      </c>
      <c r="Q722" s="47">
        <v>0</v>
      </c>
      <c r="R722" s="47">
        <v>0</v>
      </c>
      <c r="S722" s="47">
        <v>0</v>
      </c>
      <c r="T722" s="47">
        <v>0</v>
      </c>
      <c r="U722" s="47">
        <v>0</v>
      </c>
      <c r="V722" s="47">
        <v>0</v>
      </c>
      <c r="W722" s="47">
        <v>0</v>
      </c>
      <c r="X722" s="47">
        <v>0</v>
      </c>
      <c r="Y722" s="48">
        <v>2989768.3760000002</v>
      </c>
      <c r="Z722" s="49">
        <v>271301.28999999998</v>
      </c>
      <c r="AA722" s="50">
        <v>271301.28999999998</v>
      </c>
      <c r="AB722" s="50">
        <v>0</v>
      </c>
      <c r="AC722" s="50">
        <v>0</v>
      </c>
      <c r="AD722" s="50">
        <v>19455.990000000002</v>
      </c>
      <c r="AE722" s="50">
        <v>0</v>
      </c>
      <c r="AF722" s="50">
        <v>0</v>
      </c>
      <c r="AG722" s="49">
        <v>290757.28000000003</v>
      </c>
      <c r="AH722" s="51" t="s">
        <v>104</v>
      </c>
      <c r="AI722" s="51" t="s">
        <v>74</v>
      </c>
      <c r="AJ722" s="51" t="s">
        <v>74</v>
      </c>
      <c r="AK722" s="51" t="s">
        <v>219</v>
      </c>
      <c r="AL722" s="51" t="s">
        <v>74</v>
      </c>
      <c r="AM722" s="51" t="s">
        <v>74</v>
      </c>
      <c r="AN722" s="52"/>
      <c r="AO722" s="52"/>
      <c r="AP722" s="52"/>
      <c r="AQ722" s="52"/>
      <c r="AR722" s="52"/>
      <c r="AS722" s="52">
        <v>0</v>
      </c>
      <c r="AT722" s="53" t="s">
        <v>74</v>
      </c>
      <c r="AU722" s="52">
        <v>179752.06</v>
      </c>
      <c r="AV722" s="52"/>
      <c r="AW722" s="52">
        <v>0</v>
      </c>
      <c r="AX722" s="52"/>
      <c r="AY722" s="52"/>
      <c r="AZ722" s="52">
        <v>0</v>
      </c>
      <c r="BA722" s="52">
        <v>179752.06</v>
      </c>
      <c r="BB722" s="55" t="s">
        <v>820</v>
      </c>
      <c r="BC722" s="51" t="s">
        <v>74</v>
      </c>
      <c r="BD722" s="54" t="s">
        <v>74</v>
      </c>
      <c r="BE722" s="54" t="s">
        <v>74</v>
      </c>
      <c r="BF722" s="54" t="s">
        <v>74</v>
      </c>
      <c r="BG722" s="54" t="s">
        <v>74</v>
      </c>
      <c r="BH722" s="52">
        <v>179752.06</v>
      </c>
      <c r="BI722" s="52">
        <v>2878763.156</v>
      </c>
      <c r="BJ722" s="52">
        <v>2699011.0959999999</v>
      </c>
      <c r="BK722" s="56">
        <v>43862</v>
      </c>
      <c r="BL722" s="57">
        <v>2878763.16</v>
      </c>
      <c r="BM722" s="47">
        <v>0</v>
      </c>
      <c r="BN722" s="9"/>
      <c r="BO722" s="9"/>
      <c r="BP722" s="9"/>
      <c r="BQ722" s="9"/>
      <c r="BR722" s="9"/>
      <c r="BS722" s="9"/>
      <c r="BT722" s="9"/>
      <c r="BU722" s="9"/>
      <c r="BV722" s="9"/>
      <c r="BW722" s="9"/>
    </row>
    <row r="723" spans="1:75" ht="141" hidden="1" outlineLevel="2" x14ac:dyDescent="0.25">
      <c r="A723" s="195" t="s">
        <v>795</v>
      </c>
      <c r="B723" s="110" t="s">
        <v>796</v>
      </c>
      <c r="C723" s="45">
        <v>2020</v>
      </c>
      <c r="D723" s="110" t="s">
        <v>77</v>
      </c>
      <c r="E723" s="47">
        <v>0</v>
      </c>
      <c r="F723" s="47">
        <v>0</v>
      </c>
      <c r="G723" s="47">
        <v>0</v>
      </c>
      <c r="H723" s="47">
        <v>0</v>
      </c>
      <c r="I723" s="47">
        <v>0</v>
      </c>
      <c r="J723" s="47">
        <v>0</v>
      </c>
      <c r="K723" s="47">
        <v>0</v>
      </c>
      <c r="L723" s="47">
        <v>0</v>
      </c>
      <c r="M723" s="47">
        <v>2638030.92</v>
      </c>
      <c r="N723" s="47">
        <v>0</v>
      </c>
      <c r="O723" s="47">
        <v>0</v>
      </c>
      <c r="P723" s="47">
        <v>0</v>
      </c>
      <c r="Q723" s="47">
        <v>0</v>
      </c>
      <c r="R723" s="47">
        <v>0</v>
      </c>
      <c r="S723" s="47">
        <v>0</v>
      </c>
      <c r="T723" s="47">
        <v>0</v>
      </c>
      <c r="U723" s="47">
        <v>0</v>
      </c>
      <c r="V723" s="47">
        <v>0</v>
      </c>
      <c r="W723" s="47">
        <v>0</v>
      </c>
      <c r="X723" s="47">
        <v>0</v>
      </c>
      <c r="Y723" s="48">
        <v>2638030.92</v>
      </c>
      <c r="Z723" s="49">
        <v>252885.85</v>
      </c>
      <c r="AA723" s="50">
        <v>252885.85</v>
      </c>
      <c r="AB723" s="50">
        <v>0</v>
      </c>
      <c r="AC723" s="50">
        <v>0</v>
      </c>
      <c r="AD723" s="50">
        <v>18436.080000000002</v>
      </c>
      <c r="AE723" s="50">
        <v>0</v>
      </c>
      <c r="AF723" s="50">
        <v>0</v>
      </c>
      <c r="AG723" s="49">
        <v>271321.93</v>
      </c>
      <c r="AH723" s="51" t="s">
        <v>104</v>
      </c>
      <c r="AI723" s="51" t="s">
        <v>74</v>
      </c>
      <c r="AJ723" s="51" t="s">
        <v>74</v>
      </c>
      <c r="AK723" s="51" t="s">
        <v>313</v>
      </c>
      <c r="AL723" s="51" t="s">
        <v>74</v>
      </c>
      <c r="AM723" s="51" t="s">
        <v>74</v>
      </c>
      <c r="AN723" s="52"/>
      <c r="AO723" s="52"/>
      <c r="AP723" s="52"/>
      <c r="AQ723" s="52"/>
      <c r="AR723" s="52"/>
      <c r="AS723" s="52">
        <v>0</v>
      </c>
      <c r="AT723" s="53" t="s">
        <v>74</v>
      </c>
      <c r="AU723" s="52">
        <v>0</v>
      </c>
      <c r="AV723" s="52"/>
      <c r="AW723" s="52">
        <v>383520</v>
      </c>
      <c r="AX723" s="52"/>
      <c r="AY723" s="52"/>
      <c r="AZ723" s="52">
        <v>0</v>
      </c>
      <c r="BA723" s="52">
        <v>383520</v>
      </c>
      <c r="BB723" s="54" t="s">
        <v>74</v>
      </c>
      <c r="BC723" s="53" t="s">
        <v>74</v>
      </c>
      <c r="BD723" s="55" t="s">
        <v>821</v>
      </c>
      <c r="BE723" s="55" t="s">
        <v>74</v>
      </c>
      <c r="BF723" s="55" t="s">
        <v>74</v>
      </c>
      <c r="BG723" s="55" t="s">
        <v>74</v>
      </c>
      <c r="BH723" s="52">
        <v>383520</v>
      </c>
      <c r="BI723" s="52">
        <v>2750228.99</v>
      </c>
      <c r="BJ723" s="52">
        <v>2366708.9900000002</v>
      </c>
      <c r="BK723" s="56">
        <v>43891</v>
      </c>
      <c r="BL723" s="57">
        <v>2750228.99</v>
      </c>
      <c r="BM723" s="47">
        <v>0</v>
      </c>
      <c r="BN723" s="9"/>
      <c r="BO723" s="9"/>
      <c r="BP723" s="9"/>
      <c r="BQ723" s="9"/>
      <c r="BR723" s="9"/>
      <c r="BS723" s="9"/>
      <c r="BT723" s="9"/>
      <c r="BU723" s="9"/>
      <c r="BV723" s="9"/>
      <c r="BW723" s="9"/>
    </row>
    <row r="724" spans="1:75" ht="166.5" hidden="1" outlineLevel="2" x14ac:dyDescent="0.25">
      <c r="A724" s="195" t="s">
        <v>795</v>
      </c>
      <c r="B724" s="110" t="s">
        <v>796</v>
      </c>
      <c r="C724" s="45">
        <v>2020</v>
      </c>
      <c r="D724" s="110" t="s">
        <v>79</v>
      </c>
      <c r="E724" s="47">
        <v>0</v>
      </c>
      <c r="F724" s="47">
        <v>0</v>
      </c>
      <c r="G724" s="47">
        <v>0</v>
      </c>
      <c r="H724" s="47">
        <v>0</v>
      </c>
      <c r="I724" s="47">
        <v>0</v>
      </c>
      <c r="J724" s="47">
        <v>0</v>
      </c>
      <c r="K724" s="47">
        <v>0</v>
      </c>
      <c r="L724" s="47">
        <v>0</v>
      </c>
      <c r="M724" s="47">
        <v>2638030.92</v>
      </c>
      <c r="N724" s="47">
        <v>0</v>
      </c>
      <c r="O724" s="47">
        <v>0</v>
      </c>
      <c r="P724" s="47">
        <v>0</v>
      </c>
      <c r="Q724" s="47">
        <v>0</v>
      </c>
      <c r="R724" s="47">
        <v>0</v>
      </c>
      <c r="S724" s="47">
        <v>0</v>
      </c>
      <c r="T724" s="47">
        <v>0</v>
      </c>
      <c r="U724" s="47">
        <v>0</v>
      </c>
      <c r="V724" s="47">
        <v>0</v>
      </c>
      <c r="W724" s="47">
        <v>0</v>
      </c>
      <c r="X724" s="47">
        <v>0</v>
      </c>
      <c r="Y724" s="48">
        <v>2638030.92</v>
      </c>
      <c r="Z724" s="49">
        <v>312463.92</v>
      </c>
      <c r="AA724" s="50">
        <v>307975.23</v>
      </c>
      <c r="AB724" s="50">
        <v>0</v>
      </c>
      <c r="AC724" s="50">
        <v>0</v>
      </c>
      <c r="AD724" s="50">
        <v>17212.87</v>
      </c>
      <c r="AE724" s="50">
        <v>0</v>
      </c>
      <c r="AF724" s="50">
        <v>0</v>
      </c>
      <c r="AG724" s="49">
        <v>325188.09999999998</v>
      </c>
      <c r="AH724" s="51" t="s">
        <v>822</v>
      </c>
      <c r="AI724" s="51" t="s">
        <v>74</v>
      </c>
      <c r="AJ724" s="51" t="s">
        <v>74</v>
      </c>
      <c r="AK724" s="51" t="s">
        <v>161</v>
      </c>
      <c r="AL724" s="51" t="s">
        <v>74</v>
      </c>
      <c r="AM724" s="51" t="s">
        <v>74</v>
      </c>
      <c r="AN724" s="52"/>
      <c r="AO724" s="52">
        <v>0</v>
      </c>
      <c r="AP724" s="52"/>
      <c r="AQ724" s="52"/>
      <c r="AR724" s="52"/>
      <c r="AS724" s="52">
        <v>0</v>
      </c>
      <c r="AT724" s="53" t="s">
        <v>74</v>
      </c>
      <c r="AU724" s="52">
        <v>0</v>
      </c>
      <c r="AV724" s="52"/>
      <c r="AW724" s="52">
        <v>45960</v>
      </c>
      <c r="AX724" s="52"/>
      <c r="AY724" s="52"/>
      <c r="AZ724" s="52">
        <v>0</v>
      </c>
      <c r="BA724" s="52">
        <v>45960</v>
      </c>
      <c r="BB724" s="55"/>
      <c r="BC724" s="51" t="s">
        <v>74</v>
      </c>
      <c r="BD724" s="53" t="s">
        <v>823</v>
      </c>
      <c r="BE724" s="54" t="s">
        <v>74</v>
      </c>
      <c r="BF724" s="54" t="s">
        <v>74</v>
      </c>
      <c r="BG724" s="54" t="s">
        <v>74</v>
      </c>
      <c r="BH724" s="52">
        <v>45960</v>
      </c>
      <c r="BI724" s="52">
        <v>2358802.8199999998</v>
      </c>
      <c r="BJ724" s="52">
        <v>2312842.8199999998</v>
      </c>
      <c r="BK724" s="56">
        <v>43922</v>
      </c>
      <c r="BL724" s="57">
        <v>2358802.8199999998</v>
      </c>
      <c r="BM724" s="47">
        <v>0</v>
      </c>
      <c r="BN724" s="9"/>
      <c r="BO724" s="9"/>
      <c r="BP724" s="9"/>
      <c r="BQ724" s="9"/>
      <c r="BR724" s="9"/>
      <c r="BS724" s="9"/>
      <c r="BT724" s="9"/>
      <c r="BU724" s="9"/>
      <c r="BV724" s="9"/>
      <c r="BW724" s="9"/>
    </row>
    <row r="725" spans="1:75" ht="64.5" hidden="1" outlineLevel="2" x14ac:dyDescent="0.25">
      <c r="A725" s="195" t="s">
        <v>795</v>
      </c>
      <c r="B725" s="110" t="s">
        <v>796</v>
      </c>
      <c r="C725" s="45">
        <v>2020</v>
      </c>
      <c r="D725" s="110" t="s">
        <v>81</v>
      </c>
      <c r="E725" s="47">
        <v>0</v>
      </c>
      <c r="F725" s="47">
        <v>0</v>
      </c>
      <c r="G725" s="47">
        <v>0</v>
      </c>
      <c r="H725" s="47">
        <v>0</v>
      </c>
      <c r="I725" s="47">
        <v>0</v>
      </c>
      <c r="J725" s="47">
        <v>0</v>
      </c>
      <c r="K725" s="47">
        <v>0</v>
      </c>
      <c r="L725" s="47">
        <v>0</v>
      </c>
      <c r="M725" s="47">
        <v>2638030.92</v>
      </c>
      <c r="N725" s="47">
        <v>0</v>
      </c>
      <c r="O725" s="47">
        <v>0</v>
      </c>
      <c r="P725" s="47">
        <v>0</v>
      </c>
      <c r="Q725" s="47">
        <v>0</v>
      </c>
      <c r="R725" s="47">
        <v>0</v>
      </c>
      <c r="S725" s="47">
        <v>0</v>
      </c>
      <c r="T725" s="47">
        <v>0</v>
      </c>
      <c r="U725" s="47">
        <v>0</v>
      </c>
      <c r="V725" s="47">
        <v>0</v>
      </c>
      <c r="W725" s="47">
        <v>0</v>
      </c>
      <c r="X725" s="47">
        <v>0</v>
      </c>
      <c r="Y725" s="48">
        <v>2638030.92</v>
      </c>
      <c r="Z725" s="60">
        <v>249031.87</v>
      </c>
      <c r="AA725" s="50">
        <v>249031.87</v>
      </c>
      <c r="AB725" s="50">
        <v>4488.6899999999996</v>
      </c>
      <c r="AC725" s="50">
        <v>0</v>
      </c>
      <c r="AD725" s="50">
        <v>16476.849999999999</v>
      </c>
      <c r="AE725" s="50">
        <v>0</v>
      </c>
      <c r="AF725" s="50">
        <v>0</v>
      </c>
      <c r="AG725" s="49">
        <v>269997.40999999997</v>
      </c>
      <c r="AH725" s="51" t="s">
        <v>104</v>
      </c>
      <c r="AI725" s="51" t="s">
        <v>389</v>
      </c>
      <c r="AJ725" s="51" t="s">
        <v>74</v>
      </c>
      <c r="AK725" s="51" t="s">
        <v>162</v>
      </c>
      <c r="AL725" s="51" t="s">
        <v>74</v>
      </c>
      <c r="AM725" s="51" t="s">
        <v>74</v>
      </c>
      <c r="AN725" s="52">
        <v>0</v>
      </c>
      <c r="AO725" s="52">
        <v>0</v>
      </c>
      <c r="AP725" s="52">
        <v>0</v>
      </c>
      <c r="AQ725" s="52">
        <v>0</v>
      </c>
      <c r="AR725" s="52">
        <v>0</v>
      </c>
      <c r="AS725" s="52">
        <v>0</v>
      </c>
      <c r="AT725" s="53" t="s">
        <v>74</v>
      </c>
      <c r="AU725" s="52">
        <v>0</v>
      </c>
      <c r="AV725" s="52"/>
      <c r="AW725" s="52">
        <v>0</v>
      </c>
      <c r="AX725" s="52"/>
      <c r="AY725" s="52"/>
      <c r="AZ725" s="52">
        <v>0</v>
      </c>
      <c r="BA725" s="52">
        <v>0</v>
      </c>
      <c r="BB725" s="54" t="s">
        <v>74</v>
      </c>
      <c r="BC725" s="53" t="s">
        <v>74</v>
      </c>
      <c r="BD725" s="55" t="s">
        <v>74</v>
      </c>
      <c r="BE725" s="55" t="s">
        <v>74</v>
      </c>
      <c r="BF725" s="55" t="s">
        <v>74</v>
      </c>
      <c r="BG725" s="55" t="s">
        <v>74</v>
      </c>
      <c r="BH725" s="52">
        <v>0</v>
      </c>
      <c r="BI725" s="52">
        <v>2368033.5099999998</v>
      </c>
      <c r="BJ725" s="52">
        <v>2368033.5099999998</v>
      </c>
      <c r="BK725" s="56">
        <v>43952</v>
      </c>
      <c r="BL725" s="57">
        <v>2368033.5099999998</v>
      </c>
      <c r="BM725" s="47">
        <v>0</v>
      </c>
      <c r="BN725" s="9"/>
      <c r="BO725" s="9"/>
      <c r="BP725" s="9"/>
      <c r="BQ725" s="9"/>
      <c r="BR725" s="9"/>
      <c r="BS725" s="9"/>
      <c r="BT725" s="9"/>
      <c r="BU725" s="9"/>
      <c r="BV725" s="9"/>
      <c r="BW725" s="9"/>
    </row>
    <row r="726" spans="1:75" ht="51.75" hidden="1" outlineLevel="2" x14ac:dyDescent="0.25">
      <c r="A726" s="195" t="s">
        <v>795</v>
      </c>
      <c r="B726" s="110" t="s">
        <v>796</v>
      </c>
      <c r="C726" s="45">
        <v>2020</v>
      </c>
      <c r="D726" s="110" t="s">
        <v>83</v>
      </c>
      <c r="E726" s="47">
        <v>0</v>
      </c>
      <c r="F726" s="47">
        <v>0</v>
      </c>
      <c r="G726" s="47">
        <v>0</v>
      </c>
      <c r="H726" s="47">
        <v>0</v>
      </c>
      <c r="I726" s="47">
        <v>0</v>
      </c>
      <c r="J726" s="47">
        <v>0</v>
      </c>
      <c r="K726" s="47">
        <v>0</v>
      </c>
      <c r="L726" s="47">
        <v>0</v>
      </c>
      <c r="M726" s="47">
        <v>2638030.92</v>
      </c>
      <c r="N726" s="47">
        <v>0</v>
      </c>
      <c r="O726" s="47">
        <v>0</v>
      </c>
      <c r="P726" s="47">
        <v>0</v>
      </c>
      <c r="Q726" s="47">
        <v>0</v>
      </c>
      <c r="R726" s="47">
        <v>0</v>
      </c>
      <c r="S726" s="47">
        <v>0</v>
      </c>
      <c r="T726" s="47">
        <v>0</v>
      </c>
      <c r="U726" s="47">
        <v>0</v>
      </c>
      <c r="V726" s="47">
        <v>0</v>
      </c>
      <c r="W726" s="47">
        <v>0</v>
      </c>
      <c r="X726" s="47">
        <v>0</v>
      </c>
      <c r="Y726" s="48">
        <v>2638030.92</v>
      </c>
      <c r="Z726" s="49">
        <v>258891.12</v>
      </c>
      <c r="AA726" s="50">
        <v>258891.12</v>
      </c>
      <c r="AB726" s="50">
        <v>50</v>
      </c>
      <c r="AC726" s="50">
        <v>0</v>
      </c>
      <c r="AD726" s="62">
        <v>14442.74</v>
      </c>
      <c r="AE726" s="50">
        <v>0</v>
      </c>
      <c r="AF726" s="50">
        <v>0</v>
      </c>
      <c r="AG726" s="49">
        <v>273383.86</v>
      </c>
      <c r="AH726" s="51" t="s">
        <v>104</v>
      </c>
      <c r="AI726" s="51" t="s">
        <v>824</v>
      </c>
      <c r="AJ726" s="51" t="s">
        <v>74</v>
      </c>
      <c r="AK726" s="51" t="s">
        <v>163</v>
      </c>
      <c r="AL726" s="51" t="s">
        <v>74</v>
      </c>
      <c r="AM726" s="51" t="s">
        <v>74</v>
      </c>
      <c r="AN726" s="52">
        <v>0</v>
      </c>
      <c r="AO726" s="52">
        <v>0</v>
      </c>
      <c r="AP726" s="52">
        <v>0</v>
      </c>
      <c r="AQ726" s="52">
        <v>0</v>
      </c>
      <c r="AR726" s="52">
        <v>0</v>
      </c>
      <c r="AS726" s="52">
        <v>0</v>
      </c>
      <c r="AT726" s="53" t="s">
        <v>74</v>
      </c>
      <c r="AU726" s="52">
        <v>0</v>
      </c>
      <c r="AV726" s="52"/>
      <c r="AW726" s="52">
        <v>0</v>
      </c>
      <c r="AX726" s="52"/>
      <c r="AY726" s="52"/>
      <c r="AZ726" s="52">
        <v>0</v>
      </c>
      <c r="BA726" s="52">
        <v>0</v>
      </c>
      <c r="BB726" s="54" t="s">
        <v>74</v>
      </c>
      <c r="BC726" s="53" t="s">
        <v>74</v>
      </c>
      <c r="BD726" s="55" t="s">
        <v>74</v>
      </c>
      <c r="BE726" s="55" t="s">
        <v>74</v>
      </c>
      <c r="BF726" s="55" t="s">
        <v>74</v>
      </c>
      <c r="BG726" s="55" t="s">
        <v>74</v>
      </c>
      <c r="BH726" s="52">
        <v>0</v>
      </c>
      <c r="BI726" s="52">
        <v>2364647.06</v>
      </c>
      <c r="BJ726" s="52">
        <v>2364647.06</v>
      </c>
      <c r="BK726" s="56">
        <v>43983</v>
      </c>
      <c r="BL726" s="57">
        <v>2364647.06</v>
      </c>
      <c r="BM726" s="47">
        <v>0</v>
      </c>
      <c r="BN726" s="9"/>
      <c r="BO726" s="9"/>
      <c r="BP726" s="9"/>
      <c r="BQ726" s="9"/>
      <c r="BR726" s="9"/>
      <c r="BS726" s="9"/>
      <c r="BT726" s="9"/>
      <c r="BU726" s="9"/>
      <c r="BV726" s="9"/>
      <c r="BW726" s="9"/>
    </row>
    <row r="727" spans="1:75" ht="26.25" hidden="1" outlineLevel="2" x14ac:dyDescent="0.25">
      <c r="A727" s="195" t="s">
        <v>795</v>
      </c>
      <c r="B727" s="110" t="s">
        <v>796</v>
      </c>
      <c r="C727" s="45">
        <v>2020</v>
      </c>
      <c r="D727" s="110" t="s">
        <v>84</v>
      </c>
      <c r="E727" s="47">
        <v>0</v>
      </c>
      <c r="F727" s="47">
        <v>0</v>
      </c>
      <c r="G727" s="47">
        <v>0</v>
      </c>
      <c r="H727" s="47">
        <v>0</v>
      </c>
      <c r="I727" s="47">
        <v>0</v>
      </c>
      <c r="J727" s="47">
        <v>0</v>
      </c>
      <c r="K727" s="47">
        <v>0</v>
      </c>
      <c r="L727" s="47">
        <v>0</v>
      </c>
      <c r="M727" s="47">
        <v>2638030.92</v>
      </c>
      <c r="N727" s="47">
        <v>0</v>
      </c>
      <c r="O727" s="47">
        <v>0</v>
      </c>
      <c r="P727" s="47">
        <v>0</v>
      </c>
      <c r="Q727" s="47">
        <v>0</v>
      </c>
      <c r="R727" s="47">
        <v>0</v>
      </c>
      <c r="S727" s="47">
        <v>0</v>
      </c>
      <c r="T727" s="47">
        <v>0</v>
      </c>
      <c r="U727" s="47">
        <v>0</v>
      </c>
      <c r="V727" s="47">
        <v>0</v>
      </c>
      <c r="W727" s="47">
        <v>0</v>
      </c>
      <c r="X727" s="47">
        <v>0</v>
      </c>
      <c r="Y727" s="48">
        <v>2638030.92</v>
      </c>
      <c r="Z727" s="49">
        <v>259936.06</v>
      </c>
      <c r="AA727" s="50">
        <v>259936.06</v>
      </c>
      <c r="AB727" s="50">
        <v>0</v>
      </c>
      <c r="AC727" s="50">
        <v>0</v>
      </c>
      <c r="AD727" s="62">
        <v>12530.89</v>
      </c>
      <c r="AE727" s="50">
        <v>0</v>
      </c>
      <c r="AF727" s="50">
        <v>0</v>
      </c>
      <c r="AG727" s="49">
        <v>272466.95</v>
      </c>
      <c r="AH727" s="51" t="s">
        <v>104</v>
      </c>
      <c r="AI727" s="51" t="s">
        <v>74</v>
      </c>
      <c r="AJ727" s="51" t="s">
        <v>74</v>
      </c>
      <c r="AK727" s="51" t="s">
        <v>165</v>
      </c>
      <c r="AL727" s="51" t="s">
        <v>74</v>
      </c>
      <c r="AM727" s="51" t="s">
        <v>74</v>
      </c>
      <c r="AN727" s="52">
        <v>0</v>
      </c>
      <c r="AO727" s="52">
        <v>0</v>
      </c>
      <c r="AP727" s="52">
        <v>0</v>
      </c>
      <c r="AQ727" s="52">
        <v>0</v>
      </c>
      <c r="AR727" s="52">
        <v>0</v>
      </c>
      <c r="AS727" s="52">
        <v>0</v>
      </c>
      <c r="AT727" s="53" t="s">
        <v>74</v>
      </c>
      <c r="AU727" s="52">
        <v>0</v>
      </c>
      <c r="AV727" s="52"/>
      <c r="AW727" s="52">
        <v>0</v>
      </c>
      <c r="AX727" s="52"/>
      <c r="AY727" s="52"/>
      <c r="AZ727" s="52">
        <v>0</v>
      </c>
      <c r="BA727" s="52">
        <v>0</v>
      </c>
      <c r="BB727" s="54" t="s">
        <v>74</v>
      </c>
      <c r="BC727" s="53" t="s">
        <v>74</v>
      </c>
      <c r="BD727" s="55" t="s">
        <v>74</v>
      </c>
      <c r="BE727" s="55" t="s">
        <v>74</v>
      </c>
      <c r="BF727" s="55" t="s">
        <v>74</v>
      </c>
      <c r="BG727" s="55" t="s">
        <v>74</v>
      </c>
      <c r="BH727" s="52">
        <v>0</v>
      </c>
      <c r="BI727" s="52">
        <v>2365563.9700000002</v>
      </c>
      <c r="BJ727" s="52">
        <v>2365563.9700000002</v>
      </c>
      <c r="BK727" s="56">
        <v>44013</v>
      </c>
      <c r="BL727" s="57">
        <v>2365563.9700000002</v>
      </c>
      <c r="BM727" s="47">
        <v>0</v>
      </c>
      <c r="BN727" s="9"/>
      <c r="BO727" s="9"/>
      <c r="BP727" s="9"/>
      <c r="BQ727" s="9"/>
      <c r="BR727" s="9"/>
      <c r="BS727" s="9"/>
      <c r="BT727" s="9"/>
      <c r="BU727" s="9"/>
      <c r="BV727" s="9"/>
      <c r="BW727" s="9"/>
    </row>
    <row r="728" spans="1:75" ht="26.25" hidden="1" outlineLevel="2" x14ac:dyDescent="0.25">
      <c r="A728" s="195" t="s">
        <v>795</v>
      </c>
      <c r="B728" s="110" t="s">
        <v>796</v>
      </c>
      <c r="C728" s="45">
        <v>2020</v>
      </c>
      <c r="D728" s="110" t="s">
        <v>86</v>
      </c>
      <c r="E728" s="47">
        <v>0</v>
      </c>
      <c r="F728" s="47">
        <v>0</v>
      </c>
      <c r="G728" s="47">
        <v>0</v>
      </c>
      <c r="H728" s="47">
        <v>0</v>
      </c>
      <c r="I728" s="47">
        <v>0</v>
      </c>
      <c r="J728" s="47">
        <v>0</v>
      </c>
      <c r="K728" s="47">
        <v>0</v>
      </c>
      <c r="L728" s="47">
        <v>0</v>
      </c>
      <c r="M728" s="47">
        <v>2638030.92</v>
      </c>
      <c r="N728" s="47">
        <v>0</v>
      </c>
      <c r="O728" s="47">
        <v>0</v>
      </c>
      <c r="P728" s="47">
        <v>0</v>
      </c>
      <c r="Q728" s="47">
        <v>0</v>
      </c>
      <c r="R728" s="47">
        <v>0</v>
      </c>
      <c r="S728" s="47">
        <v>0</v>
      </c>
      <c r="T728" s="47">
        <v>0</v>
      </c>
      <c r="U728" s="47">
        <v>0</v>
      </c>
      <c r="V728" s="47">
        <v>0</v>
      </c>
      <c r="W728" s="47">
        <v>0</v>
      </c>
      <c r="X728" s="47">
        <v>0</v>
      </c>
      <c r="Y728" s="48">
        <v>2638030.92</v>
      </c>
      <c r="Z728" s="65">
        <v>257042.68</v>
      </c>
      <c r="AA728" s="61">
        <v>257042.68</v>
      </c>
      <c r="AB728" s="50">
        <v>0</v>
      </c>
      <c r="AC728" s="50">
        <v>0</v>
      </c>
      <c r="AD728" s="62">
        <v>13147.83</v>
      </c>
      <c r="AE728" s="50">
        <v>0</v>
      </c>
      <c r="AF728" s="50">
        <v>0</v>
      </c>
      <c r="AG728" s="49">
        <v>270190.51</v>
      </c>
      <c r="AH728" s="51" t="s">
        <v>104</v>
      </c>
      <c r="AI728" s="51" t="s">
        <v>74</v>
      </c>
      <c r="AJ728" s="51" t="s">
        <v>74</v>
      </c>
      <c r="AK728" s="51" t="s">
        <v>168</v>
      </c>
      <c r="AL728" s="51" t="s">
        <v>74</v>
      </c>
      <c r="AM728" s="51" t="s">
        <v>74</v>
      </c>
      <c r="AN728" s="52">
        <v>0</v>
      </c>
      <c r="AO728" s="52">
        <v>0</v>
      </c>
      <c r="AP728" s="52">
        <v>0</v>
      </c>
      <c r="AQ728" s="52">
        <v>0</v>
      </c>
      <c r="AR728" s="52">
        <v>0</v>
      </c>
      <c r="AS728" s="52"/>
      <c r="AT728" s="53" t="s">
        <v>74</v>
      </c>
      <c r="AU728" s="52">
        <v>0</v>
      </c>
      <c r="AV728" s="52"/>
      <c r="AW728" s="52">
        <v>0</v>
      </c>
      <c r="AX728" s="52"/>
      <c r="AY728" s="52"/>
      <c r="AZ728" s="52">
        <v>0</v>
      </c>
      <c r="BA728" s="52">
        <v>0</v>
      </c>
      <c r="BB728" s="54" t="s">
        <v>74</v>
      </c>
      <c r="BC728" s="53" t="s">
        <v>74</v>
      </c>
      <c r="BD728" s="55" t="s">
        <v>74</v>
      </c>
      <c r="BE728" s="55" t="s">
        <v>74</v>
      </c>
      <c r="BF728" s="55" t="s">
        <v>74</v>
      </c>
      <c r="BG728" s="55" t="s">
        <v>74</v>
      </c>
      <c r="BH728" s="52">
        <v>0</v>
      </c>
      <c r="BI728" s="52">
        <v>2367840.41</v>
      </c>
      <c r="BJ728" s="52">
        <v>2367840.41</v>
      </c>
      <c r="BK728" s="56">
        <v>44044</v>
      </c>
      <c r="BL728" s="63">
        <v>2367840.41</v>
      </c>
      <c r="BM728" s="47">
        <v>0</v>
      </c>
      <c r="BN728" s="9"/>
      <c r="BO728" s="9"/>
      <c r="BP728" s="9"/>
      <c r="BQ728" s="9"/>
      <c r="BR728" s="9"/>
      <c r="BS728" s="9"/>
      <c r="BT728" s="9"/>
      <c r="BU728" s="9"/>
      <c r="BV728" s="9"/>
      <c r="BW728" s="9"/>
    </row>
    <row r="729" spans="1:75" ht="26.25" hidden="1" outlineLevel="2" x14ac:dyDescent="0.25">
      <c r="A729" s="195" t="s">
        <v>795</v>
      </c>
      <c r="B729" s="110" t="s">
        <v>796</v>
      </c>
      <c r="C729" s="45">
        <v>2020</v>
      </c>
      <c r="D729" s="110" t="s">
        <v>88</v>
      </c>
      <c r="E729" s="47">
        <v>0</v>
      </c>
      <c r="F729" s="47">
        <v>0</v>
      </c>
      <c r="G729" s="47">
        <v>0</v>
      </c>
      <c r="H729" s="47">
        <v>0</v>
      </c>
      <c r="I729" s="47">
        <v>0</v>
      </c>
      <c r="J729" s="47">
        <v>0</v>
      </c>
      <c r="K729" s="47">
        <v>0</v>
      </c>
      <c r="L729" s="47">
        <v>0</v>
      </c>
      <c r="M729" s="47">
        <v>2638030.92</v>
      </c>
      <c r="N729" s="47">
        <v>0</v>
      </c>
      <c r="O729" s="47">
        <v>0</v>
      </c>
      <c r="P729" s="47">
        <v>0</v>
      </c>
      <c r="Q729" s="47">
        <v>0</v>
      </c>
      <c r="R729" s="47">
        <v>0</v>
      </c>
      <c r="S729" s="47">
        <v>0</v>
      </c>
      <c r="T729" s="47">
        <v>0</v>
      </c>
      <c r="U729" s="47">
        <v>0</v>
      </c>
      <c r="V729" s="47">
        <v>0</v>
      </c>
      <c r="W729" s="47">
        <v>0</v>
      </c>
      <c r="X729" s="47">
        <v>0</v>
      </c>
      <c r="Y729" s="48">
        <v>2638030.92</v>
      </c>
      <c r="Z729" s="66">
        <v>261675.42</v>
      </c>
      <c r="AA729" s="62">
        <v>261675.42</v>
      </c>
      <c r="AB729" s="50">
        <v>0</v>
      </c>
      <c r="AC729" s="50">
        <v>0</v>
      </c>
      <c r="AD729" s="62">
        <v>13377.26</v>
      </c>
      <c r="AE729" s="50">
        <v>0</v>
      </c>
      <c r="AF729" s="50">
        <v>0</v>
      </c>
      <c r="AG729" s="49">
        <v>275052.68</v>
      </c>
      <c r="AH729" s="51" t="s">
        <v>104</v>
      </c>
      <c r="AI729" s="51" t="s">
        <v>74</v>
      </c>
      <c r="AJ729" s="51" t="s">
        <v>74</v>
      </c>
      <c r="AK729" s="51" t="s">
        <v>170</v>
      </c>
      <c r="AL729" s="51" t="s">
        <v>74</v>
      </c>
      <c r="AM729" s="51" t="s">
        <v>74</v>
      </c>
      <c r="AN729" s="52">
        <v>0</v>
      </c>
      <c r="AO729" s="52">
        <v>0</v>
      </c>
      <c r="AP729" s="52">
        <v>0</v>
      </c>
      <c r="AQ729" s="52">
        <v>0</v>
      </c>
      <c r="AR729" s="52">
        <v>0</v>
      </c>
      <c r="AS729" s="52"/>
      <c r="AT729" s="53" t="s">
        <v>74</v>
      </c>
      <c r="AU729" s="52">
        <v>0</v>
      </c>
      <c r="AV729" s="52"/>
      <c r="AW729" s="52">
        <v>0</v>
      </c>
      <c r="AX729" s="52"/>
      <c r="AY729" s="52"/>
      <c r="AZ729" s="52">
        <v>0</v>
      </c>
      <c r="BA729" s="52">
        <v>0</v>
      </c>
      <c r="BB729" s="54" t="s">
        <v>74</v>
      </c>
      <c r="BC729" s="53" t="s">
        <v>74</v>
      </c>
      <c r="BD729" s="55" t="s">
        <v>74</v>
      </c>
      <c r="BE729" s="55" t="s">
        <v>74</v>
      </c>
      <c r="BF729" s="55" t="s">
        <v>74</v>
      </c>
      <c r="BG729" s="55" t="s">
        <v>74</v>
      </c>
      <c r="BH729" s="52">
        <v>0</v>
      </c>
      <c r="BI729" s="52">
        <v>2362978.2400000002</v>
      </c>
      <c r="BJ729" s="52">
        <v>2362978.2400000002</v>
      </c>
      <c r="BK729" s="56">
        <v>44075</v>
      </c>
      <c r="BL729" s="63">
        <v>2362978.2400000002</v>
      </c>
      <c r="BM729" s="47">
        <v>0</v>
      </c>
      <c r="BN729" s="9"/>
      <c r="BO729" s="9"/>
      <c r="BP729" s="9"/>
      <c r="BQ729" s="9"/>
      <c r="BR729" s="9"/>
      <c r="BS729" s="9"/>
      <c r="BT729" s="9"/>
      <c r="BU729" s="9"/>
      <c r="BV729" s="9"/>
      <c r="BW729" s="9"/>
    </row>
    <row r="730" spans="1:75" ht="217.5" hidden="1" outlineLevel="2" x14ac:dyDescent="0.25">
      <c r="A730" s="195" t="s">
        <v>795</v>
      </c>
      <c r="B730" s="110" t="s">
        <v>796</v>
      </c>
      <c r="C730" s="45">
        <v>2020</v>
      </c>
      <c r="D730" s="110" t="s">
        <v>89</v>
      </c>
      <c r="E730" s="47">
        <v>0</v>
      </c>
      <c r="F730" s="47">
        <v>0</v>
      </c>
      <c r="G730" s="47">
        <v>0</v>
      </c>
      <c r="H730" s="47">
        <v>0</v>
      </c>
      <c r="I730" s="47">
        <v>0</v>
      </c>
      <c r="J730" s="47">
        <v>0</v>
      </c>
      <c r="K730" s="47">
        <v>0</v>
      </c>
      <c r="L730" s="47">
        <v>0</v>
      </c>
      <c r="M730" s="47">
        <v>2638030.92</v>
      </c>
      <c r="N730" s="47">
        <v>0</v>
      </c>
      <c r="O730" s="47">
        <v>0</v>
      </c>
      <c r="P730" s="47">
        <v>0</v>
      </c>
      <c r="Q730" s="47">
        <v>0</v>
      </c>
      <c r="R730" s="47">
        <v>0</v>
      </c>
      <c r="S730" s="47">
        <v>0</v>
      </c>
      <c r="T730" s="47">
        <v>0</v>
      </c>
      <c r="U730" s="47">
        <v>0</v>
      </c>
      <c r="V730" s="47">
        <v>0</v>
      </c>
      <c r="W730" s="47">
        <v>0</v>
      </c>
      <c r="X730" s="47">
        <v>0</v>
      </c>
      <c r="Y730" s="48">
        <v>2638030.92</v>
      </c>
      <c r="Z730" s="66">
        <v>270925.07</v>
      </c>
      <c r="AA730" s="62">
        <v>270925.07</v>
      </c>
      <c r="AB730" s="50">
        <v>0</v>
      </c>
      <c r="AC730" s="50">
        <v>0</v>
      </c>
      <c r="AD730" s="62">
        <v>18475.080000000002</v>
      </c>
      <c r="AE730" s="50">
        <v>0</v>
      </c>
      <c r="AF730" s="50">
        <v>673354.58</v>
      </c>
      <c r="AG730" s="49">
        <v>962754.73</v>
      </c>
      <c r="AH730" s="51" t="s">
        <v>104</v>
      </c>
      <c r="AI730" s="51" t="s">
        <v>74</v>
      </c>
      <c r="AJ730" s="51" t="s">
        <v>74</v>
      </c>
      <c r="AK730" s="51" t="s">
        <v>172</v>
      </c>
      <c r="AL730" s="51" t="s">
        <v>74</v>
      </c>
      <c r="AM730" s="51" t="s">
        <v>825</v>
      </c>
      <c r="AN730" s="52">
        <v>0</v>
      </c>
      <c r="AO730" s="52">
        <v>0</v>
      </c>
      <c r="AP730" s="52">
        <v>0</v>
      </c>
      <c r="AQ730" s="52">
        <v>0</v>
      </c>
      <c r="AR730" s="52">
        <v>0</v>
      </c>
      <c r="AS730" s="52"/>
      <c r="AT730" s="53" t="s">
        <v>74</v>
      </c>
      <c r="AU730" s="52">
        <v>0</v>
      </c>
      <c r="AV730" s="52"/>
      <c r="AW730" s="52">
        <v>0</v>
      </c>
      <c r="AX730" s="52"/>
      <c r="AY730" s="52"/>
      <c r="AZ730" s="52">
        <v>0</v>
      </c>
      <c r="BA730" s="52">
        <v>0</v>
      </c>
      <c r="BB730" s="54" t="s">
        <v>74</v>
      </c>
      <c r="BC730" s="53" t="s">
        <v>74</v>
      </c>
      <c r="BD730" s="55" t="s">
        <v>74</v>
      </c>
      <c r="BE730" s="55" t="s">
        <v>74</v>
      </c>
      <c r="BF730" s="55" t="s">
        <v>74</v>
      </c>
      <c r="BG730" s="55" t="s">
        <v>74</v>
      </c>
      <c r="BH730" s="52">
        <v>0</v>
      </c>
      <c r="BI730" s="52">
        <v>1675276.19</v>
      </c>
      <c r="BJ730" s="52">
        <v>1675276.19</v>
      </c>
      <c r="BK730" s="56">
        <v>44105</v>
      </c>
      <c r="BL730" s="63">
        <v>1675276.19</v>
      </c>
      <c r="BM730" s="47">
        <v>0</v>
      </c>
      <c r="BN730" s="9"/>
      <c r="BO730" s="9"/>
      <c r="BP730" s="9"/>
      <c r="BQ730" s="9"/>
      <c r="BR730" s="9"/>
      <c r="BS730" s="9"/>
      <c r="BT730" s="9"/>
      <c r="BU730" s="9"/>
      <c r="BV730" s="9"/>
      <c r="BW730" s="9"/>
    </row>
    <row r="731" spans="1:75" ht="115.5" hidden="1" outlineLevel="2" x14ac:dyDescent="0.25">
      <c r="A731" s="195" t="s">
        <v>795</v>
      </c>
      <c r="B731" s="110" t="s">
        <v>796</v>
      </c>
      <c r="C731" s="45">
        <v>2020</v>
      </c>
      <c r="D731" s="110" t="s">
        <v>90</v>
      </c>
      <c r="E731" s="47">
        <v>0</v>
      </c>
      <c r="F731" s="47">
        <v>0</v>
      </c>
      <c r="G731" s="47">
        <v>0</v>
      </c>
      <c r="H731" s="47">
        <v>0</v>
      </c>
      <c r="I731" s="47">
        <v>0</v>
      </c>
      <c r="J731" s="47">
        <v>0</v>
      </c>
      <c r="K731" s="47">
        <v>0</v>
      </c>
      <c r="L731" s="47">
        <v>0</v>
      </c>
      <c r="M731" s="47">
        <v>2638030.92</v>
      </c>
      <c r="N731" s="47">
        <v>0</v>
      </c>
      <c r="O731" s="47">
        <v>0</v>
      </c>
      <c r="P731" s="47">
        <v>0</v>
      </c>
      <c r="Q731" s="47">
        <v>0</v>
      </c>
      <c r="R731" s="47">
        <v>0</v>
      </c>
      <c r="S731" s="47">
        <v>0</v>
      </c>
      <c r="T731" s="47">
        <v>0</v>
      </c>
      <c r="U731" s="47">
        <v>0</v>
      </c>
      <c r="V731" s="47">
        <v>0</v>
      </c>
      <c r="W731" s="47">
        <v>0</v>
      </c>
      <c r="X731" s="47">
        <v>0</v>
      </c>
      <c r="Y731" s="48">
        <v>2638030.92</v>
      </c>
      <c r="Z731" s="66">
        <v>273118.33</v>
      </c>
      <c r="AA731" s="62">
        <v>273118.33</v>
      </c>
      <c r="AB731" s="50">
        <v>0</v>
      </c>
      <c r="AC731" s="50">
        <v>0</v>
      </c>
      <c r="AD731" s="62">
        <v>20452.09</v>
      </c>
      <c r="AE731" s="50">
        <v>0</v>
      </c>
      <c r="AF731" s="50">
        <v>336677.29</v>
      </c>
      <c r="AG731" s="49">
        <v>630247.71</v>
      </c>
      <c r="AH731" s="51" t="s">
        <v>173</v>
      </c>
      <c r="AI731" s="51" t="s">
        <v>74</v>
      </c>
      <c r="AJ731" s="51" t="s">
        <v>74</v>
      </c>
      <c r="AK731" s="51" t="s">
        <v>175</v>
      </c>
      <c r="AL731" s="51" t="s">
        <v>74</v>
      </c>
      <c r="AM731" s="51" t="s">
        <v>826</v>
      </c>
      <c r="AN731" s="52">
        <v>0</v>
      </c>
      <c r="AO731" s="52">
        <v>0</v>
      </c>
      <c r="AP731" s="52">
        <v>0</v>
      </c>
      <c r="AQ731" s="52">
        <v>0</v>
      </c>
      <c r="AR731" s="52">
        <v>0</v>
      </c>
      <c r="AS731" s="52"/>
      <c r="AT731" s="53" t="s">
        <v>74</v>
      </c>
      <c r="AU731" s="52">
        <v>0</v>
      </c>
      <c r="AV731" s="52"/>
      <c r="AW731" s="52">
        <v>0</v>
      </c>
      <c r="AX731" s="52"/>
      <c r="AY731" s="52"/>
      <c r="AZ731" s="52">
        <v>0</v>
      </c>
      <c r="BA731" s="52">
        <v>0</v>
      </c>
      <c r="BB731" s="54" t="s">
        <v>74</v>
      </c>
      <c r="BC731" s="53" t="s">
        <v>74</v>
      </c>
      <c r="BD731" s="55" t="s">
        <v>74</v>
      </c>
      <c r="BE731" s="55" t="s">
        <v>74</v>
      </c>
      <c r="BF731" s="55" t="s">
        <v>74</v>
      </c>
      <c r="BG731" s="55" t="s">
        <v>74</v>
      </c>
      <c r="BH731" s="52">
        <v>0</v>
      </c>
      <c r="BI731" s="52">
        <v>2007783.21</v>
      </c>
      <c r="BJ731" s="52">
        <v>2007783.21</v>
      </c>
      <c r="BK731" s="56">
        <v>44136</v>
      </c>
      <c r="BL731" s="63">
        <v>2007783.21</v>
      </c>
      <c r="BM731" s="47">
        <v>0</v>
      </c>
      <c r="BN731" s="9"/>
      <c r="BO731" s="9"/>
      <c r="BP731" s="9"/>
      <c r="BQ731" s="9"/>
      <c r="BR731" s="9"/>
      <c r="BS731" s="9"/>
      <c r="BT731" s="9"/>
      <c r="BU731" s="9"/>
      <c r="BV731" s="9"/>
      <c r="BW731" s="9"/>
    </row>
    <row r="732" spans="1:75" ht="115.5" hidden="1" outlineLevel="2" x14ac:dyDescent="0.25">
      <c r="A732" s="195" t="s">
        <v>795</v>
      </c>
      <c r="B732" s="110" t="s">
        <v>796</v>
      </c>
      <c r="C732" s="45">
        <v>2020</v>
      </c>
      <c r="D732" s="110" t="s">
        <v>93</v>
      </c>
      <c r="E732" s="47">
        <v>0</v>
      </c>
      <c r="F732" s="47">
        <v>0</v>
      </c>
      <c r="G732" s="47">
        <v>0</v>
      </c>
      <c r="H732" s="47">
        <v>0</v>
      </c>
      <c r="I732" s="47">
        <v>0</v>
      </c>
      <c r="J732" s="47">
        <v>0</v>
      </c>
      <c r="K732" s="47">
        <v>0</v>
      </c>
      <c r="L732" s="47">
        <v>0</v>
      </c>
      <c r="M732" s="47">
        <v>2638030.92</v>
      </c>
      <c r="N732" s="47">
        <v>0</v>
      </c>
      <c r="O732" s="47">
        <v>0</v>
      </c>
      <c r="P732" s="47">
        <v>0</v>
      </c>
      <c r="Q732" s="47">
        <v>0</v>
      </c>
      <c r="R732" s="47">
        <v>0</v>
      </c>
      <c r="S732" s="47">
        <v>0</v>
      </c>
      <c r="T732" s="47">
        <v>0</v>
      </c>
      <c r="U732" s="47">
        <v>0</v>
      </c>
      <c r="V732" s="47">
        <v>0</v>
      </c>
      <c r="W732" s="47">
        <v>0</v>
      </c>
      <c r="X732" s="47">
        <v>0</v>
      </c>
      <c r="Y732" s="48">
        <v>2638030.92</v>
      </c>
      <c r="Z732" s="67">
        <v>263164.32</v>
      </c>
      <c r="AA732" s="62">
        <v>263164.32</v>
      </c>
      <c r="AB732" s="50">
        <v>0</v>
      </c>
      <c r="AC732" s="50">
        <v>0</v>
      </c>
      <c r="AD732" s="62">
        <v>38380.82</v>
      </c>
      <c r="AE732" s="50">
        <v>0</v>
      </c>
      <c r="AF732" s="50">
        <v>336677.29</v>
      </c>
      <c r="AG732" s="49">
        <v>638222.43000000005</v>
      </c>
      <c r="AH732" s="51" t="s">
        <v>104</v>
      </c>
      <c r="AI732" s="51" t="s">
        <v>74</v>
      </c>
      <c r="AJ732" s="51" t="s">
        <v>74</v>
      </c>
      <c r="AK732" s="51" t="s">
        <v>827</v>
      </c>
      <c r="AL732" s="51" t="s">
        <v>74</v>
      </c>
      <c r="AM732" s="51" t="s">
        <v>828</v>
      </c>
      <c r="AN732" s="52">
        <v>0</v>
      </c>
      <c r="AO732" s="52">
        <v>0</v>
      </c>
      <c r="AP732" s="52">
        <v>0</v>
      </c>
      <c r="AQ732" s="52">
        <v>0</v>
      </c>
      <c r="AR732" s="52">
        <v>0</v>
      </c>
      <c r="AS732" s="52"/>
      <c r="AT732" s="53" t="s">
        <v>74</v>
      </c>
      <c r="AU732" s="52">
        <v>0</v>
      </c>
      <c r="AV732" s="52"/>
      <c r="AW732" s="52">
        <v>0</v>
      </c>
      <c r="AX732" s="52"/>
      <c r="AY732" s="52"/>
      <c r="AZ732" s="52">
        <v>0</v>
      </c>
      <c r="BA732" s="52">
        <v>0</v>
      </c>
      <c r="BB732" s="54" t="s">
        <v>74</v>
      </c>
      <c r="BC732" s="53" t="s">
        <v>74</v>
      </c>
      <c r="BD732" s="55" t="s">
        <v>74</v>
      </c>
      <c r="BE732" s="55" t="s">
        <v>74</v>
      </c>
      <c r="BF732" s="55" t="s">
        <v>74</v>
      </c>
      <c r="BG732" s="55" t="s">
        <v>74</v>
      </c>
      <c r="BH732" s="52">
        <v>0</v>
      </c>
      <c r="BI732" s="52">
        <v>1999808.49</v>
      </c>
      <c r="BJ732" s="52">
        <v>1999808.49</v>
      </c>
      <c r="BK732" s="56">
        <v>44166</v>
      </c>
      <c r="BL732" s="63">
        <v>1999808.49</v>
      </c>
      <c r="BM732" s="47">
        <v>0</v>
      </c>
      <c r="BN732" s="9"/>
      <c r="BO732" s="9"/>
      <c r="BP732" s="9"/>
      <c r="BQ732" s="9"/>
      <c r="BR732" s="9"/>
      <c r="BS732" s="9"/>
      <c r="BT732" s="9"/>
      <c r="BU732" s="9"/>
      <c r="BV732" s="9"/>
      <c r="BW732" s="9"/>
    </row>
    <row r="733" spans="1:75" ht="179.25" hidden="1" outlineLevel="2" x14ac:dyDescent="0.25">
      <c r="A733" s="196" t="s">
        <v>795</v>
      </c>
      <c r="B733" s="116" t="s">
        <v>796</v>
      </c>
      <c r="C733" s="73">
        <v>2021</v>
      </c>
      <c r="D733" s="116" t="s">
        <v>73</v>
      </c>
      <c r="E733" s="75">
        <v>0</v>
      </c>
      <c r="F733" s="75">
        <v>0</v>
      </c>
      <c r="G733" s="75">
        <v>0</v>
      </c>
      <c r="H733" s="75">
        <v>0</v>
      </c>
      <c r="I733" s="75">
        <v>0</v>
      </c>
      <c r="J733" s="75">
        <v>0</v>
      </c>
      <c r="K733" s="75">
        <v>0</v>
      </c>
      <c r="L733" s="75">
        <v>0</v>
      </c>
      <c r="M733" s="75">
        <v>2638030.92</v>
      </c>
      <c r="N733" s="75">
        <v>0</v>
      </c>
      <c r="O733" s="75">
        <v>0</v>
      </c>
      <c r="P733" s="75">
        <v>0</v>
      </c>
      <c r="Q733" s="75">
        <v>0</v>
      </c>
      <c r="R733" s="75">
        <v>0</v>
      </c>
      <c r="S733" s="75">
        <v>0</v>
      </c>
      <c r="T733" s="75">
        <v>0</v>
      </c>
      <c r="U733" s="75">
        <v>0</v>
      </c>
      <c r="V733" s="75">
        <v>0</v>
      </c>
      <c r="W733" s="75">
        <v>0</v>
      </c>
      <c r="X733" s="75">
        <v>0</v>
      </c>
      <c r="Y733" s="76">
        <f>SUM(E733:X733)</f>
        <v>2638030.92</v>
      </c>
      <c r="Z733" s="67">
        <v>268485.23</v>
      </c>
      <c r="AA733" s="78">
        <v>268485.23</v>
      </c>
      <c r="AB733" s="79">
        <v>0</v>
      </c>
      <c r="AC733" s="79">
        <v>0</v>
      </c>
      <c r="AD733" s="79">
        <v>0</v>
      </c>
      <c r="AE733" s="79">
        <v>245336.87</v>
      </c>
      <c r="AF733" s="79">
        <v>776349.11</v>
      </c>
      <c r="AG733" s="80">
        <f>SUM(AA733:AF733)</f>
        <v>1290171.21</v>
      </c>
      <c r="AH733" s="123" t="s">
        <v>104</v>
      </c>
      <c r="AI733" s="123" t="s">
        <v>74</v>
      </c>
      <c r="AJ733" s="123" t="s">
        <v>74</v>
      </c>
      <c r="AK733" s="123" t="s">
        <v>74</v>
      </c>
      <c r="AL733" s="123" t="s">
        <v>829</v>
      </c>
      <c r="AM733" s="123" t="s">
        <v>830</v>
      </c>
      <c r="AN733" s="82">
        <v>0</v>
      </c>
      <c r="AO733" s="82">
        <v>0</v>
      </c>
      <c r="AP733" s="82">
        <v>0</v>
      </c>
      <c r="AQ733" s="82">
        <v>0</v>
      </c>
      <c r="AR733" s="82">
        <v>0</v>
      </c>
      <c r="AS733" s="82">
        <f>AN733+AO733+AP733+AQ733+AR733</f>
        <v>0</v>
      </c>
      <c r="AT733" s="124" t="s">
        <v>74</v>
      </c>
      <c r="AU733" s="82">
        <v>0</v>
      </c>
      <c r="AV733" s="119">
        <v>2972.74</v>
      </c>
      <c r="AW733" s="82">
        <v>0</v>
      </c>
      <c r="AX733" s="119"/>
      <c r="AY733" s="82"/>
      <c r="AZ733" s="82">
        <v>0</v>
      </c>
      <c r="BA733" s="82">
        <f>AU733+AV733+AW733+AX733+AZ733</f>
        <v>2972.74</v>
      </c>
      <c r="BB733" s="125" t="s">
        <v>74</v>
      </c>
      <c r="BC733" s="124" t="s">
        <v>831</v>
      </c>
      <c r="BD733" s="126" t="s">
        <v>74</v>
      </c>
      <c r="BE733" s="126" t="s">
        <v>74</v>
      </c>
      <c r="BF733" s="126" t="s">
        <v>74</v>
      </c>
      <c r="BG733" s="126" t="s">
        <v>74</v>
      </c>
      <c r="BH733" s="82">
        <f>AS733+BA733</f>
        <v>2972.74</v>
      </c>
      <c r="BI733" s="82">
        <f>Y733-AG733+BH733</f>
        <v>1350832.45</v>
      </c>
      <c r="BJ733" s="52">
        <v>1347859.71</v>
      </c>
      <c r="BK733" s="56">
        <v>44197</v>
      </c>
      <c r="BL733" s="83">
        <v>2972.74</v>
      </c>
      <c r="BM733" s="75">
        <f>BI733-BL733</f>
        <v>1347859.71</v>
      </c>
      <c r="BN733" s="9"/>
      <c r="BO733" s="9"/>
      <c r="BP733" s="9"/>
      <c r="BQ733" s="9"/>
      <c r="BR733" s="9"/>
      <c r="BS733" s="9"/>
      <c r="BT733" s="9"/>
      <c r="BU733" s="9"/>
      <c r="BV733" s="9"/>
      <c r="BW733" s="9"/>
    </row>
    <row r="734" spans="1:75" hidden="1" outlineLevel="1" collapsed="1" x14ac:dyDescent="0.25">
      <c r="A734" s="197"/>
      <c r="B734" s="120" t="s">
        <v>832</v>
      </c>
      <c r="C734" s="86"/>
      <c r="D734" s="120"/>
      <c r="E734" s="88"/>
      <c r="F734" s="88"/>
      <c r="G734" s="88"/>
      <c r="H734" s="88"/>
      <c r="I734" s="88"/>
      <c r="J734" s="88"/>
      <c r="K734" s="88"/>
      <c r="L734" s="88"/>
      <c r="M734" s="88"/>
      <c r="N734" s="88"/>
      <c r="O734" s="88"/>
      <c r="P734" s="88"/>
      <c r="Q734" s="88"/>
      <c r="R734" s="88"/>
      <c r="S734" s="88"/>
      <c r="T734" s="88"/>
      <c r="U734" s="88"/>
      <c r="V734" s="88"/>
      <c r="W734" s="88"/>
      <c r="X734" s="88"/>
      <c r="Y734" s="89">
        <f t="shared" ref="Y734:AG734" si="108">SUBTOTAL(9,Y685:Y733)</f>
        <v>0</v>
      </c>
      <c r="Z734" s="90">
        <f t="shared" si="108"/>
        <v>0</v>
      </c>
      <c r="AA734" s="90">
        <f t="shared" si="108"/>
        <v>0</v>
      </c>
      <c r="AB734" s="89">
        <f t="shared" si="108"/>
        <v>0</v>
      </c>
      <c r="AC734" s="89">
        <f t="shared" si="108"/>
        <v>0</v>
      </c>
      <c r="AD734" s="89">
        <f t="shared" si="108"/>
        <v>0</v>
      </c>
      <c r="AE734" s="89">
        <f t="shared" si="108"/>
        <v>0</v>
      </c>
      <c r="AF734" s="89">
        <f t="shared" si="108"/>
        <v>0</v>
      </c>
      <c r="AG734" s="89">
        <f t="shared" si="108"/>
        <v>0</v>
      </c>
      <c r="AH734" s="129"/>
      <c r="AI734" s="129"/>
      <c r="AJ734" s="129"/>
      <c r="AK734" s="129"/>
      <c r="AL734" s="129"/>
      <c r="AM734" s="129"/>
      <c r="AN734" s="92">
        <f t="shared" ref="AN734:AS734" si="109">SUBTOTAL(9,AN685:AN733)</f>
        <v>0</v>
      </c>
      <c r="AO734" s="92">
        <f t="shared" si="109"/>
        <v>0</v>
      </c>
      <c r="AP734" s="92">
        <f t="shared" si="109"/>
        <v>0</v>
      </c>
      <c r="AQ734" s="92">
        <f t="shared" si="109"/>
        <v>0</v>
      </c>
      <c r="AR734" s="92">
        <f t="shared" si="109"/>
        <v>0</v>
      </c>
      <c r="AS734" s="92">
        <f t="shared" si="109"/>
        <v>0</v>
      </c>
      <c r="AT734" s="130"/>
      <c r="AU734" s="92">
        <f t="shared" ref="AU734:BA734" si="110">SUBTOTAL(9,AU685:AU733)</f>
        <v>0</v>
      </c>
      <c r="AV734" s="122">
        <f t="shared" si="110"/>
        <v>0</v>
      </c>
      <c r="AW734" s="92">
        <f t="shared" si="110"/>
        <v>0</v>
      </c>
      <c r="AX734" s="122">
        <f t="shared" si="110"/>
        <v>0</v>
      </c>
      <c r="AY734" s="92">
        <f t="shared" si="110"/>
        <v>0</v>
      </c>
      <c r="AZ734" s="92">
        <f t="shared" si="110"/>
        <v>0</v>
      </c>
      <c r="BA734" s="92">
        <f t="shared" si="110"/>
        <v>0</v>
      </c>
      <c r="BB734" s="131"/>
      <c r="BC734" s="130"/>
      <c r="BD734" s="132"/>
      <c r="BE734" s="132"/>
      <c r="BF734" s="132"/>
      <c r="BG734" s="132"/>
      <c r="BH734" s="92">
        <f>SUBTOTAL(9,BH685:BH733)</f>
        <v>0</v>
      </c>
      <c r="BI734" s="92">
        <f>SUBTOTAL(9,BI685:BI733)</f>
        <v>0</v>
      </c>
      <c r="BJ734" s="93"/>
      <c r="BK734" s="94"/>
      <c r="BL734" s="95">
        <f>SUBTOTAL(9,BL685:BL733)</f>
        <v>0</v>
      </c>
      <c r="BM734" s="88">
        <f>SUBTOTAL(9,BM685:BM733)</f>
        <v>0</v>
      </c>
      <c r="BN734" s="9"/>
      <c r="BO734" s="9"/>
      <c r="BP734" s="9"/>
      <c r="BQ734" s="9"/>
      <c r="BR734" s="9"/>
      <c r="BS734" s="9"/>
      <c r="BT734" s="9"/>
      <c r="BU734" s="9"/>
      <c r="BV734" s="9"/>
      <c r="BW734" s="9"/>
    </row>
    <row r="735" spans="1:75" ht="319.5" hidden="1" outlineLevel="2" x14ac:dyDescent="0.25">
      <c r="A735" s="198" t="s">
        <v>754</v>
      </c>
      <c r="B735" s="100" t="s">
        <v>833</v>
      </c>
      <c r="C735" s="98">
        <v>2021</v>
      </c>
      <c r="D735" s="97" t="s">
        <v>73</v>
      </c>
      <c r="E735" s="100"/>
      <c r="F735" s="100"/>
      <c r="G735" s="100"/>
      <c r="H735" s="100"/>
      <c r="I735" s="100"/>
      <c r="J735" s="100"/>
      <c r="K735" s="100"/>
      <c r="L735" s="100"/>
      <c r="M735" s="100"/>
      <c r="N735" s="100"/>
      <c r="O735" s="100"/>
      <c r="P735" s="100"/>
      <c r="Q735" s="100"/>
      <c r="R735" s="100"/>
      <c r="S735" s="100"/>
      <c r="T735" s="100"/>
      <c r="U735" s="100"/>
      <c r="V735" s="100"/>
      <c r="W735" s="100">
        <v>0</v>
      </c>
      <c r="X735" s="100">
        <v>0</v>
      </c>
      <c r="Y735" s="101">
        <f t="shared" ref="Y735:Y743" si="111">SUM(E735:X735)</f>
        <v>0</v>
      </c>
      <c r="Z735" s="133"/>
      <c r="AA735" s="103"/>
      <c r="AB735" s="103"/>
      <c r="AC735" s="103"/>
      <c r="AD735" s="103"/>
      <c r="AE735" s="103"/>
      <c r="AF735" s="103"/>
      <c r="AG735" s="102">
        <f t="shared" ref="AG735:AG743" si="112">SUM(AA735:AF735)</f>
        <v>0</v>
      </c>
      <c r="AH735" s="104" t="s">
        <v>74</v>
      </c>
      <c r="AI735" s="104" t="s">
        <v>74</v>
      </c>
      <c r="AJ735" s="104" t="s">
        <v>74</v>
      </c>
      <c r="AK735" s="104" t="s">
        <v>74</v>
      </c>
      <c r="AL735" s="104" t="s">
        <v>74</v>
      </c>
      <c r="AM735" s="104" t="s">
        <v>74</v>
      </c>
      <c r="AN735" s="105"/>
      <c r="AO735" s="105"/>
      <c r="AP735" s="105"/>
      <c r="AQ735" s="105"/>
      <c r="AR735" s="105"/>
      <c r="AS735" s="105">
        <f t="shared" ref="AS735:AS743" si="113">AN735+AO735+AP735+AQ735+AR735</f>
        <v>0</v>
      </c>
      <c r="AT735" s="106" t="s">
        <v>74</v>
      </c>
      <c r="AU735" s="105"/>
      <c r="AV735" s="105"/>
      <c r="AW735" s="105"/>
      <c r="AX735" s="199">
        <f>1319015.4+86777.33</f>
        <v>1405792.73</v>
      </c>
      <c r="AY735" s="199"/>
      <c r="AZ735" s="105"/>
      <c r="BA735" s="105">
        <f t="shared" ref="BA735:BA743" si="114">AU735+AW735+AX735+AZ735</f>
        <v>1405792.73</v>
      </c>
      <c r="BB735" s="107" t="s">
        <v>74</v>
      </c>
      <c r="BC735" s="106" t="s">
        <v>74</v>
      </c>
      <c r="BD735" s="108" t="s">
        <v>74</v>
      </c>
      <c r="BE735" s="104" t="s">
        <v>834</v>
      </c>
      <c r="BF735" s="108" t="s">
        <v>74</v>
      </c>
      <c r="BG735" s="108" t="s">
        <v>74</v>
      </c>
      <c r="BH735" s="105">
        <f t="shared" ref="BH735:BH743" si="115">AS735+BA735</f>
        <v>1405792.73</v>
      </c>
      <c r="BI735" s="105">
        <f t="shared" ref="BI735:BI743" si="116">Y735-AG735+BH735</f>
        <v>1405792.73</v>
      </c>
      <c r="BJ735" s="52" t="e">
        <f>#REF!-#REF!+BI735</f>
        <v>#REF!</v>
      </c>
      <c r="BK735" s="56">
        <v>44197</v>
      </c>
      <c r="BL735" s="200">
        <f>1319015.4+86777.33</f>
        <v>1405792.73</v>
      </c>
      <c r="BM735" s="100">
        <v>0</v>
      </c>
      <c r="BN735" s="9"/>
      <c r="BO735" s="9"/>
      <c r="BP735" s="9"/>
      <c r="BQ735" s="9"/>
      <c r="BR735" s="9"/>
      <c r="BS735" s="9"/>
      <c r="BT735" s="9"/>
      <c r="BU735" s="9"/>
      <c r="BV735" s="9"/>
      <c r="BW735" s="9"/>
    </row>
    <row r="736" spans="1:75" ht="268.5" hidden="1" outlineLevel="2" x14ac:dyDescent="0.25">
      <c r="A736" s="195" t="s">
        <v>754</v>
      </c>
      <c r="B736" s="47" t="s">
        <v>833</v>
      </c>
      <c r="C736" s="45">
        <v>2021</v>
      </c>
      <c r="D736" s="110" t="s">
        <v>75</v>
      </c>
      <c r="E736" s="47"/>
      <c r="F736" s="47"/>
      <c r="G736" s="47"/>
      <c r="H736" s="47"/>
      <c r="I736" s="47"/>
      <c r="J736" s="47"/>
      <c r="K736" s="47"/>
      <c r="L736" s="47"/>
      <c r="M736" s="47"/>
      <c r="N736" s="47"/>
      <c r="O736" s="47"/>
      <c r="P736" s="47"/>
      <c r="Q736" s="47"/>
      <c r="R736" s="47"/>
      <c r="S736" s="47"/>
      <c r="T736" s="47"/>
      <c r="U736" s="47"/>
      <c r="V736" s="47"/>
      <c r="W736" s="47">
        <v>0</v>
      </c>
      <c r="X736" s="47">
        <v>0</v>
      </c>
      <c r="Y736" s="48">
        <f t="shared" si="111"/>
        <v>0</v>
      </c>
      <c r="Z736" s="58"/>
      <c r="AA736" s="50"/>
      <c r="AB736" s="50"/>
      <c r="AC736" s="50"/>
      <c r="AD736" s="50"/>
      <c r="AE736" s="50"/>
      <c r="AF736" s="50"/>
      <c r="AG736" s="49">
        <f t="shared" si="112"/>
        <v>0</v>
      </c>
      <c r="AH736" s="51" t="s">
        <v>74</v>
      </c>
      <c r="AI736" s="51" t="s">
        <v>74</v>
      </c>
      <c r="AJ736" s="51" t="s">
        <v>74</v>
      </c>
      <c r="AK736" s="51" t="s">
        <v>74</v>
      </c>
      <c r="AL736" s="51" t="s">
        <v>74</v>
      </c>
      <c r="AM736" s="51" t="s">
        <v>74</v>
      </c>
      <c r="AN736" s="52"/>
      <c r="AO736" s="52"/>
      <c r="AP736" s="52"/>
      <c r="AQ736" s="52"/>
      <c r="AR736" s="52"/>
      <c r="AS736" s="52">
        <f t="shared" si="113"/>
        <v>0</v>
      </c>
      <c r="AT736" s="53" t="s">
        <v>74</v>
      </c>
      <c r="AU736" s="52"/>
      <c r="AV736" s="52"/>
      <c r="AW736" s="52"/>
      <c r="AX736" s="68">
        <f>1582818.48+170083.7</f>
        <v>1752902.18</v>
      </c>
      <c r="AY736" s="68"/>
      <c r="AZ736" s="52"/>
      <c r="BA736" s="52">
        <f t="shared" si="114"/>
        <v>1752902.18</v>
      </c>
      <c r="BB736" s="54" t="s">
        <v>74</v>
      </c>
      <c r="BC736" s="53" t="s">
        <v>74</v>
      </c>
      <c r="BD736" s="55" t="s">
        <v>74</v>
      </c>
      <c r="BE736" s="51" t="s">
        <v>835</v>
      </c>
      <c r="BF736" s="55" t="s">
        <v>74</v>
      </c>
      <c r="BG736" s="55" t="s">
        <v>74</v>
      </c>
      <c r="BH736" s="52">
        <f t="shared" si="115"/>
        <v>1752902.18</v>
      </c>
      <c r="BI736" s="52">
        <f t="shared" si="116"/>
        <v>1752902.18</v>
      </c>
      <c r="BJ736" s="52" t="e">
        <f>#REF!-#REF!+BI736</f>
        <v>#REF!</v>
      </c>
      <c r="BK736" s="56">
        <v>44228</v>
      </c>
      <c r="BL736" s="63">
        <f>1582818.48+170083.7</f>
        <v>1752902.18</v>
      </c>
      <c r="BM736" s="47">
        <v>0</v>
      </c>
      <c r="BN736" s="9"/>
      <c r="BO736" s="9"/>
      <c r="BP736" s="9"/>
      <c r="BQ736" s="9"/>
      <c r="BR736" s="9"/>
      <c r="BS736" s="9"/>
      <c r="BT736" s="9"/>
      <c r="BU736" s="9"/>
      <c r="BV736" s="9"/>
      <c r="BW736" s="9"/>
    </row>
    <row r="737" spans="1:75" ht="370.5" hidden="1" outlineLevel="2" x14ac:dyDescent="0.25">
      <c r="A737" s="195" t="s">
        <v>754</v>
      </c>
      <c r="B737" s="47" t="s">
        <v>833</v>
      </c>
      <c r="C737" s="45">
        <v>2021</v>
      </c>
      <c r="D737" s="110" t="s">
        <v>77</v>
      </c>
      <c r="E737" s="134">
        <v>703474.91200000001</v>
      </c>
      <c r="F737" s="47">
        <v>0</v>
      </c>
      <c r="G737" s="47">
        <v>0</v>
      </c>
      <c r="H737" s="47">
        <v>0</v>
      </c>
      <c r="I737" s="47">
        <v>0</v>
      </c>
      <c r="J737" s="47">
        <v>0</v>
      </c>
      <c r="K737" s="47">
        <v>0</v>
      </c>
      <c r="L737" s="47">
        <v>0</v>
      </c>
      <c r="M737" s="47">
        <v>0</v>
      </c>
      <c r="N737" s="47">
        <v>0</v>
      </c>
      <c r="O737" s="47">
        <v>0</v>
      </c>
      <c r="P737" s="47">
        <v>0</v>
      </c>
      <c r="Q737" s="47">
        <v>0</v>
      </c>
      <c r="R737" s="47">
        <v>0</v>
      </c>
      <c r="S737" s="47">
        <v>0</v>
      </c>
      <c r="T737" s="47">
        <v>0</v>
      </c>
      <c r="U737" s="47">
        <v>0</v>
      </c>
      <c r="V737" s="47">
        <v>0</v>
      </c>
      <c r="W737" s="47">
        <v>0</v>
      </c>
      <c r="X737" s="47">
        <v>0</v>
      </c>
      <c r="Y737" s="48">
        <f t="shared" si="111"/>
        <v>703474.91200000001</v>
      </c>
      <c r="Z737" s="58"/>
      <c r="AA737" s="50"/>
      <c r="AB737" s="50"/>
      <c r="AC737" s="50"/>
      <c r="AD737" s="50"/>
      <c r="AE737" s="50"/>
      <c r="AF737" s="50"/>
      <c r="AG737" s="49">
        <f t="shared" si="112"/>
        <v>0</v>
      </c>
      <c r="AH737" s="51" t="s">
        <v>74</v>
      </c>
      <c r="AI737" s="51" t="s">
        <v>74</v>
      </c>
      <c r="AJ737" s="51" t="s">
        <v>74</v>
      </c>
      <c r="AK737" s="51" t="s">
        <v>74</v>
      </c>
      <c r="AL737" s="51" t="s">
        <v>74</v>
      </c>
      <c r="AM737" s="51" t="s">
        <v>74</v>
      </c>
      <c r="AN737" s="52"/>
      <c r="AO737" s="52"/>
      <c r="AP737" s="52"/>
      <c r="AQ737" s="52"/>
      <c r="AR737" s="52"/>
      <c r="AS737" s="52">
        <f t="shared" si="113"/>
        <v>0</v>
      </c>
      <c r="AT737" s="53" t="s">
        <v>74</v>
      </c>
      <c r="AU737" s="52"/>
      <c r="AV737" s="52"/>
      <c r="AW737" s="52"/>
      <c r="AX737" s="59">
        <f>1822323.93+86777.33+25454.76</f>
        <v>1934556.02</v>
      </c>
      <c r="AY737" s="59"/>
      <c r="AZ737" s="52"/>
      <c r="BA737" s="52">
        <f t="shared" si="114"/>
        <v>1934556.02</v>
      </c>
      <c r="BB737" s="54" t="s">
        <v>74</v>
      </c>
      <c r="BC737" s="53" t="s">
        <v>74</v>
      </c>
      <c r="BD737" s="55" t="s">
        <v>74</v>
      </c>
      <c r="BE737" s="51" t="s">
        <v>836</v>
      </c>
      <c r="BF737" s="55" t="s">
        <v>74</v>
      </c>
      <c r="BG737" s="55" t="s">
        <v>74</v>
      </c>
      <c r="BH737" s="52">
        <f t="shared" si="115"/>
        <v>1934556.02</v>
      </c>
      <c r="BI737" s="52">
        <f t="shared" si="116"/>
        <v>2638030.932</v>
      </c>
      <c r="BJ737" s="52">
        <v>2525798.8420000002</v>
      </c>
      <c r="BK737" s="56">
        <v>44256</v>
      </c>
      <c r="BL737" s="57">
        <f>2525798.84+86777.33+25454.76</f>
        <v>2638030.9299999997</v>
      </c>
      <c r="BM737" s="47">
        <v>0</v>
      </c>
      <c r="BN737" s="9"/>
      <c r="BO737" s="9"/>
      <c r="BP737" s="9"/>
      <c r="BQ737" s="9"/>
      <c r="BR737" s="9"/>
      <c r="BS737" s="9"/>
      <c r="BT737" s="9"/>
      <c r="BU737" s="9"/>
      <c r="BV737" s="9"/>
      <c r="BW737" s="9"/>
    </row>
    <row r="738" spans="1:75" ht="26.25" hidden="1" outlineLevel="2" x14ac:dyDescent="0.25">
      <c r="A738" s="195" t="s">
        <v>754</v>
      </c>
      <c r="B738" s="47" t="s">
        <v>833</v>
      </c>
      <c r="C738" s="45">
        <v>2021</v>
      </c>
      <c r="D738" s="110" t="s">
        <v>79</v>
      </c>
      <c r="E738" s="47">
        <v>2638030.92</v>
      </c>
      <c r="F738" s="47">
        <v>0</v>
      </c>
      <c r="G738" s="47">
        <v>0</v>
      </c>
      <c r="H738" s="47">
        <v>0</v>
      </c>
      <c r="I738" s="47">
        <v>0</v>
      </c>
      <c r="J738" s="47">
        <v>0</v>
      </c>
      <c r="K738" s="47">
        <v>0</v>
      </c>
      <c r="L738" s="47">
        <v>0</v>
      </c>
      <c r="M738" s="47">
        <v>0</v>
      </c>
      <c r="N738" s="47">
        <v>0</v>
      </c>
      <c r="O738" s="47">
        <v>0</v>
      </c>
      <c r="P738" s="47">
        <v>0</v>
      </c>
      <c r="Q738" s="47">
        <v>0</v>
      </c>
      <c r="R738" s="47">
        <v>0</v>
      </c>
      <c r="S738" s="47">
        <v>0</v>
      </c>
      <c r="T738" s="47">
        <v>0</v>
      </c>
      <c r="U738" s="47">
        <v>0</v>
      </c>
      <c r="V738" s="47">
        <v>0</v>
      </c>
      <c r="W738" s="47">
        <v>0</v>
      </c>
      <c r="X738" s="47">
        <v>0</v>
      </c>
      <c r="Y738" s="48">
        <f t="shared" si="111"/>
        <v>2638030.92</v>
      </c>
      <c r="Z738" s="66">
        <v>252895.72</v>
      </c>
      <c r="AA738" s="62">
        <v>252895.72</v>
      </c>
      <c r="AB738" s="50"/>
      <c r="AC738" s="50"/>
      <c r="AD738" s="62">
        <v>15920.48</v>
      </c>
      <c r="AE738" s="50"/>
      <c r="AF738" s="50"/>
      <c r="AG738" s="49">
        <f t="shared" si="112"/>
        <v>268816.2</v>
      </c>
      <c r="AH738" s="51" t="s">
        <v>104</v>
      </c>
      <c r="AI738" s="51" t="s">
        <v>74</v>
      </c>
      <c r="AJ738" s="51" t="s">
        <v>74</v>
      </c>
      <c r="AK738" s="51" t="s">
        <v>409</v>
      </c>
      <c r="AL738" s="51" t="s">
        <v>74</v>
      </c>
      <c r="AM738" s="51" t="s">
        <v>74</v>
      </c>
      <c r="AN738" s="52"/>
      <c r="AO738" s="52"/>
      <c r="AP738" s="52"/>
      <c r="AQ738" s="52"/>
      <c r="AR738" s="52"/>
      <c r="AS738" s="52">
        <f t="shared" si="113"/>
        <v>0</v>
      </c>
      <c r="AT738" s="53" t="s">
        <v>74</v>
      </c>
      <c r="AU738" s="52"/>
      <c r="AV738" s="52"/>
      <c r="AW738" s="52"/>
      <c r="AX738" s="52"/>
      <c r="AY738" s="52"/>
      <c r="AZ738" s="52"/>
      <c r="BA738" s="52">
        <f t="shared" si="114"/>
        <v>0</v>
      </c>
      <c r="BB738" s="54" t="s">
        <v>74</v>
      </c>
      <c r="BC738" s="53" t="s">
        <v>74</v>
      </c>
      <c r="BD738" s="55" t="s">
        <v>74</v>
      </c>
      <c r="BE738" s="55" t="s">
        <v>74</v>
      </c>
      <c r="BF738" s="55" t="s">
        <v>74</v>
      </c>
      <c r="BG738" s="55" t="s">
        <v>74</v>
      </c>
      <c r="BH738" s="52">
        <f t="shared" si="115"/>
        <v>0</v>
      </c>
      <c r="BI738" s="52">
        <f t="shared" si="116"/>
        <v>2369214.7199999997</v>
      </c>
      <c r="BJ738" s="52">
        <v>2369214.7200000002</v>
      </c>
      <c r="BK738" s="56">
        <v>44287</v>
      </c>
      <c r="BL738" s="63">
        <v>2369214.7200000002</v>
      </c>
      <c r="BM738" s="47">
        <v>0</v>
      </c>
      <c r="BN738" s="9"/>
      <c r="BO738" s="9"/>
      <c r="BP738" s="9"/>
      <c r="BQ738" s="9"/>
      <c r="BR738" s="9"/>
      <c r="BS738" s="9"/>
      <c r="BT738" s="9"/>
      <c r="BU738" s="9"/>
      <c r="BV738" s="9"/>
      <c r="BW738" s="9"/>
    </row>
    <row r="739" spans="1:75" ht="102.75" hidden="1" outlineLevel="2" x14ac:dyDescent="0.25">
      <c r="A739" s="195" t="s">
        <v>754</v>
      </c>
      <c r="B739" s="47" t="s">
        <v>833</v>
      </c>
      <c r="C739" s="45">
        <v>2021</v>
      </c>
      <c r="D739" s="110" t="s">
        <v>81</v>
      </c>
      <c r="E739" s="47">
        <v>2638030.92</v>
      </c>
      <c r="F739" s="47">
        <v>0</v>
      </c>
      <c r="G739" s="47">
        <v>0</v>
      </c>
      <c r="H739" s="47">
        <v>0</v>
      </c>
      <c r="I739" s="47">
        <v>0</v>
      </c>
      <c r="J739" s="47">
        <v>0</v>
      </c>
      <c r="K739" s="47">
        <v>0</v>
      </c>
      <c r="L739" s="47">
        <v>0</v>
      </c>
      <c r="M739" s="47">
        <v>0</v>
      </c>
      <c r="N739" s="47">
        <v>0</v>
      </c>
      <c r="O739" s="47">
        <v>0</v>
      </c>
      <c r="P739" s="47">
        <v>0</v>
      </c>
      <c r="Q739" s="47">
        <v>0</v>
      </c>
      <c r="R739" s="47">
        <v>0</v>
      </c>
      <c r="S739" s="47">
        <v>0</v>
      </c>
      <c r="T739" s="47">
        <v>0</v>
      </c>
      <c r="U739" s="47">
        <v>0</v>
      </c>
      <c r="V739" s="47">
        <v>0</v>
      </c>
      <c r="W739" s="47">
        <v>0</v>
      </c>
      <c r="X739" s="47">
        <v>0</v>
      </c>
      <c r="Y739" s="48">
        <f t="shared" si="111"/>
        <v>2638030.92</v>
      </c>
      <c r="Z739" s="58">
        <v>529837.64</v>
      </c>
      <c r="AA739" s="50">
        <v>529837.64</v>
      </c>
      <c r="AB739" s="50"/>
      <c r="AC739" s="50"/>
      <c r="AD739" s="50">
        <v>36507.61</v>
      </c>
      <c r="AE739" s="50"/>
      <c r="AF739" s="50"/>
      <c r="AG739" s="49">
        <f t="shared" si="112"/>
        <v>566345.25</v>
      </c>
      <c r="AH739" s="51" t="s">
        <v>104</v>
      </c>
      <c r="AI739" s="51" t="s">
        <v>74</v>
      </c>
      <c r="AJ739" s="51" t="s">
        <v>74</v>
      </c>
      <c r="AK739" s="51" t="s">
        <v>837</v>
      </c>
      <c r="AL739" s="51" t="s">
        <v>74</v>
      </c>
      <c r="AM739" s="51" t="s">
        <v>74</v>
      </c>
      <c r="AN739" s="52"/>
      <c r="AO739" s="52"/>
      <c r="AP739" s="52"/>
      <c r="AQ739" s="52"/>
      <c r="AR739" s="52"/>
      <c r="AS739" s="52">
        <f t="shared" si="113"/>
        <v>0</v>
      </c>
      <c r="AT739" s="53" t="s">
        <v>74</v>
      </c>
      <c r="AU739" s="52"/>
      <c r="AV739" s="52"/>
      <c r="AW739" s="52"/>
      <c r="AX739" s="52"/>
      <c r="AY739" s="52"/>
      <c r="AZ739" s="52"/>
      <c r="BA739" s="52">
        <f t="shared" si="114"/>
        <v>0</v>
      </c>
      <c r="BB739" s="54" t="s">
        <v>74</v>
      </c>
      <c r="BC739" s="53" t="s">
        <v>74</v>
      </c>
      <c r="BD739" s="55" t="s">
        <v>74</v>
      </c>
      <c r="BE739" s="55" t="s">
        <v>74</v>
      </c>
      <c r="BF739" s="55" t="s">
        <v>74</v>
      </c>
      <c r="BG739" s="55" t="s">
        <v>74</v>
      </c>
      <c r="BH739" s="52">
        <f t="shared" si="115"/>
        <v>0</v>
      </c>
      <c r="BI739" s="52">
        <f t="shared" si="116"/>
        <v>2071685.67</v>
      </c>
      <c r="BJ739" s="52">
        <v>2071685.67</v>
      </c>
      <c r="BK739" s="56">
        <v>44317</v>
      </c>
      <c r="BL739" s="63">
        <v>2071685.67</v>
      </c>
      <c r="BM739" s="47">
        <v>0</v>
      </c>
      <c r="BN739" s="9"/>
      <c r="BO739" s="9"/>
      <c r="BP739" s="9"/>
      <c r="BQ739" s="9"/>
      <c r="BR739" s="9"/>
      <c r="BS739" s="9"/>
      <c r="BT739" s="9"/>
      <c r="BU739" s="9"/>
      <c r="BV739" s="9"/>
      <c r="BW739" s="9"/>
    </row>
    <row r="740" spans="1:75" ht="26.25" hidden="1" outlineLevel="2" x14ac:dyDescent="0.25">
      <c r="A740" s="195" t="s">
        <v>754</v>
      </c>
      <c r="B740" s="47" t="s">
        <v>833</v>
      </c>
      <c r="C740" s="45">
        <v>2021</v>
      </c>
      <c r="D740" s="110" t="s">
        <v>83</v>
      </c>
      <c r="E740" s="47">
        <v>2638030.92</v>
      </c>
      <c r="F740" s="47">
        <v>0</v>
      </c>
      <c r="G740" s="47">
        <v>0</v>
      </c>
      <c r="H740" s="47">
        <v>0</v>
      </c>
      <c r="I740" s="47">
        <v>0</v>
      </c>
      <c r="J740" s="47">
        <v>0</v>
      </c>
      <c r="K740" s="47">
        <v>0</v>
      </c>
      <c r="L740" s="47">
        <v>0</v>
      </c>
      <c r="M740" s="47">
        <v>0</v>
      </c>
      <c r="N740" s="47">
        <v>0</v>
      </c>
      <c r="O740" s="47">
        <v>0</v>
      </c>
      <c r="P740" s="47">
        <v>0</v>
      </c>
      <c r="Q740" s="47">
        <v>0</v>
      </c>
      <c r="R740" s="47">
        <v>0</v>
      </c>
      <c r="S740" s="47">
        <v>0</v>
      </c>
      <c r="T740" s="47">
        <v>0</v>
      </c>
      <c r="U740" s="47">
        <v>0</v>
      </c>
      <c r="V740" s="47">
        <v>0</v>
      </c>
      <c r="W740" s="47">
        <v>0</v>
      </c>
      <c r="X740" s="47">
        <v>0</v>
      </c>
      <c r="Y740" s="48">
        <f t="shared" si="111"/>
        <v>2638030.92</v>
      </c>
      <c r="Z740" s="146">
        <v>253821.4</v>
      </c>
      <c r="AA740" s="147">
        <v>253821.4</v>
      </c>
      <c r="AB740" s="159"/>
      <c r="AC740" s="159"/>
      <c r="AD740" s="148">
        <v>16499</v>
      </c>
      <c r="AE740" s="50"/>
      <c r="AF740" s="50"/>
      <c r="AG740" s="49">
        <f t="shared" si="112"/>
        <v>270320.40000000002</v>
      </c>
      <c r="AH740" s="51" t="s">
        <v>104</v>
      </c>
      <c r="AI740" s="51" t="s">
        <v>74</v>
      </c>
      <c r="AJ740" s="51" t="s">
        <v>74</v>
      </c>
      <c r="AK740" s="51" t="s">
        <v>413</v>
      </c>
      <c r="AL740" s="51" t="s">
        <v>74</v>
      </c>
      <c r="AM740" s="51" t="s">
        <v>74</v>
      </c>
      <c r="AN740" s="52"/>
      <c r="AO740" s="52"/>
      <c r="AP740" s="52"/>
      <c r="AQ740" s="52"/>
      <c r="AR740" s="52"/>
      <c r="AS740" s="52">
        <f t="shared" si="113"/>
        <v>0</v>
      </c>
      <c r="AT740" s="53" t="s">
        <v>74</v>
      </c>
      <c r="AU740" s="52"/>
      <c r="AV740" s="52"/>
      <c r="AW740" s="52"/>
      <c r="AX740" s="52"/>
      <c r="AY740" s="52"/>
      <c r="AZ740" s="52"/>
      <c r="BA740" s="52">
        <f t="shared" si="114"/>
        <v>0</v>
      </c>
      <c r="BB740" s="54" t="s">
        <v>74</v>
      </c>
      <c r="BC740" s="53" t="s">
        <v>74</v>
      </c>
      <c r="BD740" s="55" t="s">
        <v>74</v>
      </c>
      <c r="BE740" s="55" t="s">
        <v>74</v>
      </c>
      <c r="BF740" s="55" t="s">
        <v>74</v>
      </c>
      <c r="BG740" s="55" t="s">
        <v>74</v>
      </c>
      <c r="BH740" s="52">
        <f t="shared" si="115"/>
        <v>0</v>
      </c>
      <c r="BI740" s="52">
        <f t="shared" si="116"/>
        <v>2367710.52</v>
      </c>
      <c r="BJ740" s="52">
        <f>Y740-AG740+AX740</f>
        <v>2367710.52</v>
      </c>
      <c r="BK740" s="56">
        <v>44348</v>
      </c>
      <c r="BL740" s="63">
        <f>2338030.92+29679.6</f>
        <v>2367710.52</v>
      </c>
      <c r="BM740" s="47">
        <v>0</v>
      </c>
      <c r="BN740" s="9"/>
      <c r="BO740" s="9"/>
      <c r="BP740" s="9"/>
      <c r="BQ740" s="9"/>
      <c r="BR740" s="9"/>
      <c r="BS740" s="9"/>
      <c r="BT740" s="9"/>
      <c r="BU740" s="9"/>
      <c r="BV740" s="9"/>
      <c r="BW740" s="9"/>
    </row>
    <row r="741" spans="1:75" ht="26.25" hidden="1" outlineLevel="2" x14ac:dyDescent="0.25">
      <c r="A741" s="195" t="s">
        <v>754</v>
      </c>
      <c r="B741" s="47" t="s">
        <v>833</v>
      </c>
      <c r="C741" s="45">
        <v>2021</v>
      </c>
      <c r="D741" s="110" t="s">
        <v>84</v>
      </c>
      <c r="E741" s="47">
        <v>2638030.92</v>
      </c>
      <c r="F741" s="47">
        <v>0</v>
      </c>
      <c r="G741" s="47">
        <v>0</v>
      </c>
      <c r="H741" s="47">
        <v>0</v>
      </c>
      <c r="I741" s="47">
        <v>0</v>
      </c>
      <c r="J741" s="47">
        <v>0</v>
      </c>
      <c r="K741" s="47">
        <v>0</v>
      </c>
      <c r="L741" s="47">
        <v>0</v>
      </c>
      <c r="M741" s="47">
        <v>0</v>
      </c>
      <c r="N741" s="47">
        <v>0</v>
      </c>
      <c r="O741" s="47">
        <v>0</v>
      </c>
      <c r="P741" s="47">
        <v>0</v>
      </c>
      <c r="Q741" s="47">
        <v>0</v>
      </c>
      <c r="R741" s="47">
        <v>0</v>
      </c>
      <c r="S741" s="47">
        <v>0</v>
      </c>
      <c r="T741" s="47">
        <v>0</v>
      </c>
      <c r="U741" s="47">
        <v>0</v>
      </c>
      <c r="V741" s="47">
        <v>0</v>
      </c>
      <c r="W741" s="47">
        <v>0</v>
      </c>
      <c r="X741" s="47">
        <v>0</v>
      </c>
      <c r="Y741" s="48">
        <f t="shared" si="111"/>
        <v>2638030.92</v>
      </c>
      <c r="Z741" s="185">
        <v>245178.53</v>
      </c>
      <c r="AA741" s="147">
        <v>245178.53</v>
      </c>
      <c r="AB741" s="50"/>
      <c r="AC741" s="50"/>
      <c r="AD741" s="148">
        <v>15358.64</v>
      </c>
      <c r="AE741" s="50"/>
      <c r="AF741" s="50"/>
      <c r="AG741" s="49">
        <f t="shared" si="112"/>
        <v>260537.16999999998</v>
      </c>
      <c r="AH741" s="51" t="s">
        <v>104</v>
      </c>
      <c r="AI741" s="51" t="s">
        <v>74</v>
      </c>
      <c r="AJ741" s="51" t="s">
        <v>74</v>
      </c>
      <c r="AK741" s="51" t="s">
        <v>590</v>
      </c>
      <c r="AL741" s="51" t="s">
        <v>74</v>
      </c>
      <c r="AM741" s="51" t="s">
        <v>74</v>
      </c>
      <c r="AN741" s="52"/>
      <c r="AO741" s="52"/>
      <c r="AP741" s="52"/>
      <c r="AQ741" s="52"/>
      <c r="AR741" s="52"/>
      <c r="AS741" s="52">
        <f t="shared" si="113"/>
        <v>0</v>
      </c>
      <c r="AT741" s="53" t="s">
        <v>74</v>
      </c>
      <c r="AU741" s="52"/>
      <c r="AV741" s="52"/>
      <c r="AW741" s="52"/>
      <c r="AX741" s="52"/>
      <c r="AY741" s="52"/>
      <c r="AZ741" s="52"/>
      <c r="BA741" s="52">
        <f t="shared" si="114"/>
        <v>0</v>
      </c>
      <c r="BB741" s="54" t="s">
        <v>74</v>
      </c>
      <c r="BC741" s="53" t="s">
        <v>74</v>
      </c>
      <c r="BD741" s="55" t="s">
        <v>74</v>
      </c>
      <c r="BE741" s="55" t="s">
        <v>74</v>
      </c>
      <c r="BF741" s="55" t="s">
        <v>74</v>
      </c>
      <c r="BG741" s="55" t="s">
        <v>74</v>
      </c>
      <c r="BH741" s="52">
        <f t="shared" si="115"/>
        <v>0</v>
      </c>
      <c r="BI741" s="52">
        <f t="shared" si="116"/>
        <v>2377493.75</v>
      </c>
      <c r="BJ741" s="52">
        <f>Y741-AG741+AX741</f>
        <v>2377493.75</v>
      </c>
      <c r="BK741" s="56">
        <v>44378</v>
      </c>
      <c r="BL741" s="63">
        <f>2338030.92+39462.83</f>
        <v>2377493.75</v>
      </c>
      <c r="BM741" s="47">
        <v>0</v>
      </c>
      <c r="BN741" s="9"/>
      <c r="BO741" s="9"/>
      <c r="BP741" s="9"/>
      <c r="BQ741" s="9"/>
      <c r="BR741" s="9"/>
      <c r="BS741" s="9"/>
      <c r="BT741" s="9"/>
      <c r="BU741" s="9"/>
      <c r="BV741" s="9"/>
      <c r="BW741" s="9"/>
    </row>
    <row r="742" spans="1:75" ht="26.25" hidden="1" outlineLevel="2" x14ac:dyDescent="0.25">
      <c r="A742" s="195" t="s">
        <v>754</v>
      </c>
      <c r="B742" s="47" t="s">
        <v>833</v>
      </c>
      <c r="C742" s="45">
        <v>2021</v>
      </c>
      <c r="D742" s="110" t="s">
        <v>86</v>
      </c>
      <c r="E742" s="47">
        <v>2638030.92</v>
      </c>
      <c r="F742" s="47">
        <v>0</v>
      </c>
      <c r="G742" s="47">
        <v>0</v>
      </c>
      <c r="H742" s="47">
        <v>0</v>
      </c>
      <c r="I742" s="47">
        <v>0</v>
      </c>
      <c r="J742" s="47">
        <v>0</v>
      </c>
      <c r="K742" s="47">
        <v>0</v>
      </c>
      <c r="L742" s="47">
        <v>0</v>
      </c>
      <c r="M742" s="47">
        <v>0</v>
      </c>
      <c r="N742" s="47">
        <v>0</v>
      </c>
      <c r="O742" s="47">
        <v>0</v>
      </c>
      <c r="P742" s="47">
        <v>0</v>
      </c>
      <c r="Q742" s="47">
        <v>0</v>
      </c>
      <c r="R742" s="47">
        <v>0</v>
      </c>
      <c r="S742" s="47">
        <v>0</v>
      </c>
      <c r="T742" s="47">
        <v>0</v>
      </c>
      <c r="U742" s="47">
        <v>0</v>
      </c>
      <c r="V742" s="47">
        <v>0</v>
      </c>
      <c r="W742" s="47">
        <v>0</v>
      </c>
      <c r="X742" s="47">
        <v>0</v>
      </c>
      <c r="Y742" s="48">
        <f t="shared" si="111"/>
        <v>2638030.92</v>
      </c>
      <c r="Z742" s="146">
        <v>243561.44</v>
      </c>
      <c r="AA742" s="147">
        <v>243561.44</v>
      </c>
      <c r="AB742" s="159"/>
      <c r="AC742" s="159"/>
      <c r="AD742" s="148">
        <v>14723.94</v>
      </c>
      <c r="AE742" s="50"/>
      <c r="AF742" s="50"/>
      <c r="AG742" s="49">
        <f t="shared" si="112"/>
        <v>258285.38</v>
      </c>
      <c r="AH742" s="51" t="s">
        <v>104</v>
      </c>
      <c r="AI742" s="51" t="s">
        <v>74</v>
      </c>
      <c r="AJ742" s="51" t="s">
        <v>74</v>
      </c>
      <c r="AK742" s="51" t="s">
        <v>838</v>
      </c>
      <c r="AL742" s="51" t="s">
        <v>74</v>
      </c>
      <c r="AM742" s="51" t="s">
        <v>74</v>
      </c>
      <c r="AN742" s="52"/>
      <c r="AO742" s="52"/>
      <c r="AP742" s="52"/>
      <c r="AQ742" s="52"/>
      <c r="AR742" s="52"/>
      <c r="AS742" s="52">
        <f t="shared" si="113"/>
        <v>0</v>
      </c>
      <c r="AT742" s="53" t="s">
        <v>74</v>
      </c>
      <c r="AU742" s="52"/>
      <c r="AV742" s="52"/>
      <c r="AW742" s="52"/>
      <c r="AX742" s="52"/>
      <c r="AY742" s="52"/>
      <c r="AZ742" s="52"/>
      <c r="BA742" s="52">
        <f t="shared" si="114"/>
        <v>0</v>
      </c>
      <c r="BB742" s="54" t="s">
        <v>74</v>
      </c>
      <c r="BC742" s="53" t="s">
        <v>74</v>
      </c>
      <c r="BD742" s="55" t="s">
        <v>74</v>
      </c>
      <c r="BE742" s="55" t="s">
        <v>74</v>
      </c>
      <c r="BF742" s="55" t="s">
        <v>74</v>
      </c>
      <c r="BG742" s="55" t="s">
        <v>74</v>
      </c>
      <c r="BH742" s="52">
        <f t="shared" si="115"/>
        <v>0</v>
      </c>
      <c r="BI742" s="52">
        <f t="shared" si="116"/>
        <v>2379745.54</v>
      </c>
      <c r="BJ742" s="52">
        <f>Y742-AG742+AX742</f>
        <v>2379745.54</v>
      </c>
      <c r="BK742" s="56">
        <v>44409</v>
      </c>
      <c r="BL742" s="57">
        <f>2338030.92+41714.62</f>
        <v>2379745.54</v>
      </c>
      <c r="BM742" s="47">
        <v>0</v>
      </c>
      <c r="BN742" s="9"/>
      <c r="BO742" s="9"/>
      <c r="BP742" s="9"/>
      <c r="BQ742" s="9"/>
      <c r="BR742" s="9"/>
      <c r="BS742" s="9"/>
      <c r="BT742" s="9"/>
      <c r="BU742" s="9"/>
      <c r="BV742" s="9"/>
      <c r="BW742" s="9"/>
    </row>
    <row r="743" spans="1:75" hidden="1" outlineLevel="2" x14ac:dyDescent="0.25">
      <c r="A743" s="196" t="s">
        <v>754</v>
      </c>
      <c r="B743" s="75" t="s">
        <v>833</v>
      </c>
      <c r="C743" s="73">
        <v>2021</v>
      </c>
      <c r="D743" s="116" t="s">
        <v>88</v>
      </c>
      <c r="E743" s="75">
        <v>1934556.0079999999</v>
      </c>
      <c r="F743" s="75">
        <v>0</v>
      </c>
      <c r="G743" s="75">
        <v>0</v>
      </c>
      <c r="H743" s="75">
        <v>0</v>
      </c>
      <c r="I743" s="75">
        <v>0</v>
      </c>
      <c r="J743" s="75">
        <v>0</v>
      </c>
      <c r="K743" s="75">
        <v>0</v>
      </c>
      <c r="L743" s="75">
        <v>0</v>
      </c>
      <c r="M743" s="75">
        <v>0</v>
      </c>
      <c r="N743" s="75">
        <v>0</v>
      </c>
      <c r="O743" s="75">
        <v>0</v>
      </c>
      <c r="P743" s="75">
        <v>0</v>
      </c>
      <c r="Q743" s="75">
        <v>0</v>
      </c>
      <c r="R743" s="75">
        <v>0</v>
      </c>
      <c r="S743" s="75">
        <v>0</v>
      </c>
      <c r="T743" s="75">
        <v>0</v>
      </c>
      <c r="U743" s="75">
        <v>0</v>
      </c>
      <c r="V743" s="75">
        <v>0</v>
      </c>
      <c r="W743" s="75">
        <v>0</v>
      </c>
      <c r="X743" s="75">
        <v>0</v>
      </c>
      <c r="Y743" s="76">
        <f t="shared" si="111"/>
        <v>1934556.0079999999</v>
      </c>
      <c r="Z743" s="201"/>
      <c r="AA743" s="160">
        <v>279000</v>
      </c>
      <c r="AB743" s="160"/>
      <c r="AC743" s="160"/>
      <c r="AD743" s="160">
        <v>21000</v>
      </c>
      <c r="AE743" s="79"/>
      <c r="AF743" s="79"/>
      <c r="AG743" s="80">
        <f t="shared" si="112"/>
        <v>300000</v>
      </c>
      <c r="AH743" s="123" t="s">
        <v>595</v>
      </c>
      <c r="AI743" s="123" t="s">
        <v>74</v>
      </c>
      <c r="AJ743" s="123" t="s">
        <v>74</v>
      </c>
      <c r="AK743" s="123" t="s">
        <v>595</v>
      </c>
      <c r="AL743" s="123" t="s">
        <v>74</v>
      </c>
      <c r="AM743" s="123" t="s">
        <v>74</v>
      </c>
      <c r="AN743" s="82"/>
      <c r="AO743" s="82"/>
      <c r="AP743" s="82"/>
      <c r="AQ743" s="82"/>
      <c r="AR743" s="82"/>
      <c r="AS743" s="82">
        <f t="shared" si="113"/>
        <v>0</v>
      </c>
      <c r="AT743" s="124" t="s">
        <v>74</v>
      </c>
      <c r="AU743" s="82"/>
      <c r="AV743" s="82"/>
      <c r="AW743" s="82"/>
      <c r="AX743" s="82"/>
      <c r="AY743" s="82"/>
      <c r="AZ743" s="82"/>
      <c r="BA743" s="82">
        <f t="shared" si="114"/>
        <v>0</v>
      </c>
      <c r="BB743" s="125" t="s">
        <v>74</v>
      </c>
      <c r="BC743" s="124" t="s">
        <v>74</v>
      </c>
      <c r="BD743" s="126" t="s">
        <v>74</v>
      </c>
      <c r="BE743" s="126" t="s">
        <v>74</v>
      </c>
      <c r="BF743" s="126" t="s">
        <v>74</v>
      </c>
      <c r="BG743" s="126" t="s">
        <v>74</v>
      </c>
      <c r="BH743" s="82">
        <f t="shared" si="115"/>
        <v>0</v>
      </c>
      <c r="BI743" s="82">
        <f t="shared" si="116"/>
        <v>1634556.0079999999</v>
      </c>
      <c r="BJ743" s="52">
        <f>BI743-BH743</f>
        <v>1634556.0079999999</v>
      </c>
      <c r="BK743" s="56">
        <v>44440</v>
      </c>
      <c r="BL743" s="83">
        <v>1634556.01</v>
      </c>
      <c r="BM743" s="75">
        <v>0</v>
      </c>
      <c r="BN743" s="9"/>
      <c r="BO743" s="9"/>
      <c r="BP743" s="9"/>
      <c r="BQ743" s="9"/>
      <c r="BR743" s="9"/>
      <c r="BS743" s="9"/>
      <c r="BT743" s="9"/>
      <c r="BU743" s="9"/>
      <c r="BV743" s="9"/>
      <c r="BW743" s="9"/>
    </row>
    <row r="744" spans="1:75" hidden="1" outlineLevel="1" collapsed="1" x14ac:dyDescent="0.25">
      <c r="A744" s="197"/>
      <c r="B744" s="88" t="s">
        <v>839</v>
      </c>
      <c r="C744" s="86"/>
      <c r="D744" s="120"/>
      <c r="E744" s="88"/>
      <c r="F744" s="88"/>
      <c r="G744" s="88"/>
      <c r="H744" s="88"/>
      <c r="I744" s="88"/>
      <c r="J744" s="88"/>
      <c r="K744" s="88"/>
      <c r="L744" s="88"/>
      <c r="M744" s="88"/>
      <c r="N744" s="88"/>
      <c r="O744" s="88"/>
      <c r="P744" s="88"/>
      <c r="Q744" s="88"/>
      <c r="R744" s="88"/>
      <c r="S744" s="88"/>
      <c r="T744" s="88"/>
      <c r="U744" s="88"/>
      <c r="V744" s="88"/>
      <c r="W744" s="88"/>
      <c r="X744" s="88"/>
      <c r="Y744" s="89">
        <f t="shared" ref="Y744:AG744" si="117">SUBTOTAL(9,Y735:Y743)</f>
        <v>0</v>
      </c>
      <c r="Z744" s="128">
        <f t="shared" si="117"/>
        <v>0</v>
      </c>
      <c r="AA744" s="162">
        <f t="shared" si="117"/>
        <v>0</v>
      </c>
      <c r="AB744" s="162">
        <f t="shared" si="117"/>
        <v>0</v>
      </c>
      <c r="AC744" s="162">
        <f t="shared" si="117"/>
        <v>0</v>
      </c>
      <c r="AD744" s="162">
        <f t="shared" si="117"/>
        <v>0</v>
      </c>
      <c r="AE744" s="89">
        <f t="shared" si="117"/>
        <v>0</v>
      </c>
      <c r="AF744" s="89">
        <f t="shared" si="117"/>
        <v>0</v>
      </c>
      <c r="AG744" s="89">
        <f t="shared" si="117"/>
        <v>0</v>
      </c>
      <c r="AH744" s="129"/>
      <c r="AI744" s="129"/>
      <c r="AJ744" s="129"/>
      <c r="AK744" s="129"/>
      <c r="AL744" s="129"/>
      <c r="AM744" s="129"/>
      <c r="AN744" s="92">
        <f t="shared" ref="AN744:AS744" si="118">SUBTOTAL(9,AN735:AN743)</f>
        <v>0</v>
      </c>
      <c r="AO744" s="92">
        <f t="shared" si="118"/>
        <v>0</v>
      </c>
      <c r="AP744" s="92">
        <f t="shared" si="118"/>
        <v>0</v>
      </c>
      <c r="AQ744" s="92">
        <f t="shared" si="118"/>
        <v>0</v>
      </c>
      <c r="AR744" s="92">
        <f t="shared" si="118"/>
        <v>0</v>
      </c>
      <c r="AS744" s="92">
        <f t="shared" si="118"/>
        <v>0</v>
      </c>
      <c r="AT744" s="130"/>
      <c r="AU744" s="92">
        <f t="shared" ref="AU744:BA744" si="119">SUBTOTAL(9,AU735:AU743)</f>
        <v>0</v>
      </c>
      <c r="AV744" s="92">
        <f t="shared" si="119"/>
        <v>0</v>
      </c>
      <c r="AW744" s="92">
        <f t="shared" si="119"/>
        <v>0</v>
      </c>
      <c r="AX744" s="92">
        <f t="shared" si="119"/>
        <v>0</v>
      </c>
      <c r="AY744" s="92">
        <f t="shared" si="119"/>
        <v>0</v>
      </c>
      <c r="AZ744" s="92">
        <f t="shared" si="119"/>
        <v>0</v>
      </c>
      <c r="BA744" s="92">
        <f t="shared" si="119"/>
        <v>0</v>
      </c>
      <c r="BB744" s="131"/>
      <c r="BC744" s="130"/>
      <c r="BD744" s="132"/>
      <c r="BE744" s="132"/>
      <c r="BF744" s="132"/>
      <c r="BG744" s="132"/>
      <c r="BH744" s="92">
        <f>SUBTOTAL(9,BH735:BH743)</f>
        <v>0</v>
      </c>
      <c r="BI744" s="92">
        <f>SUBTOTAL(9,BI735:BI743)</f>
        <v>0</v>
      </c>
      <c r="BJ744" s="93"/>
      <c r="BK744" s="94"/>
      <c r="BL744" s="95">
        <f>SUBTOTAL(9,BL735:BL743)</f>
        <v>0</v>
      </c>
      <c r="BM744" s="88">
        <f>SUBTOTAL(9,BM735:BM743)</f>
        <v>0</v>
      </c>
      <c r="BN744" s="9"/>
      <c r="BO744" s="9"/>
      <c r="BP744" s="9"/>
      <c r="BQ744" s="9"/>
      <c r="BR744" s="9"/>
      <c r="BS744" s="9"/>
      <c r="BT744" s="9"/>
      <c r="BU744" s="9"/>
      <c r="BV744" s="9"/>
      <c r="BW744" s="9"/>
    </row>
    <row r="745" spans="1:75" ht="26.25" hidden="1" outlineLevel="2" x14ac:dyDescent="0.25">
      <c r="A745" s="96" t="s">
        <v>840</v>
      </c>
      <c r="B745" s="97" t="s">
        <v>841</v>
      </c>
      <c r="C745" s="98">
        <v>2017</v>
      </c>
      <c r="D745" s="97" t="s">
        <v>73</v>
      </c>
      <c r="E745" s="100">
        <v>602491.89</v>
      </c>
      <c r="F745" s="100">
        <v>2097508.11</v>
      </c>
      <c r="G745" s="100">
        <v>0</v>
      </c>
      <c r="H745" s="100">
        <v>0</v>
      </c>
      <c r="I745" s="100">
        <v>0</v>
      </c>
      <c r="J745" s="100">
        <v>0</v>
      </c>
      <c r="K745" s="100">
        <v>0</v>
      </c>
      <c r="L745" s="100">
        <v>0</v>
      </c>
      <c r="M745" s="100">
        <v>0</v>
      </c>
      <c r="N745" s="100">
        <v>0</v>
      </c>
      <c r="O745" s="100">
        <v>0</v>
      </c>
      <c r="P745" s="100">
        <v>0</v>
      </c>
      <c r="Q745" s="100">
        <v>0</v>
      </c>
      <c r="R745" s="100">
        <v>0</v>
      </c>
      <c r="S745" s="100">
        <v>0</v>
      </c>
      <c r="T745" s="100">
        <v>0</v>
      </c>
      <c r="U745" s="100">
        <v>0</v>
      </c>
      <c r="V745" s="100">
        <v>0</v>
      </c>
      <c r="W745" s="100">
        <v>0</v>
      </c>
      <c r="X745" s="100">
        <v>0</v>
      </c>
      <c r="Y745" s="101">
        <v>2700000</v>
      </c>
      <c r="Z745" s="102">
        <v>0</v>
      </c>
      <c r="AA745" s="103">
        <v>0</v>
      </c>
      <c r="AB745" s="103">
        <v>0</v>
      </c>
      <c r="AC745" s="103">
        <v>0</v>
      </c>
      <c r="AD745" s="103">
        <v>0</v>
      </c>
      <c r="AE745" s="103">
        <v>1100000</v>
      </c>
      <c r="AF745" s="103">
        <v>0</v>
      </c>
      <c r="AG745" s="102">
        <v>1100000</v>
      </c>
      <c r="AH745" s="104" t="s">
        <v>74</v>
      </c>
      <c r="AI745" s="104" t="s">
        <v>74</v>
      </c>
      <c r="AJ745" s="104" t="s">
        <v>74</v>
      </c>
      <c r="AK745" s="104" t="s">
        <v>74</v>
      </c>
      <c r="AL745" s="104" t="s">
        <v>842</v>
      </c>
      <c r="AM745" s="104" t="s">
        <v>74</v>
      </c>
      <c r="AN745" s="105">
        <v>0</v>
      </c>
      <c r="AO745" s="105">
        <v>0</v>
      </c>
      <c r="AP745" s="105">
        <v>0</v>
      </c>
      <c r="AQ745" s="105">
        <v>0</v>
      </c>
      <c r="AR745" s="105">
        <v>0</v>
      </c>
      <c r="AS745" s="105">
        <v>0</v>
      </c>
      <c r="AT745" s="106" t="s">
        <v>74</v>
      </c>
      <c r="AU745" s="105">
        <v>0</v>
      </c>
      <c r="AV745" s="105"/>
      <c r="AW745" s="105">
        <v>0</v>
      </c>
      <c r="AX745" s="105"/>
      <c r="AY745" s="105"/>
      <c r="AZ745" s="105">
        <v>0</v>
      </c>
      <c r="BA745" s="105">
        <v>0</v>
      </c>
      <c r="BB745" s="107" t="s">
        <v>74</v>
      </c>
      <c r="BC745" s="106" t="s">
        <v>74</v>
      </c>
      <c r="BD745" s="108" t="s">
        <v>74</v>
      </c>
      <c r="BE745" s="108" t="s">
        <v>74</v>
      </c>
      <c r="BF745" s="108" t="s">
        <v>74</v>
      </c>
      <c r="BG745" s="108" t="s">
        <v>74</v>
      </c>
      <c r="BH745" s="105">
        <v>0</v>
      </c>
      <c r="BI745" s="105">
        <v>1600000</v>
      </c>
      <c r="BJ745" s="52">
        <v>1600000</v>
      </c>
      <c r="BK745" s="56">
        <v>42736</v>
      </c>
      <c r="BL745" s="109">
        <v>1600000</v>
      </c>
      <c r="BM745" s="100">
        <v>0</v>
      </c>
      <c r="BN745" s="9"/>
      <c r="BO745" s="9"/>
      <c r="BP745" s="9"/>
      <c r="BQ745" s="9"/>
      <c r="BR745" s="9"/>
      <c r="BS745" s="9"/>
      <c r="BT745" s="9"/>
      <c r="BU745" s="9"/>
      <c r="BV745" s="9"/>
      <c r="BW745" s="9"/>
    </row>
    <row r="746" spans="1:75" ht="26.25" hidden="1" outlineLevel="2" x14ac:dyDescent="0.25">
      <c r="A746" s="43" t="s">
        <v>840</v>
      </c>
      <c r="B746" s="110" t="s">
        <v>841</v>
      </c>
      <c r="C746" s="45">
        <v>2017</v>
      </c>
      <c r="D746" s="110" t="s">
        <v>75</v>
      </c>
      <c r="E746" s="47">
        <v>602491.89</v>
      </c>
      <c r="F746" s="47">
        <v>2097508.11</v>
      </c>
      <c r="G746" s="47">
        <v>0</v>
      </c>
      <c r="H746" s="47">
        <v>0</v>
      </c>
      <c r="I746" s="47">
        <v>0</v>
      </c>
      <c r="J746" s="47">
        <v>0</v>
      </c>
      <c r="K746" s="47">
        <v>0</v>
      </c>
      <c r="L746" s="47">
        <v>0</v>
      </c>
      <c r="M746" s="47">
        <v>0</v>
      </c>
      <c r="N746" s="47">
        <v>0</v>
      </c>
      <c r="O746" s="47">
        <v>0</v>
      </c>
      <c r="P746" s="47">
        <v>0</v>
      </c>
      <c r="Q746" s="47">
        <v>0</v>
      </c>
      <c r="R746" s="47">
        <v>0</v>
      </c>
      <c r="S746" s="47">
        <v>0</v>
      </c>
      <c r="T746" s="47">
        <v>0</v>
      </c>
      <c r="U746" s="47">
        <v>0</v>
      </c>
      <c r="V746" s="47">
        <v>0</v>
      </c>
      <c r="W746" s="47">
        <v>0</v>
      </c>
      <c r="X746" s="47">
        <v>0</v>
      </c>
      <c r="Y746" s="48">
        <v>2700000</v>
      </c>
      <c r="Z746" s="49">
        <v>0</v>
      </c>
      <c r="AA746" s="50">
        <v>0</v>
      </c>
      <c r="AB746" s="50">
        <v>0</v>
      </c>
      <c r="AC746" s="50">
        <v>0</v>
      </c>
      <c r="AD746" s="50">
        <v>0</v>
      </c>
      <c r="AE746" s="50">
        <v>1100000</v>
      </c>
      <c r="AF746" s="50">
        <v>0</v>
      </c>
      <c r="AG746" s="49">
        <v>1100000</v>
      </c>
      <c r="AH746" s="51" t="s">
        <v>74</v>
      </c>
      <c r="AI746" s="51" t="s">
        <v>74</v>
      </c>
      <c r="AJ746" s="51" t="s">
        <v>74</v>
      </c>
      <c r="AK746" s="51" t="s">
        <v>74</v>
      </c>
      <c r="AL746" s="51" t="s">
        <v>842</v>
      </c>
      <c r="AM746" s="51" t="s">
        <v>74</v>
      </c>
      <c r="AN746" s="52">
        <v>0</v>
      </c>
      <c r="AO746" s="52">
        <v>0</v>
      </c>
      <c r="AP746" s="52">
        <v>0</v>
      </c>
      <c r="AQ746" s="52">
        <v>0</v>
      </c>
      <c r="AR746" s="52">
        <v>0</v>
      </c>
      <c r="AS746" s="52">
        <v>0</v>
      </c>
      <c r="AT746" s="53" t="s">
        <v>74</v>
      </c>
      <c r="AU746" s="52">
        <v>0</v>
      </c>
      <c r="AV746" s="52"/>
      <c r="AW746" s="52">
        <v>0</v>
      </c>
      <c r="AX746" s="52"/>
      <c r="AY746" s="52"/>
      <c r="AZ746" s="52">
        <v>0</v>
      </c>
      <c r="BA746" s="52">
        <v>0</v>
      </c>
      <c r="BB746" s="54" t="s">
        <v>74</v>
      </c>
      <c r="BC746" s="53" t="s">
        <v>74</v>
      </c>
      <c r="BD746" s="55" t="s">
        <v>74</v>
      </c>
      <c r="BE746" s="55" t="s">
        <v>74</v>
      </c>
      <c r="BF746" s="55" t="s">
        <v>74</v>
      </c>
      <c r="BG746" s="55" t="s">
        <v>74</v>
      </c>
      <c r="BH746" s="52">
        <v>0</v>
      </c>
      <c r="BI746" s="52">
        <v>1600000</v>
      </c>
      <c r="BJ746" s="52">
        <v>1600000</v>
      </c>
      <c r="BK746" s="56">
        <v>42767</v>
      </c>
      <c r="BL746" s="57">
        <v>1600000</v>
      </c>
      <c r="BM746" s="47">
        <v>0</v>
      </c>
      <c r="BN746" s="9"/>
      <c r="BO746" s="9"/>
      <c r="BP746" s="9"/>
      <c r="BQ746" s="9"/>
      <c r="BR746" s="9"/>
      <c r="BS746" s="9"/>
      <c r="BT746" s="9"/>
      <c r="BU746" s="9"/>
      <c r="BV746" s="9"/>
      <c r="BW746" s="9"/>
    </row>
    <row r="747" spans="1:75" ht="26.25" hidden="1" outlineLevel="2" x14ac:dyDescent="0.25">
      <c r="A747" s="43" t="s">
        <v>840</v>
      </c>
      <c r="B747" s="110" t="s">
        <v>841</v>
      </c>
      <c r="C747" s="45">
        <v>2017</v>
      </c>
      <c r="D747" s="110" t="s">
        <v>77</v>
      </c>
      <c r="E747" s="47">
        <v>602491.89</v>
      </c>
      <c r="F747" s="47">
        <v>2097508.11</v>
      </c>
      <c r="G747" s="47">
        <v>0</v>
      </c>
      <c r="H747" s="47">
        <v>0</v>
      </c>
      <c r="I747" s="47">
        <v>0</v>
      </c>
      <c r="J747" s="47">
        <v>0</v>
      </c>
      <c r="K747" s="47">
        <v>0</v>
      </c>
      <c r="L747" s="47">
        <v>0</v>
      </c>
      <c r="M747" s="47">
        <v>0</v>
      </c>
      <c r="N747" s="47">
        <v>0</v>
      </c>
      <c r="O747" s="47">
        <v>0</v>
      </c>
      <c r="P747" s="47">
        <v>0</v>
      </c>
      <c r="Q747" s="47">
        <v>0</v>
      </c>
      <c r="R747" s="47">
        <v>0</v>
      </c>
      <c r="S747" s="47">
        <v>0</v>
      </c>
      <c r="T747" s="47">
        <v>0</v>
      </c>
      <c r="U747" s="47">
        <v>0</v>
      </c>
      <c r="V747" s="47">
        <v>0</v>
      </c>
      <c r="W747" s="47">
        <v>0</v>
      </c>
      <c r="X747" s="47">
        <v>0</v>
      </c>
      <c r="Y747" s="48">
        <v>2700000</v>
      </c>
      <c r="Z747" s="49">
        <v>0</v>
      </c>
      <c r="AA747" s="50">
        <v>0</v>
      </c>
      <c r="AB747" s="50">
        <v>0</v>
      </c>
      <c r="AC747" s="50">
        <v>0</v>
      </c>
      <c r="AD747" s="50">
        <v>0</v>
      </c>
      <c r="AE747" s="50">
        <v>1100000</v>
      </c>
      <c r="AF747" s="50">
        <v>0</v>
      </c>
      <c r="AG747" s="49">
        <v>1100000</v>
      </c>
      <c r="AH747" s="51" t="s">
        <v>74</v>
      </c>
      <c r="AI747" s="51" t="s">
        <v>74</v>
      </c>
      <c r="AJ747" s="51" t="s">
        <v>74</v>
      </c>
      <c r="AK747" s="51" t="s">
        <v>74</v>
      </c>
      <c r="AL747" s="51" t="s">
        <v>842</v>
      </c>
      <c r="AM747" s="51" t="s">
        <v>74</v>
      </c>
      <c r="AN747" s="52">
        <v>0</v>
      </c>
      <c r="AO747" s="52">
        <v>0</v>
      </c>
      <c r="AP747" s="52">
        <v>0</v>
      </c>
      <c r="AQ747" s="52">
        <v>0</v>
      </c>
      <c r="AR747" s="52">
        <v>0</v>
      </c>
      <c r="AS747" s="52">
        <v>0</v>
      </c>
      <c r="AT747" s="53" t="s">
        <v>74</v>
      </c>
      <c r="AU747" s="52">
        <v>0</v>
      </c>
      <c r="AV747" s="52"/>
      <c r="AW747" s="52">
        <v>0</v>
      </c>
      <c r="AX747" s="52"/>
      <c r="AY747" s="52"/>
      <c r="AZ747" s="52">
        <v>0</v>
      </c>
      <c r="BA747" s="52">
        <v>0</v>
      </c>
      <c r="BB747" s="54" t="s">
        <v>74</v>
      </c>
      <c r="BC747" s="53" t="s">
        <v>74</v>
      </c>
      <c r="BD747" s="55" t="s">
        <v>74</v>
      </c>
      <c r="BE747" s="55" t="s">
        <v>74</v>
      </c>
      <c r="BF747" s="55" t="s">
        <v>74</v>
      </c>
      <c r="BG747" s="55" t="s">
        <v>74</v>
      </c>
      <c r="BH747" s="52">
        <v>0</v>
      </c>
      <c r="BI747" s="52">
        <v>1600000</v>
      </c>
      <c r="BJ747" s="52">
        <v>1600000</v>
      </c>
      <c r="BK747" s="56">
        <v>42795</v>
      </c>
      <c r="BL747" s="57">
        <v>1600000</v>
      </c>
      <c r="BM747" s="47">
        <v>0</v>
      </c>
      <c r="BN747" s="9"/>
      <c r="BO747" s="9"/>
      <c r="BP747" s="9"/>
      <c r="BQ747" s="9"/>
      <c r="BR747" s="9"/>
      <c r="BS747" s="9"/>
      <c r="BT747" s="9"/>
      <c r="BU747" s="9"/>
      <c r="BV747" s="9"/>
      <c r="BW747" s="9"/>
    </row>
    <row r="748" spans="1:75" ht="26.25" hidden="1" outlineLevel="2" x14ac:dyDescent="0.25">
      <c r="A748" s="43" t="s">
        <v>840</v>
      </c>
      <c r="B748" s="110" t="s">
        <v>841</v>
      </c>
      <c r="C748" s="45">
        <v>2017</v>
      </c>
      <c r="D748" s="110" t="s">
        <v>79</v>
      </c>
      <c r="E748" s="47">
        <v>602491.89</v>
      </c>
      <c r="F748" s="47">
        <v>2097508.11</v>
      </c>
      <c r="G748" s="47">
        <v>0</v>
      </c>
      <c r="H748" s="47">
        <v>0</v>
      </c>
      <c r="I748" s="47">
        <v>0</v>
      </c>
      <c r="J748" s="47">
        <v>0</v>
      </c>
      <c r="K748" s="47">
        <v>0</v>
      </c>
      <c r="L748" s="47">
        <v>0</v>
      </c>
      <c r="M748" s="47">
        <v>0</v>
      </c>
      <c r="N748" s="47">
        <v>0</v>
      </c>
      <c r="O748" s="47">
        <v>0</v>
      </c>
      <c r="P748" s="47">
        <v>0</v>
      </c>
      <c r="Q748" s="47">
        <v>0</v>
      </c>
      <c r="R748" s="47">
        <v>0</v>
      </c>
      <c r="S748" s="47">
        <v>0</v>
      </c>
      <c r="T748" s="47">
        <v>0</v>
      </c>
      <c r="U748" s="47">
        <v>0</v>
      </c>
      <c r="V748" s="47">
        <v>0</v>
      </c>
      <c r="W748" s="47">
        <v>0</v>
      </c>
      <c r="X748" s="47">
        <v>0</v>
      </c>
      <c r="Y748" s="48">
        <v>2700000</v>
      </c>
      <c r="Z748" s="49">
        <v>0</v>
      </c>
      <c r="AA748" s="50">
        <v>0</v>
      </c>
      <c r="AB748" s="50">
        <v>0</v>
      </c>
      <c r="AC748" s="50">
        <v>0</v>
      </c>
      <c r="AD748" s="50">
        <v>0</v>
      </c>
      <c r="AE748" s="50">
        <v>1100000</v>
      </c>
      <c r="AF748" s="50">
        <v>0</v>
      </c>
      <c r="AG748" s="49">
        <v>1100000</v>
      </c>
      <c r="AH748" s="51" t="s">
        <v>74</v>
      </c>
      <c r="AI748" s="51" t="s">
        <v>74</v>
      </c>
      <c r="AJ748" s="51" t="s">
        <v>74</v>
      </c>
      <c r="AK748" s="51" t="s">
        <v>74</v>
      </c>
      <c r="AL748" s="51" t="s">
        <v>842</v>
      </c>
      <c r="AM748" s="51" t="s">
        <v>74</v>
      </c>
      <c r="AN748" s="52">
        <v>0</v>
      </c>
      <c r="AO748" s="52">
        <v>0</v>
      </c>
      <c r="AP748" s="52">
        <v>0</v>
      </c>
      <c r="AQ748" s="52">
        <v>0</v>
      </c>
      <c r="AR748" s="52">
        <v>0</v>
      </c>
      <c r="AS748" s="52">
        <v>0</v>
      </c>
      <c r="AT748" s="53" t="s">
        <v>74</v>
      </c>
      <c r="AU748" s="52">
        <v>0</v>
      </c>
      <c r="AV748" s="52"/>
      <c r="AW748" s="52">
        <v>0</v>
      </c>
      <c r="AX748" s="52"/>
      <c r="AY748" s="52"/>
      <c r="AZ748" s="52">
        <v>0</v>
      </c>
      <c r="BA748" s="52">
        <v>0</v>
      </c>
      <c r="BB748" s="54" t="s">
        <v>74</v>
      </c>
      <c r="BC748" s="53" t="s">
        <v>74</v>
      </c>
      <c r="BD748" s="55" t="s">
        <v>74</v>
      </c>
      <c r="BE748" s="55" t="s">
        <v>74</v>
      </c>
      <c r="BF748" s="55" t="s">
        <v>74</v>
      </c>
      <c r="BG748" s="55" t="s">
        <v>74</v>
      </c>
      <c r="BH748" s="52">
        <v>0</v>
      </c>
      <c r="BI748" s="52">
        <v>1600000</v>
      </c>
      <c r="BJ748" s="52">
        <v>1600000</v>
      </c>
      <c r="BK748" s="56">
        <v>42826</v>
      </c>
      <c r="BL748" s="57">
        <v>1600000</v>
      </c>
      <c r="BM748" s="47">
        <v>0</v>
      </c>
      <c r="BN748" s="9"/>
      <c r="BO748" s="9"/>
      <c r="BP748" s="9"/>
      <c r="BQ748" s="9"/>
      <c r="BR748" s="9"/>
      <c r="BS748" s="9"/>
      <c r="BT748" s="9"/>
      <c r="BU748" s="9"/>
      <c r="BV748" s="9"/>
      <c r="BW748" s="9"/>
    </row>
    <row r="749" spans="1:75" ht="26.25" hidden="1" outlineLevel="2" x14ac:dyDescent="0.25">
      <c r="A749" s="43" t="s">
        <v>840</v>
      </c>
      <c r="B749" s="110" t="s">
        <v>841</v>
      </c>
      <c r="C749" s="45">
        <v>2017</v>
      </c>
      <c r="D749" s="110" t="s">
        <v>81</v>
      </c>
      <c r="E749" s="47">
        <v>602491.89</v>
      </c>
      <c r="F749" s="47">
        <v>2097508.11</v>
      </c>
      <c r="G749" s="47">
        <v>0</v>
      </c>
      <c r="H749" s="47">
        <v>0</v>
      </c>
      <c r="I749" s="47">
        <v>0</v>
      </c>
      <c r="J749" s="47">
        <v>0</v>
      </c>
      <c r="K749" s="47">
        <v>0</v>
      </c>
      <c r="L749" s="47">
        <v>0</v>
      </c>
      <c r="M749" s="47">
        <v>0</v>
      </c>
      <c r="N749" s="47">
        <v>0</v>
      </c>
      <c r="O749" s="47">
        <v>0</v>
      </c>
      <c r="P749" s="47">
        <v>0</v>
      </c>
      <c r="Q749" s="47">
        <v>0</v>
      </c>
      <c r="R749" s="47">
        <v>0</v>
      </c>
      <c r="S749" s="47">
        <v>0</v>
      </c>
      <c r="T749" s="47">
        <v>0</v>
      </c>
      <c r="U749" s="47">
        <v>0</v>
      </c>
      <c r="V749" s="47">
        <v>0</v>
      </c>
      <c r="W749" s="47">
        <v>0</v>
      </c>
      <c r="X749" s="47">
        <v>0</v>
      </c>
      <c r="Y749" s="48">
        <v>2700000</v>
      </c>
      <c r="Z749" s="49">
        <v>0</v>
      </c>
      <c r="AA749" s="50">
        <v>0</v>
      </c>
      <c r="AB749" s="50">
        <v>0</v>
      </c>
      <c r="AC749" s="50">
        <v>0</v>
      </c>
      <c r="AD749" s="50">
        <v>0</v>
      </c>
      <c r="AE749" s="50">
        <v>1100000</v>
      </c>
      <c r="AF749" s="50">
        <v>0</v>
      </c>
      <c r="AG749" s="49">
        <v>1100000</v>
      </c>
      <c r="AH749" s="51" t="s">
        <v>74</v>
      </c>
      <c r="AI749" s="51" t="s">
        <v>74</v>
      </c>
      <c r="AJ749" s="51" t="s">
        <v>74</v>
      </c>
      <c r="AK749" s="51" t="s">
        <v>74</v>
      </c>
      <c r="AL749" s="51" t="s">
        <v>842</v>
      </c>
      <c r="AM749" s="51" t="s">
        <v>74</v>
      </c>
      <c r="AN749" s="52">
        <v>0</v>
      </c>
      <c r="AO749" s="52">
        <v>0</v>
      </c>
      <c r="AP749" s="52">
        <v>0</v>
      </c>
      <c r="AQ749" s="52">
        <v>0</v>
      </c>
      <c r="AR749" s="52">
        <v>0</v>
      </c>
      <c r="AS749" s="52">
        <v>0</v>
      </c>
      <c r="AT749" s="53" t="s">
        <v>74</v>
      </c>
      <c r="AU749" s="52">
        <v>0</v>
      </c>
      <c r="AV749" s="52"/>
      <c r="AW749" s="52">
        <v>0</v>
      </c>
      <c r="AX749" s="52"/>
      <c r="AY749" s="52"/>
      <c r="AZ749" s="52">
        <v>0</v>
      </c>
      <c r="BA749" s="52">
        <v>0</v>
      </c>
      <c r="BB749" s="54" t="s">
        <v>74</v>
      </c>
      <c r="BC749" s="53" t="s">
        <v>74</v>
      </c>
      <c r="BD749" s="55" t="s">
        <v>74</v>
      </c>
      <c r="BE749" s="55" t="s">
        <v>74</v>
      </c>
      <c r="BF749" s="55" t="s">
        <v>74</v>
      </c>
      <c r="BG749" s="55" t="s">
        <v>74</v>
      </c>
      <c r="BH749" s="52">
        <v>0</v>
      </c>
      <c r="BI749" s="52">
        <v>1600000</v>
      </c>
      <c r="BJ749" s="52">
        <v>1600000</v>
      </c>
      <c r="BK749" s="56">
        <v>42856</v>
      </c>
      <c r="BL749" s="57">
        <v>1600000</v>
      </c>
      <c r="BM749" s="47">
        <v>0</v>
      </c>
      <c r="BN749" s="9"/>
      <c r="BO749" s="9"/>
      <c r="BP749" s="9"/>
      <c r="BQ749" s="9"/>
      <c r="BR749" s="9"/>
      <c r="BS749" s="9"/>
      <c r="BT749" s="9"/>
      <c r="BU749" s="9"/>
      <c r="BV749" s="9"/>
      <c r="BW749" s="9"/>
    </row>
    <row r="750" spans="1:75" hidden="1" outlineLevel="2" x14ac:dyDescent="0.25">
      <c r="A750" s="43" t="s">
        <v>840</v>
      </c>
      <c r="B750" s="110" t="s">
        <v>841</v>
      </c>
      <c r="C750" s="45">
        <v>2017</v>
      </c>
      <c r="D750" s="110" t="s">
        <v>83</v>
      </c>
      <c r="E750" s="47">
        <v>602491.89</v>
      </c>
      <c r="F750" s="47">
        <v>2097508.11</v>
      </c>
      <c r="G750" s="47">
        <v>0</v>
      </c>
      <c r="H750" s="47">
        <v>0</v>
      </c>
      <c r="I750" s="47">
        <v>0</v>
      </c>
      <c r="J750" s="47">
        <v>0</v>
      </c>
      <c r="K750" s="47">
        <v>0</v>
      </c>
      <c r="L750" s="47">
        <v>0</v>
      </c>
      <c r="M750" s="47">
        <v>0</v>
      </c>
      <c r="N750" s="47">
        <v>0</v>
      </c>
      <c r="O750" s="47">
        <v>0</v>
      </c>
      <c r="P750" s="47">
        <v>0</v>
      </c>
      <c r="Q750" s="47">
        <v>0</v>
      </c>
      <c r="R750" s="47">
        <v>0</v>
      </c>
      <c r="S750" s="47">
        <v>0</v>
      </c>
      <c r="T750" s="47">
        <v>0</v>
      </c>
      <c r="U750" s="47">
        <v>0</v>
      </c>
      <c r="V750" s="47">
        <v>0</v>
      </c>
      <c r="W750" s="47">
        <v>0</v>
      </c>
      <c r="X750" s="47">
        <v>0</v>
      </c>
      <c r="Y750" s="48">
        <v>2700000</v>
      </c>
      <c r="Z750" s="49">
        <v>0</v>
      </c>
      <c r="AA750" s="50">
        <v>0</v>
      </c>
      <c r="AB750" s="50">
        <v>0</v>
      </c>
      <c r="AC750" s="50">
        <v>0</v>
      </c>
      <c r="AD750" s="50">
        <v>0</v>
      </c>
      <c r="AE750" s="50">
        <v>0</v>
      </c>
      <c r="AF750" s="50">
        <v>0</v>
      </c>
      <c r="AG750" s="49">
        <v>0</v>
      </c>
      <c r="AH750" s="51" t="s">
        <v>74</v>
      </c>
      <c r="AI750" s="51" t="s">
        <v>74</v>
      </c>
      <c r="AJ750" s="51" t="s">
        <v>74</v>
      </c>
      <c r="AK750" s="51" t="s">
        <v>74</v>
      </c>
      <c r="AL750" s="51" t="s">
        <v>74</v>
      </c>
      <c r="AM750" s="51" t="s">
        <v>74</v>
      </c>
      <c r="AN750" s="52">
        <v>0</v>
      </c>
      <c r="AO750" s="52">
        <v>0</v>
      </c>
      <c r="AP750" s="52">
        <v>0</v>
      </c>
      <c r="AQ750" s="52">
        <v>0</v>
      </c>
      <c r="AR750" s="52">
        <v>0</v>
      </c>
      <c r="AS750" s="52">
        <v>0</v>
      </c>
      <c r="AT750" s="53" t="s">
        <v>74</v>
      </c>
      <c r="AU750" s="52">
        <v>0</v>
      </c>
      <c r="AV750" s="52"/>
      <c r="AW750" s="52">
        <v>0</v>
      </c>
      <c r="AX750" s="52"/>
      <c r="AY750" s="52"/>
      <c r="AZ750" s="52">
        <v>0</v>
      </c>
      <c r="BA750" s="52">
        <v>0</v>
      </c>
      <c r="BB750" s="54" t="s">
        <v>74</v>
      </c>
      <c r="BC750" s="53" t="s">
        <v>74</v>
      </c>
      <c r="BD750" s="55" t="s">
        <v>74</v>
      </c>
      <c r="BE750" s="55" t="s">
        <v>74</v>
      </c>
      <c r="BF750" s="55" t="s">
        <v>74</v>
      </c>
      <c r="BG750" s="55" t="s">
        <v>74</v>
      </c>
      <c r="BH750" s="52">
        <v>0</v>
      </c>
      <c r="BI750" s="52">
        <v>2700000</v>
      </c>
      <c r="BJ750" s="52">
        <v>2700000</v>
      </c>
      <c r="BK750" s="56">
        <v>42887</v>
      </c>
      <c r="BL750" s="57">
        <v>2700000</v>
      </c>
      <c r="BM750" s="47">
        <v>0</v>
      </c>
      <c r="BN750" s="9"/>
      <c r="BO750" s="9"/>
      <c r="BP750" s="9"/>
      <c r="BQ750" s="9"/>
      <c r="BR750" s="9"/>
      <c r="BS750" s="9"/>
      <c r="BT750" s="9"/>
      <c r="BU750" s="9"/>
      <c r="BV750" s="9"/>
      <c r="BW750" s="9"/>
    </row>
    <row r="751" spans="1:75" hidden="1" outlineLevel="2" x14ac:dyDescent="0.25">
      <c r="A751" s="43" t="s">
        <v>840</v>
      </c>
      <c r="B751" s="110" t="s">
        <v>841</v>
      </c>
      <c r="C751" s="45">
        <v>2017</v>
      </c>
      <c r="D751" s="110" t="s">
        <v>84</v>
      </c>
      <c r="E751" s="47">
        <v>602491.89</v>
      </c>
      <c r="F751" s="47">
        <v>2097508.11</v>
      </c>
      <c r="G751" s="47">
        <v>0</v>
      </c>
      <c r="H751" s="47">
        <v>0</v>
      </c>
      <c r="I751" s="47">
        <v>0</v>
      </c>
      <c r="J751" s="47">
        <v>0</v>
      </c>
      <c r="K751" s="47">
        <v>0</v>
      </c>
      <c r="L751" s="47">
        <v>0</v>
      </c>
      <c r="M751" s="47">
        <v>0</v>
      </c>
      <c r="N751" s="47">
        <v>0</v>
      </c>
      <c r="O751" s="47">
        <v>0</v>
      </c>
      <c r="P751" s="47">
        <v>0</v>
      </c>
      <c r="Q751" s="47">
        <v>0</v>
      </c>
      <c r="R751" s="47">
        <v>0</v>
      </c>
      <c r="S751" s="47">
        <v>0</v>
      </c>
      <c r="T751" s="47">
        <v>0</v>
      </c>
      <c r="U751" s="47">
        <v>0</v>
      </c>
      <c r="V751" s="47">
        <v>0</v>
      </c>
      <c r="W751" s="47">
        <v>0</v>
      </c>
      <c r="X751" s="47">
        <v>0</v>
      </c>
      <c r="Y751" s="48">
        <v>2700000</v>
      </c>
      <c r="Z751" s="49">
        <v>0</v>
      </c>
      <c r="AA751" s="50">
        <v>0</v>
      </c>
      <c r="AB751" s="50">
        <v>0</v>
      </c>
      <c r="AC751" s="50">
        <v>0</v>
      </c>
      <c r="AD751" s="50">
        <v>0</v>
      </c>
      <c r="AE751" s="50">
        <v>0</v>
      </c>
      <c r="AF751" s="50">
        <v>0</v>
      </c>
      <c r="AG751" s="49">
        <v>0</v>
      </c>
      <c r="AH751" s="51" t="s">
        <v>74</v>
      </c>
      <c r="AI751" s="51" t="s">
        <v>74</v>
      </c>
      <c r="AJ751" s="51" t="s">
        <v>74</v>
      </c>
      <c r="AK751" s="51" t="s">
        <v>74</v>
      </c>
      <c r="AL751" s="51" t="s">
        <v>74</v>
      </c>
      <c r="AM751" s="51" t="s">
        <v>74</v>
      </c>
      <c r="AN751" s="52">
        <v>0</v>
      </c>
      <c r="AO751" s="52">
        <v>0</v>
      </c>
      <c r="AP751" s="52">
        <v>0</v>
      </c>
      <c r="AQ751" s="52">
        <v>0</v>
      </c>
      <c r="AR751" s="52">
        <v>0</v>
      </c>
      <c r="AS751" s="52">
        <v>0</v>
      </c>
      <c r="AT751" s="53" t="s">
        <v>74</v>
      </c>
      <c r="AU751" s="52">
        <v>0</v>
      </c>
      <c r="AV751" s="52"/>
      <c r="AW751" s="52">
        <v>0</v>
      </c>
      <c r="AX751" s="52"/>
      <c r="AY751" s="52"/>
      <c r="AZ751" s="52">
        <v>0</v>
      </c>
      <c r="BA751" s="52">
        <v>0</v>
      </c>
      <c r="BB751" s="54" t="s">
        <v>74</v>
      </c>
      <c r="BC751" s="53" t="s">
        <v>74</v>
      </c>
      <c r="BD751" s="55" t="s">
        <v>74</v>
      </c>
      <c r="BE751" s="55" t="s">
        <v>74</v>
      </c>
      <c r="BF751" s="55" t="s">
        <v>74</v>
      </c>
      <c r="BG751" s="55" t="s">
        <v>74</v>
      </c>
      <c r="BH751" s="52">
        <v>0</v>
      </c>
      <c r="BI751" s="52">
        <v>2700000</v>
      </c>
      <c r="BJ751" s="52">
        <v>2700000</v>
      </c>
      <c r="BK751" s="56">
        <v>42917</v>
      </c>
      <c r="BL751" s="57">
        <v>2700000</v>
      </c>
      <c r="BM751" s="47">
        <v>0</v>
      </c>
      <c r="BN751" s="9"/>
      <c r="BO751" s="9"/>
      <c r="BP751" s="9"/>
      <c r="BQ751" s="9"/>
      <c r="BR751" s="9"/>
      <c r="BS751" s="9"/>
      <c r="BT751" s="9"/>
      <c r="BU751" s="9"/>
      <c r="BV751" s="9"/>
      <c r="BW751" s="9"/>
    </row>
    <row r="752" spans="1:75" hidden="1" outlineLevel="2" x14ac:dyDescent="0.25">
      <c r="A752" s="43" t="s">
        <v>840</v>
      </c>
      <c r="B752" s="110" t="s">
        <v>841</v>
      </c>
      <c r="C752" s="45">
        <v>2017</v>
      </c>
      <c r="D752" s="110" t="s">
        <v>86</v>
      </c>
      <c r="E752" s="47">
        <v>602491.89</v>
      </c>
      <c r="F752" s="47">
        <v>2097508.11</v>
      </c>
      <c r="G752" s="47">
        <v>0</v>
      </c>
      <c r="H752" s="47">
        <v>0</v>
      </c>
      <c r="I752" s="47">
        <v>0</v>
      </c>
      <c r="J752" s="47">
        <v>0</v>
      </c>
      <c r="K752" s="47">
        <v>0</v>
      </c>
      <c r="L752" s="47">
        <v>0</v>
      </c>
      <c r="M752" s="47">
        <v>0</v>
      </c>
      <c r="N752" s="47">
        <v>0</v>
      </c>
      <c r="O752" s="47">
        <v>0</v>
      </c>
      <c r="P752" s="47">
        <v>0</v>
      </c>
      <c r="Q752" s="47">
        <v>0</v>
      </c>
      <c r="R752" s="47">
        <v>0</v>
      </c>
      <c r="S752" s="47">
        <v>0</v>
      </c>
      <c r="T752" s="47">
        <v>0</v>
      </c>
      <c r="U752" s="47">
        <v>0</v>
      </c>
      <c r="V752" s="47">
        <v>0</v>
      </c>
      <c r="W752" s="47">
        <v>0</v>
      </c>
      <c r="X752" s="47">
        <v>0</v>
      </c>
      <c r="Y752" s="48">
        <v>2700000</v>
      </c>
      <c r="Z752" s="49">
        <v>0</v>
      </c>
      <c r="AA752" s="50">
        <v>0</v>
      </c>
      <c r="AB752" s="50">
        <v>0</v>
      </c>
      <c r="AC752" s="50">
        <v>0</v>
      </c>
      <c r="AD752" s="50">
        <v>0</v>
      </c>
      <c r="AE752" s="50">
        <v>0</v>
      </c>
      <c r="AF752" s="50">
        <v>0</v>
      </c>
      <c r="AG752" s="49">
        <v>0</v>
      </c>
      <c r="AH752" s="51" t="s">
        <v>74</v>
      </c>
      <c r="AI752" s="51" t="s">
        <v>74</v>
      </c>
      <c r="AJ752" s="51" t="s">
        <v>74</v>
      </c>
      <c r="AK752" s="51" t="s">
        <v>74</v>
      </c>
      <c r="AL752" s="51" t="s">
        <v>74</v>
      </c>
      <c r="AM752" s="51" t="s">
        <v>74</v>
      </c>
      <c r="AN752" s="52">
        <v>0</v>
      </c>
      <c r="AO752" s="52">
        <v>0</v>
      </c>
      <c r="AP752" s="52">
        <v>0</v>
      </c>
      <c r="AQ752" s="52">
        <v>0</v>
      </c>
      <c r="AR752" s="52">
        <v>0</v>
      </c>
      <c r="AS752" s="52">
        <v>0</v>
      </c>
      <c r="AT752" s="53" t="s">
        <v>74</v>
      </c>
      <c r="AU752" s="52">
        <v>0</v>
      </c>
      <c r="AV752" s="52"/>
      <c r="AW752" s="52">
        <v>0</v>
      </c>
      <c r="AX752" s="52"/>
      <c r="AY752" s="52"/>
      <c r="AZ752" s="52">
        <v>0</v>
      </c>
      <c r="BA752" s="52">
        <v>0</v>
      </c>
      <c r="BB752" s="54" t="s">
        <v>74</v>
      </c>
      <c r="BC752" s="53" t="s">
        <v>74</v>
      </c>
      <c r="BD752" s="55" t="s">
        <v>74</v>
      </c>
      <c r="BE752" s="55" t="s">
        <v>74</v>
      </c>
      <c r="BF752" s="55" t="s">
        <v>74</v>
      </c>
      <c r="BG752" s="55" t="s">
        <v>74</v>
      </c>
      <c r="BH752" s="52">
        <v>0</v>
      </c>
      <c r="BI752" s="52">
        <v>2700000</v>
      </c>
      <c r="BJ752" s="52">
        <v>2700000</v>
      </c>
      <c r="BK752" s="56">
        <v>42948</v>
      </c>
      <c r="BL752" s="57">
        <v>2700000</v>
      </c>
      <c r="BM752" s="47">
        <v>0</v>
      </c>
      <c r="BN752" s="9"/>
      <c r="BO752" s="9"/>
      <c r="BP752" s="9"/>
      <c r="BQ752" s="9"/>
      <c r="BR752" s="9"/>
      <c r="BS752" s="9"/>
      <c r="BT752" s="9"/>
      <c r="BU752" s="9"/>
      <c r="BV752" s="9"/>
      <c r="BW752" s="9"/>
    </row>
    <row r="753" spans="1:75" hidden="1" outlineLevel="2" x14ac:dyDescent="0.25">
      <c r="A753" s="43" t="s">
        <v>840</v>
      </c>
      <c r="B753" s="110" t="s">
        <v>841</v>
      </c>
      <c r="C753" s="45">
        <v>2017</v>
      </c>
      <c r="D753" s="110" t="s">
        <v>88</v>
      </c>
      <c r="E753" s="47">
        <v>602491.89</v>
      </c>
      <c r="F753" s="47">
        <v>2097508.11</v>
      </c>
      <c r="G753" s="47">
        <v>0</v>
      </c>
      <c r="H753" s="47">
        <v>0</v>
      </c>
      <c r="I753" s="47">
        <v>0</v>
      </c>
      <c r="J753" s="47">
        <v>0</v>
      </c>
      <c r="K753" s="47">
        <v>0</v>
      </c>
      <c r="L753" s="47">
        <v>0</v>
      </c>
      <c r="M753" s="47">
        <v>0</v>
      </c>
      <c r="N753" s="47">
        <v>0</v>
      </c>
      <c r="O753" s="47">
        <v>0</v>
      </c>
      <c r="P753" s="47">
        <v>0</v>
      </c>
      <c r="Q753" s="47">
        <v>0</v>
      </c>
      <c r="R753" s="47">
        <v>0</v>
      </c>
      <c r="S753" s="47">
        <v>0</v>
      </c>
      <c r="T753" s="47">
        <v>0</v>
      </c>
      <c r="U753" s="47">
        <v>0</v>
      </c>
      <c r="V753" s="47">
        <v>0</v>
      </c>
      <c r="W753" s="47">
        <v>0</v>
      </c>
      <c r="X753" s="47">
        <v>0</v>
      </c>
      <c r="Y753" s="48">
        <v>2700000</v>
      </c>
      <c r="Z753" s="49">
        <v>0</v>
      </c>
      <c r="AA753" s="50">
        <v>0</v>
      </c>
      <c r="AB753" s="50">
        <v>0</v>
      </c>
      <c r="AC753" s="50">
        <v>0</v>
      </c>
      <c r="AD753" s="50">
        <v>0</v>
      </c>
      <c r="AE753" s="50">
        <v>0</v>
      </c>
      <c r="AF753" s="50">
        <v>0</v>
      </c>
      <c r="AG753" s="49">
        <v>0</v>
      </c>
      <c r="AH753" s="51" t="s">
        <v>74</v>
      </c>
      <c r="AI753" s="51" t="s">
        <v>74</v>
      </c>
      <c r="AJ753" s="51" t="s">
        <v>74</v>
      </c>
      <c r="AK753" s="51" t="s">
        <v>74</v>
      </c>
      <c r="AL753" s="51" t="s">
        <v>74</v>
      </c>
      <c r="AM753" s="51" t="s">
        <v>74</v>
      </c>
      <c r="AN753" s="52">
        <v>0</v>
      </c>
      <c r="AO753" s="52">
        <v>0</v>
      </c>
      <c r="AP753" s="52">
        <v>0</v>
      </c>
      <c r="AQ753" s="52">
        <v>0</v>
      </c>
      <c r="AR753" s="52">
        <v>0</v>
      </c>
      <c r="AS753" s="52">
        <v>0</v>
      </c>
      <c r="AT753" s="53" t="s">
        <v>74</v>
      </c>
      <c r="AU753" s="52">
        <v>0</v>
      </c>
      <c r="AV753" s="52"/>
      <c r="AW753" s="52">
        <v>0</v>
      </c>
      <c r="AX753" s="52"/>
      <c r="AY753" s="52"/>
      <c r="AZ753" s="52">
        <v>0</v>
      </c>
      <c r="BA753" s="52">
        <v>0</v>
      </c>
      <c r="BB753" s="54" t="s">
        <v>74</v>
      </c>
      <c r="BC753" s="53" t="s">
        <v>74</v>
      </c>
      <c r="BD753" s="55" t="s">
        <v>74</v>
      </c>
      <c r="BE753" s="55" t="s">
        <v>74</v>
      </c>
      <c r="BF753" s="55" t="s">
        <v>74</v>
      </c>
      <c r="BG753" s="55" t="s">
        <v>74</v>
      </c>
      <c r="BH753" s="52">
        <v>0</v>
      </c>
      <c r="BI753" s="52">
        <v>2700000</v>
      </c>
      <c r="BJ753" s="52">
        <v>2700000</v>
      </c>
      <c r="BK753" s="56">
        <v>42979</v>
      </c>
      <c r="BL753" s="57">
        <v>2700000</v>
      </c>
      <c r="BM753" s="47">
        <v>0</v>
      </c>
      <c r="BN753" s="9"/>
      <c r="BO753" s="9"/>
      <c r="BP753" s="9"/>
      <c r="BQ753" s="9"/>
      <c r="BR753" s="9"/>
      <c r="BS753" s="9"/>
      <c r="BT753" s="9"/>
      <c r="BU753" s="9"/>
      <c r="BV753" s="9"/>
      <c r="BW753" s="9"/>
    </row>
    <row r="754" spans="1:75" hidden="1" outlineLevel="2" x14ac:dyDescent="0.25">
      <c r="A754" s="43" t="s">
        <v>840</v>
      </c>
      <c r="B754" s="110" t="s">
        <v>841</v>
      </c>
      <c r="C754" s="45">
        <v>2017</v>
      </c>
      <c r="D754" s="110" t="s">
        <v>89</v>
      </c>
      <c r="E754" s="47">
        <v>602491.89</v>
      </c>
      <c r="F754" s="47">
        <v>2097508.11</v>
      </c>
      <c r="G754" s="47">
        <v>0</v>
      </c>
      <c r="H754" s="47">
        <v>0</v>
      </c>
      <c r="I754" s="47">
        <v>0</v>
      </c>
      <c r="J754" s="47">
        <v>0</v>
      </c>
      <c r="K754" s="47">
        <v>0</v>
      </c>
      <c r="L754" s="47">
        <v>0</v>
      </c>
      <c r="M754" s="47">
        <v>0</v>
      </c>
      <c r="N754" s="47">
        <v>0</v>
      </c>
      <c r="O754" s="47">
        <v>0</v>
      </c>
      <c r="P754" s="47">
        <v>0</v>
      </c>
      <c r="Q754" s="47">
        <v>0</v>
      </c>
      <c r="R754" s="47">
        <v>0</v>
      </c>
      <c r="S754" s="47">
        <v>0</v>
      </c>
      <c r="T754" s="47">
        <v>0</v>
      </c>
      <c r="U754" s="47">
        <v>0</v>
      </c>
      <c r="V754" s="47">
        <v>0</v>
      </c>
      <c r="W754" s="47">
        <v>0</v>
      </c>
      <c r="X754" s="47">
        <v>0</v>
      </c>
      <c r="Y754" s="48">
        <v>2700000</v>
      </c>
      <c r="Z754" s="49">
        <v>0</v>
      </c>
      <c r="AA754" s="50">
        <v>0</v>
      </c>
      <c r="AB754" s="50">
        <v>0</v>
      </c>
      <c r="AC754" s="50">
        <v>0</v>
      </c>
      <c r="AD754" s="50">
        <v>0</v>
      </c>
      <c r="AE754" s="50">
        <v>0</v>
      </c>
      <c r="AF754" s="50">
        <v>0</v>
      </c>
      <c r="AG754" s="49">
        <v>0</v>
      </c>
      <c r="AH754" s="51" t="s">
        <v>74</v>
      </c>
      <c r="AI754" s="51" t="s">
        <v>74</v>
      </c>
      <c r="AJ754" s="51" t="s">
        <v>74</v>
      </c>
      <c r="AK754" s="51" t="s">
        <v>74</v>
      </c>
      <c r="AL754" s="51" t="s">
        <v>74</v>
      </c>
      <c r="AM754" s="51" t="s">
        <v>74</v>
      </c>
      <c r="AN754" s="52">
        <v>0</v>
      </c>
      <c r="AO754" s="52">
        <v>0</v>
      </c>
      <c r="AP754" s="52">
        <v>0</v>
      </c>
      <c r="AQ754" s="52">
        <v>0</v>
      </c>
      <c r="AR754" s="52">
        <v>0</v>
      </c>
      <c r="AS754" s="52">
        <v>0</v>
      </c>
      <c r="AT754" s="53" t="s">
        <v>74</v>
      </c>
      <c r="AU754" s="52">
        <v>0</v>
      </c>
      <c r="AV754" s="52"/>
      <c r="AW754" s="52">
        <v>0</v>
      </c>
      <c r="AX754" s="52"/>
      <c r="AY754" s="52"/>
      <c r="AZ754" s="52">
        <v>0</v>
      </c>
      <c r="BA754" s="52">
        <v>0</v>
      </c>
      <c r="BB754" s="54" t="s">
        <v>74</v>
      </c>
      <c r="BC754" s="53" t="s">
        <v>74</v>
      </c>
      <c r="BD754" s="55" t="s">
        <v>74</v>
      </c>
      <c r="BE754" s="55" t="s">
        <v>74</v>
      </c>
      <c r="BF754" s="55" t="s">
        <v>74</v>
      </c>
      <c r="BG754" s="55" t="s">
        <v>74</v>
      </c>
      <c r="BH754" s="52">
        <v>0</v>
      </c>
      <c r="BI754" s="52">
        <v>2700000</v>
      </c>
      <c r="BJ754" s="52">
        <v>2700000</v>
      </c>
      <c r="BK754" s="56">
        <v>43009</v>
      </c>
      <c r="BL754" s="57">
        <v>2700000</v>
      </c>
      <c r="BM754" s="47">
        <v>0</v>
      </c>
      <c r="BN754" s="9"/>
      <c r="BO754" s="9"/>
      <c r="BP754" s="9"/>
      <c r="BQ754" s="9"/>
      <c r="BR754" s="9"/>
      <c r="BS754" s="9"/>
      <c r="BT754" s="9"/>
      <c r="BU754" s="9"/>
      <c r="BV754" s="9"/>
      <c r="BW754" s="9"/>
    </row>
    <row r="755" spans="1:75" hidden="1" outlineLevel="2" x14ac:dyDescent="0.25">
      <c r="A755" s="43" t="s">
        <v>840</v>
      </c>
      <c r="B755" s="110" t="s">
        <v>841</v>
      </c>
      <c r="C755" s="45">
        <v>2017</v>
      </c>
      <c r="D755" s="110" t="s">
        <v>90</v>
      </c>
      <c r="E755" s="47">
        <v>602491.89</v>
      </c>
      <c r="F755" s="47">
        <v>2097508.11</v>
      </c>
      <c r="G755" s="47">
        <v>0</v>
      </c>
      <c r="H755" s="47">
        <v>0</v>
      </c>
      <c r="I755" s="47">
        <v>0</v>
      </c>
      <c r="J755" s="47">
        <v>0</v>
      </c>
      <c r="K755" s="47">
        <v>0</v>
      </c>
      <c r="L755" s="47">
        <v>0</v>
      </c>
      <c r="M755" s="47">
        <v>0</v>
      </c>
      <c r="N755" s="47">
        <v>0</v>
      </c>
      <c r="O755" s="47">
        <v>0</v>
      </c>
      <c r="P755" s="47">
        <v>0</v>
      </c>
      <c r="Q755" s="47">
        <v>0</v>
      </c>
      <c r="R755" s="47">
        <v>0</v>
      </c>
      <c r="S755" s="47">
        <v>0</v>
      </c>
      <c r="T755" s="47">
        <v>0</v>
      </c>
      <c r="U755" s="47">
        <v>0</v>
      </c>
      <c r="V755" s="47">
        <v>0</v>
      </c>
      <c r="W755" s="47">
        <v>0</v>
      </c>
      <c r="X755" s="47">
        <v>0</v>
      </c>
      <c r="Y755" s="48">
        <v>2700000</v>
      </c>
      <c r="Z755" s="49">
        <v>0</v>
      </c>
      <c r="AA755" s="50">
        <v>0</v>
      </c>
      <c r="AB755" s="50">
        <v>0</v>
      </c>
      <c r="AC755" s="50">
        <v>0</v>
      </c>
      <c r="AD755" s="50">
        <v>0</v>
      </c>
      <c r="AE755" s="50">
        <v>0</v>
      </c>
      <c r="AF755" s="50">
        <v>0</v>
      </c>
      <c r="AG755" s="49">
        <v>0</v>
      </c>
      <c r="AH755" s="51" t="s">
        <v>74</v>
      </c>
      <c r="AI755" s="51" t="s">
        <v>74</v>
      </c>
      <c r="AJ755" s="51" t="s">
        <v>74</v>
      </c>
      <c r="AK755" s="51" t="s">
        <v>74</v>
      </c>
      <c r="AL755" s="51" t="s">
        <v>74</v>
      </c>
      <c r="AM755" s="51" t="s">
        <v>74</v>
      </c>
      <c r="AN755" s="52">
        <v>0</v>
      </c>
      <c r="AO755" s="52">
        <v>0</v>
      </c>
      <c r="AP755" s="52">
        <v>0</v>
      </c>
      <c r="AQ755" s="52">
        <v>0</v>
      </c>
      <c r="AR755" s="52">
        <v>0</v>
      </c>
      <c r="AS755" s="52">
        <v>0</v>
      </c>
      <c r="AT755" s="53" t="s">
        <v>74</v>
      </c>
      <c r="AU755" s="52">
        <v>0</v>
      </c>
      <c r="AV755" s="52"/>
      <c r="AW755" s="52">
        <v>0</v>
      </c>
      <c r="AX755" s="52"/>
      <c r="AY755" s="52"/>
      <c r="AZ755" s="52">
        <v>0</v>
      </c>
      <c r="BA755" s="52">
        <v>0</v>
      </c>
      <c r="BB755" s="54" t="s">
        <v>74</v>
      </c>
      <c r="BC755" s="53" t="s">
        <v>74</v>
      </c>
      <c r="BD755" s="55" t="s">
        <v>74</v>
      </c>
      <c r="BE755" s="55" t="s">
        <v>74</v>
      </c>
      <c r="BF755" s="55" t="s">
        <v>74</v>
      </c>
      <c r="BG755" s="55" t="s">
        <v>74</v>
      </c>
      <c r="BH755" s="52">
        <v>0</v>
      </c>
      <c r="BI755" s="52">
        <v>2700000</v>
      </c>
      <c r="BJ755" s="52">
        <v>2700000</v>
      </c>
      <c r="BK755" s="56">
        <v>43040</v>
      </c>
      <c r="BL755" s="57">
        <v>2700000</v>
      </c>
      <c r="BM755" s="47">
        <v>0</v>
      </c>
      <c r="BN755" s="9"/>
      <c r="BO755" s="9"/>
      <c r="BP755" s="9"/>
      <c r="BQ755" s="9"/>
      <c r="BR755" s="9"/>
      <c r="BS755" s="9"/>
      <c r="BT755" s="9"/>
      <c r="BU755" s="9"/>
      <c r="BV755" s="9"/>
      <c r="BW755" s="9"/>
    </row>
    <row r="756" spans="1:75" ht="72.75" hidden="1" customHeight="1" outlineLevel="2" x14ac:dyDescent="0.25">
      <c r="A756" s="43" t="s">
        <v>840</v>
      </c>
      <c r="B756" s="110" t="s">
        <v>841</v>
      </c>
      <c r="C756" s="45">
        <v>2017</v>
      </c>
      <c r="D756" s="110" t="s">
        <v>93</v>
      </c>
      <c r="E756" s="47">
        <v>602491.89</v>
      </c>
      <c r="F756" s="47">
        <v>2097508.11</v>
      </c>
      <c r="G756" s="47">
        <v>0</v>
      </c>
      <c r="H756" s="47">
        <v>0</v>
      </c>
      <c r="I756" s="47">
        <v>0</v>
      </c>
      <c r="J756" s="47">
        <v>0</v>
      </c>
      <c r="K756" s="47">
        <v>0</v>
      </c>
      <c r="L756" s="47">
        <v>0</v>
      </c>
      <c r="M756" s="47">
        <v>0</v>
      </c>
      <c r="N756" s="47">
        <v>0</v>
      </c>
      <c r="O756" s="47">
        <v>0</v>
      </c>
      <c r="P756" s="47">
        <v>0</v>
      </c>
      <c r="Q756" s="47">
        <v>0</v>
      </c>
      <c r="R756" s="47">
        <v>0</v>
      </c>
      <c r="S756" s="47">
        <v>0</v>
      </c>
      <c r="T756" s="47">
        <v>0</v>
      </c>
      <c r="U756" s="47">
        <v>0</v>
      </c>
      <c r="V756" s="47">
        <v>0</v>
      </c>
      <c r="W756" s="47">
        <v>0</v>
      </c>
      <c r="X756" s="47">
        <v>0</v>
      </c>
      <c r="Y756" s="48">
        <v>2700000</v>
      </c>
      <c r="Z756" s="49">
        <v>0</v>
      </c>
      <c r="AA756" s="50">
        <v>0</v>
      </c>
      <c r="AB756" s="50">
        <v>0</v>
      </c>
      <c r="AC756" s="50">
        <v>0</v>
      </c>
      <c r="AD756" s="50">
        <v>26033.89</v>
      </c>
      <c r="AE756" s="50">
        <v>0</v>
      </c>
      <c r="AF756" s="50">
        <v>0</v>
      </c>
      <c r="AG756" s="49">
        <v>26033.89</v>
      </c>
      <c r="AH756" s="51" t="s">
        <v>74</v>
      </c>
      <c r="AI756" s="51" t="s">
        <v>74</v>
      </c>
      <c r="AJ756" s="51" t="s">
        <v>74</v>
      </c>
      <c r="AK756" s="51" t="s">
        <v>843</v>
      </c>
      <c r="AL756" s="51" t="s">
        <v>74</v>
      </c>
      <c r="AM756" s="51" t="s">
        <v>74</v>
      </c>
      <c r="AN756" s="52">
        <v>0</v>
      </c>
      <c r="AO756" s="52">
        <v>0</v>
      </c>
      <c r="AP756" s="52">
        <v>0</v>
      </c>
      <c r="AQ756" s="52">
        <v>0</v>
      </c>
      <c r="AR756" s="52">
        <v>0</v>
      </c>
      <c r="AS756" s="52">
        <v>0</v>
      </c>
      <c r="AT756" s="53" t="s">
        <v>74</v>
      </c>
      <c r="AU756" s="52">
        <v>0</v>
      </c>
      <c r="AV756" s="52"/>
      <c r="AW756" s="52">
        <v>154970.12</v>
      </c>
      <c r="AX756" s="52"/>
      <c r="AY756" s="52"/>
      <c r="AZ756" s="52">
        <v>0</v>
      </c>
      <c r="BA756" s="52">
        <v>154970.12</v>
      </c>
      <c r="BB756" s="54" t="s">
        <v>74</v>
      </c>
      <c r="BC756" s="53" t="s">
        <v>74</v>
      </c>
      <c r="BD756" s="55" t="s">
        <v>844</v>
      </c>
      <c r="BE756" s="55" t="s">
        <v>74</v>
      </c>
      <c r="BF756" s="55" t="s">
        <v>74</v>
      </c>
      <c r="BG756" s="55" t="s">
        <v>74</v>
      </c>
      <c r="BH756" s="52">
        <v>154970.12</v>
      </c>
      <c r="BI756" s="52">
        <v>2828936.23</v>
      </c>
      <c r="BJ756" s="52">
        <v>2673966.11</v>
      </c>
      <c r="BK756" s="56">
        <v>43070</v>
      </c>
      <c r="BL756" s="57">
        <v>2828936.23</v>
      </c>
      <c r="BM756" s="47">
        <v>0</v>
      </c>
      <c r="BN756" s="9"/>
      <c r="BO756" s="9"/>
      <c r="BP756" s="9"/>
      <c r="BQ756" s="9"/>
      <c r="BR756" s="9"/>
      <c r="BS756" s="9"/>
      <c r="BT756" s="9"/>
      <c r="BU756" s="9"/>
      <c r="BV756" s="9"/>
      <c r="BW756" s="9"/>
    </row>
    <row r="757" spans="1:75" ht="26.25" hidden="1" outlineLevel="2" x14ac:dyDescent="0.25">
      <c r="A757" s="43" t="s">
        <v>840</v>
      </c>
      <c r="B757" s="110" t="s">
        <v>841</v>
      </c>
      <c r="C757" s="45">
        <v>2018</v>
      </c>
      <c r="D757" s="110" t="s">
        <v>73</v>
      </c>
      <c r="E757" s="47">
        <v>602491.89</v>
      </c>
      <c r="F757" s="47">
        <v>2097508.11</v>
      </c>
      <c r="G757" s="47">
        <v>0</v>
      </c>
      <c r="H757" s="47">
        <v>0</v>
      </c>
      <c r="I757" s="47">
        <v>0</v>
      </c>
      <c r="J757" s="47">
        <v>0</v>
      </c>
      <c r="K757" s="47">
        <v>0</v>
      </c>
      <c r="L757" s="47">
        <v>0</v>
      </c>
      <c r="M757" s="47">
        <v>0</v>
      </c>
      <c r="N757" s="47">
        <v>0</v>
      </c>
      <c r="O757" s="47">
        <v>0</v>
      </c>
      <c r="P757" s="47">
        <v>0</v>
      </c>
      <c r="Q757" s="47">
        <v>0</v>
      </c>
      <c r="R757" s="47">
        <v>0</v>
      </c>
      <c r="S757" s="47">
        <v>0</v>
      </c>
      <c r="T757" s="47">
        <v>0</v>
      </c>
      <c r="U757" s="47">
        <v>0</v>
      </c>
      <c r="V757" s="47">
        <v>0</v>
      </c>
      <c r="W757" s="47">
        <v>0</v>
      </c>
      <c r="X757" s="47">
        <v>0</v>
      </c>
      <c r="Y757" s="48">
        <v>2700000</v>
      </c>
      <c r="Z757" s="49">
        <v>0</v>
      </c>
      <c r="AA757" s="50">
        <v>0</v>
      </c>
      <c r="AB757" s="50">
        <v>0</v>
      </c>
      <c r="AC757" s="50">
        <v>0</v>
      </c>
      <c r="AD757" s="50">
        <v>24772.02</v>
      </c>
      <c r="AE757" s="50">
        <v>0</v>
      </c>
      <c r="AF757" s="50">
        <v>0</v>
      </c>
      <c r="AG757" s="49">
        <v>24772.02</v>
      </c>
      <c r="AH757" s="51" t="s">
        <v>74</v>
      </c>
      <c r="AI757" s="51" t="s">
        <v>74</v>
      </c>
      <c r="AJ757" s="51" t="s">
        <v>74</v>
      </c>
      <c r="AK757" s="51" t="s">
        <v>97</v>
      </c>
      <c r="AL757" s="51" t="s">
        <v>74</v>
      </c>
      <c r="AM757" s="51" t="s">
        <v>74</v>
      </c>
      <c r="AN757" s="52">
        <v>0</v>
      </c>
      <c r="AO757" s="52">
        <v>0</v>
      </c>
      <c r="AP757" s="52">
        <v>0</v>
      </c>
      <c r="AQ757" s="52">
        <v>0</v>
      </c>
      <c r="AR757" s="52">
        <v>0</v>
      </c>
      <c r="AS757" s="52">
        <v>0</v>
      </c>
      <c r="AT757" s="53" t="s">
        <v>74</v>
      </c>
      <c r="AU757" s="52">
        <v>0</v>
      </c>
      <c r="AV757" s="52"/>
      <c r="AW757" s="52">
        <v>0</v>
      </c>
      <c r="AX757" s="52"/>
      <c r="AY757" s="52"/>
      <c r="AZ757" s="52">
        <v>0</v>
      </c>
      <c r="BA757" s="52">
        <v>0</v>
      </c>
      <c r="BB757" s="54" t="s">
        <v>74</v>
      </c>
      <c r="BC757" s="53" t="s">
        <v>74</v>
      </c>
      <c r="BD757" s="55" t="s">
        <v>74</v>
      </c>
      <c r="BE757" s="55" t="s">
        <v>74</v>
      </c>
      <c r="BF757" s="55" t="s">
        <v>74</v>
      </c>
      <c r="BG757" s="55" t="s">
        <v>74</v>
      </c>
      <c r="BH757" s="52">
        <v>0</v>
      </c>
      <c r="BI757" s="52">
        <v>2675227.98</v>
      </c>
      <c r="BJ757" s="52">
        <v>2675227.98</v>
      </c>
      <c r="BK757" s="56">
        <v>43101</v>
      </c>
      <c r="BL757" s="57">
        <v>2675227.98</v>
      </c>
      <c r="BM757" s="47">
        <v>0</v>
      </c>
      <c r="BN757" s="9"/>
      <c r="BO757" s="9"/>
      <c r="BP757" s="9"/>
      <c r="BQ757" s="9"/>
      <c r="BR757" s="9"/>
      <c r="BS757" s="9"/>
      <c r="BT757" s="9"/>
      <c r="BU757" s="9"/>
      <c r="BV757" s="9"/>
      <c r="BW757" s="9"/>
    </row>
    <row r="758" spans="1:75" ht="26.25" hidden="1" outlineLevel="2" x14ac:dyDescent="0.25">
      <c r="A758" s="43" t="s">
        <v>840</v>
      </c>
      <c r="B758" s="110" t="s">
        <v>841</v>
      </c>
      <c r="C758" s="45">
        <v>2018</v>
      </c>
      <c r="D758" s="110" t="s">
        <v>75</v>
      </c>
      <c r="E758" s="47">
        <v>602491.89</v>
      </c>
      <c r="F758" s="47">
        <v>2097508.11</v>
      </c>
      <c r="G758" s="47">
        <v>0</v>
      </c>
      <c r="H758" s="47">
        <v>0</v>
      </c>
      <c r="I758" s="47">
        <v>0</v>
      </c>
      <c r="J758" s="47">
        <v>0</v>
      </c>
      <c r="K758" s="47">
        <v>0</v>
      </c>
      <c r="L758" s="47">
        <v>0</v>
      </c>
      <c r="M758" s="47">
        <v>0</v>
      </c>
      <c r="N758" s="47">
        <v>0</v>
      </c>
      <c r="O758" s="47">
        <v>0</v>
      </c>
      <c r="P758" s="47">
        <v>0</v>
      </c>
      <c r="Q758" s="47">
        <v>0</v>
      </c>
      <c r="R758" s="47">
        <v>0</v>
      </c>
      <c r="S758" s="47">
        <v>0</v>
      </c>
      <c r="T758" s="47">
        <v>0</v>
      </c>
      <c r="U758" s="47">
        <v>0</v>
      </c>
      <c r="V758" s="47">
        <v>0</v>
      </c>
      <c r="W758" s="47">
        <v>0</v>
      </c>
      <c r="X758" s="47">
        <v>0</v>
      </c>
      <c r="Y758" s="48">
        <v>2700000</v>
      </c>
      <c r="Z758" s="49">
        <v>0</v>
      </c>
      <c r="AA758" s="50">
        <v>0</v>
      </c>
      <c r="AB758" s="50">
        <v>0</v>
      </c>
      <c r="AC758" s="50">
        <v>0</v>
      </c>
      <c r="AD758" s="50">
        <v>25579.94</v>
      </c>
      <c r="AE758" s="50">
        <v>0</v>
      </c>
      <c r="AF758" s="50">
        <v>0</v>
      </c>
      <c r="AG758" s="49">
        <v>25579.94</v>
      </c>
      <c r="AH758" s="51" t="s">
        <v>74</v>
      </c>
      <c r="AI758" s="51" t="s">
        <v>74</v>
      </c>
      <c r="AJ758" s="51" t="s">
        <v>74</v>
      </c>
      <c r="AK758" s="51" t="s">
        <v>99</v>
      </c>
      <c r="AL758" s="51" t="s">
        <v>74</v>
      </c>
      <c r="AM758" s="51" t="s">
        <v>74</v>
      </c>
      <c r="AN758" s="52">
        <v>0</v>
      </c>
      <c r="AO758" s="52">
        <v>0</v>
      </c>
      <c r="AP758" s="52">
        <v>0</v>
      </c>
      <c r="AQ758" s="52">
        <v>0</v>
      </c>
      <c r="AR758" s="52">
        <v>0</v>
      </c>
      <c r="AS758" s="52">
        <v>0</v>
      </c>
      <c r="AT758" s="53" t="s">
        <v>74</v>
      </c>
      <c r="AU758" s="52">
        <v>0</v>
      </c>
      <c r="AV758" s="52"/>
      <c r="AW758" s="52">
        <v>0</v>
      </c>
      <c r="AX758" s="52"/>
      <c r="AY758" s="52"/>
      <c r="AZ758" s="52">
        <v>0</v>
      </c>
      <c r="BA758" s="52">
        <v>0</v>
      </c>
      <c r="BB758" s="54" t="s">
        <v>74</v>
      </c>
      <c r="BC758" s="53" t="s">
        <v>74</v>
      </c>
      <c r="BD758" s="55" t="s">
        <v>74</v>
      </c>
      <c r="BE758" s="55" t="s">
        <v>74</v>
      </c>
      <c r="BF758" s="55" t="s">
        <v>74</v>
      </c>
      <c r="BG758" s="55" t="s">
        <v>74</v>
      </c>
      <c r="BH758" s="52">
        <v>0</v>
      </c>
      <c r="BI758" s="52">
        <v>2674420.06</v>
      </c>
      <c r="BJ758" s="52">
        <v>2674420.06</v>
      </c>
      <c r="BK758" s="56">
        <v>43132</v>
      </c>
      <c r="BL758" s="57">
        <v>2674420.06</v>
      </c>
      <c r="BM758" s="47">
        <v>0</v>
      </c>
      <c r="BN758" s="9"/>
      <c r="BO758" s="9"/>
      <c r="BP758" s="9"/>
      <c r="BQ758" s="9"/>
      <c r="BR758" s="9"/>
      <c r="BS758" s="9"/>
      <c r="BT758" s="9"/>
      <c r="BU758" s="9"/>
      <c r="BV758" s="9"/>
      <c r="BW758" s="9"/>
    </row>
    <row r="759" spans="1:75" ht="26.25" hidden="1" outlineLevel="2" x14ac:dyDescent="0.25">
      <c r="A759" s="43" t="s">
        <v>840</v>
      </c>
      <c r="B759" s="110" t="s">
        <v>841</v>
      </c>
      <c r="C759" s="45">
        <v>2018</v>
      </c>
      <c r="D759" s="110" t="s">
        <v>77</v>
      </c>
      <c r="E759" s="47">
        <v>602491.89</v>
      </c>
      <c r="F759" s="47">
        <v>2097508.11</v>
      </c>
      <c r="G759" s="47">
        <v>0</v>
      </c>
      <c r="H759" s="47">
        <v>0</v>
      </c>
      <c r="I759" s="47">
        <v>0</v>
      </c>
      <c r="J759" s="47">
        <v>0</v>
      </c>
      <c r="K759" s="47">
        <v>0</v>
      </c>
      <c r="L759" s="47">
        <v>0</v>
      </c>
      <c r="M759" s="47">
        <v>0</v>
      </c>
      <c r="N759" s="47">
        <v>0</v>
      </c>
      <c r="O759" s="47">
        <v>0</v>
      </c>
      <c r="P759" s="47">
        <v>0</v>
      </c>
      <c r="Q759" s="47">
        <v>0</v>
      </c>
      <c r="R759" s="47">
        <v>0</v>
      </c>
      <c r="S759" s="47">
        <v>0</v>
      </c>
      <c r="T759" s="47">
        <v>0</v>
      </c>
      <c r="U759" s="47">
        <v>0</v>
      </c>
      <c r="V759" s="47">
        <v>0</v>
      </c>
      <c r="W759" s="47">
        <v>0</v>
      </c>
      <c r="X759" s="47">
        <v>0</v>
      </c>
      <c r="Y759" s="48">
        <v>2700000</v>
      </c>
      <c r="Z759" s="49">
        <v>0</v>
      </c>
      <c r="AA759" s="50">
        <v>0</v>
      </c>
      <c r="AB759" s="50">
        <v>0</v>
      </c>
      <c r="AC759" s="50">
        <v>0</v>
      </c>
      <c r="AD759" s="50">
        <v>24307.26</v>
      </c>
      <c r="AE759" s="50">
        <v>0</v>
      </c>
      <c r="AF759" s="50">
        <v>0</v>
      </c>
      <c r="AG759" s="49">
        <v>24307.26</v>
      </c>
      <c r="AH759" s="51" t="s">
        <v>74</v>
      </c>
      <c r="AI759" s="51" t="s">
        <v>74</v>
      </c>
      <c r="AJ759" s="51" t="s">
        <v>74</v>
      </c>
      <c r="AK759" s="51" t="s">
        <v>102</v>
      </c>
      <c r="AL759" s="51" t="s">
        <v>74</v>
      </c>
      <c r="AM759" s="51" t="s">
        <v>74</v>
      </c>
      <c r="AN759" s="52">
        <v>0</v>
      </c>
      <c r="AO759" s="52">
        <v>0</v>
      </c>
      <c r="AP759" s="52">
        <v>0</v>
      </c>
      <c r="AQ759" s="52">
        <v>0</v>
      </c>
      <c r="AR759" s="52">
        <v>0</v>
      </c>
      <c r="AS759" s="52">
        <v>0</v>
      </c>
      <c r="AT759" s="53" t="s">
        <v>74</v>
      </c>
      <c r="AU759" s="52">
        <v>0</v>
      </c>
      <c r="AV759" s="52"/>
      <c r="AW759" s="52">
        <v>0</v>
      </c>
      <c r="AX759" s="52"/>
      <c r="AY759" s="52"/>
      <c r="AZ759" s="52">
        <v>0</v>
      </c>
      <c r="BA759" s="52">
        <v>0</v>
      </c>
      <c r="BB759" s="54" t="s">
        <v>74</v>
      </c>
      <c r="BC759" s="53" t="s">
        <v>74</v>
      </c>
      <c r="BD759" s="55" t="s">
        <v>74</v>
      </c>
      <c r="BE759" s="55" t="s">
        <v>74</v>
      </c>
      <c r="BF759" s="55" t="s">
        <v>74</v>
      </c>
      <c r="BG759" s="55" t="s">
        <v>74</v>
      </c>
      <c r="BH759" s="52">
        <v>0</v>
      </c>
      <c r="BI759" s="52">
        <v>2675692.7400000002</v>
      </c>
      <c r="BJ759" s="52">
        <v>2675692.7400000002</v>
      </c>
      <c r="BK759" s="56">
        <v>43160</v>
      </c>
      <c r="BL759" s="57">
        <v>2675692.7400000002</v>
      </c>
      <c r="BM759" s="47">
        <v>0</v>
      </c>
      <c r="BN759" s="9"/>
      <c r="BO759" s="9"/>
      <c r="BP759" s="9"/>
      <c r="BQ759" s="9"/>
      <c r="BR759" s="9"/>
      <c r="BS759" s="9"/>
      <c r="BT759" s="9"/>
      <c r="BU759" s="9"/>
      <c r="BV759" s="9"/>
      <c r="BW759" s="9"/>
    </row>
    <row r="760" spans="1:75" ht="26.25" hidden="1" outlineLevel="2" x14ac:dyDescent="0.25">
      <c r="A760" s="43" t="s">
        <v>840</v>
      </c>
      <c r="B760" s="110" t="s">
        <v>841</v>
      </c>
      <c r="C760" s="45">
        <v>2018</v>
      </c>
      <c r="D760" s="110" t="s">
        <v>79</v>
      </c>
      <c r="E760" s="47">
        <v>602491.89</v>
      </c>
      <c r="F760" s="47">
        <v>2097508.11</v>
      </c>
      <c r="G760" s="47">
        <v>-1275461.44</v>
      </c>
      <c r="H760" s="47">
        <v>0</v>
      </c>
      <c r="I760" s="47">
        <v>0</v>
      </c>
      <c r="J760" s="47">
        <v>0</v>
      </c>
      <c r="K760" s="47">
        <v>0</v>
      </c>
      <c r="L760" s="47">
        <v>0</v>
      </c>
      <c r="M760" s="47">
        <v>0</v>
      </c>
      <c r="N760" s="47">
        <v>0</v>
      </c>
      <c r="O760" s="47">
        <v>0</v>
      </c>
      <c r="P760" s="47">
        <v>0</v>
      </c>
      <c r="Q760" s="47">
        <v>0</v>
      </c>
      <c r="R760" s="47">
        <v>0</v>
      </c>
      <c r="S760" s="47">
        <v>0</v>
      </c>
      <c r="T760" s="47">
        <v>0</v>
      </c>
      <c r="U760" s="47">
        <v>0</v>
      </c>
      <c r="V760" s="47">
        <v>0</v>
      </c>
      <c r="W760" s="47">
        <v>0</v>
      </c>
      <c r="X760" s="47">
        <v>0</v>
      </c>
      <c r="Y760" s="48">
        <v>1424538.56</v>
      </c>
      <c r="Z760" s="49">
        <v>0</v>
      </c>
      <c r="AA760" s="50">
        <v>0</v>
      </c>
      <c r="AB760" s="50">
        <v>0</v>
      </c>
      <c r="AC760" s="50">
        <v>0</v>
      </c>
      <c r="AD760" s="50">
        <v>26060.77</v>
      </c>
      <c r="AE760" s="50">
        <v>0</v>
      </c>
      <c r="AF760" s="50">
        <v>0</v>
      </c>
      <c r="AG760" s="49">
        <v>26060.77</v>
      </c>
      <c r="AH760" s="51" t="s">
        <v>74</v>
      </c>
      <c r="AI760" s="51" t="s">
        <v>74</v>
      </c>
      <c r="AJ760" s="51" t="s">
        <v>74</v>
      </c>
      <c r="AK760" s="51" t="s">
        <v>106</v>
      </c>
      <c r="AL760" s="51" t="s">
        <v>74</v>
      </c>
      <c r="AM760" s="51" t="s">
        <v>74</v>
      </c>
      <c r="AN760" s="52">
        <v>0</v>
      </c>
      <c r="AO760" s="52">
        <v>0</v>
      </c>
      <c r="AP760" s="52">
        <v>0</v>
      </c>
      <c r="AQ760" s="52">
        <v>0</v>
      </c>
      <c r="AR760" s="52">
        <v>0</v>
      </c>
      <c r="AS760" s="52">
        <v>0</v>
      </c>
      <c r="AT760" s="53" t="s">
        <v>74</v>
      </c>
      <c r="AU760" s="52">
        <v>0</v>
      </c>
      <c r="AV760" s="52"/>
      <c r="AW760" s="52">
        <v>0</v>
      </c>
      <c r="AX760" s="52"/>
      <c r="AY760" s="52"/>
      <c r="AZ760" s="52">
        <v>0</v>
      </c>
      <c r="BA760" s="52">
        <v>0</v>
      </c>
      <c r="BB760" s="54" t="s">
        <v>74</v>
      </c>
      <c r="BC760" s="53" t="s">
        <v>74</v>
      </c>
      <c r="BD760" s="55" t="s">
        <v>74</v>
      </c>
      <c r="BE760" s="55" t="s">
        <v>74</v>
      </c>
      <c r="BF760" s="55" t="s">
        <v>74</v>
      </c>
      <c r="BG760" s="55" t="s">
        <v>74</v>
      </c>
      <c r="BH760" s="52">
        <v>0</v>
      </c>
      <c r="BI760" s="52">
        <v>1398477.79</v>
      </c>
      <c r="BJ760" s="52">
        <v>1398477.79</v>
      </c>
      <c r="BK760" s="56">
        <v>43191</v>
      </c>
      <c r="BL760" s="57">
        <v>1398477.79</v>
      </c>
      <c r="BM760" s="47">
        <v>0</v>
      </c>
      <c r="BN760" s="9"/>
      <c r="BO760" s="9"/>
      <c r="BP760" s="9"/>
      <c r="BQ760" s="9"/>
      <c r="BR760" s="9"/>
      <c r="BS760" s="9"/>
      <c r="BT760" s="9"/>
      <c r="BU760" s="9"/>
      <c r="BV760" s="9"/>
      <c r="BW760" s="9"/>
    </row>
    <row r="761" spans="1:75" ht="26.25" hidden="1" outlineLevel="2" x14ac:dyDescent="0.25">
      <c r="A761" s="43" t="s">
        <v>840</v>
      </c>
      <c r="B761" s="110" t="s">
        <v>841</v>
      </c>
      <c r="C761" s="45">
        <v>2018</v>
      </c>
      <c r="D761" s="110" t="s">
        <v>81</v>
      </c>
      <c r="E761" s="47">
        <v>602491.89</v>
      </c>
      <c r="F761" s="47">
        <v>2097508.11</v>
      </c>
      <c r="G761" s="47">
        <v>-318865.36</v>
      </c>
      <c r="H761" s="47">
        <v>0</v>
      </c>
      <c r="I761" s="47">
        <v>0</v>
      </c>
      <c r="J761" s="47">
        <v>0</v>
      </c>
      <c r="K761" s="47">
        <v>0</v>
      </c>
      <c r="L761" s="47">
        <v>0</v>
      </c>
      <c r="M761" s="47">
        <v>0</v>
      </c>
      <c r="N761" s="47">
        <v>0</v>
      </c>
      <c r="O761" s="47">
        <v>0</v>
      </c>
      <c r="P761" s="47">
        <v>0</v>
      </c>
      <c r="Q761" s="47">
        <v>0</v>
      </c>
      <c r="R761" s="47">
        <v>0</v>
      </c>
      <c r="S761" s="47">
        <v>0</v>
      </c>
      <c r="T761" s="47">
        <v>0</v>
      </c>
      <c r="U761" s="47">
        <v>0</v>
      </c>
      <c r="V761" s="47">
        <v>0</v>
      </c>
      <c r="W761" s="47">
        <v>0</v>
      </c>
      <c r="X761" s="47">
        <v>0</v>
      </c>
      <c r="Y761" s="48">
        <v>2381134.64</v>
      </c>
      <c r="Z761" s="49">
        <v>0</v>
      </c>
      <c r="AA761" s="50">
        <v>0</v>
      </c>
      <c r="AB761" s="50">
        <v>0</v>
      </c>
      <c r="AC761" s="50">
        <v>0</v>
      </c>
      <c r="AD761" s="50">
        <v>25944.45</v>
      </c>
      <c r="AE761" s="50">
        <v>0</v>
      </c>
      <c r="AF761" s="50">
        <v>0</v>
      </c>
      <c r="AG761" s="49">
        <v>25944.45</v>
      </c>
      <c r="AH761" s="51" t="s">
        <v>74</v>
      </c>
      <c r="AI761" s="51" t="s">
        <v>74</v>
      </c>
      <c r="AJ761" s="51" t="s">
        <v>74</v>
      </c>
      <c r="AK761" s="51" t="s">
        <v>197</v>
      </c>
      <c r="AL761" s="51" t="s">
        <v>74</v>
      </c>
      <c r="AM761" s="51" t="s">
        <v>74</v>
      </c>
      <c r="AN761" s="52">
        <v>0</v>
      </c>
      <c r="AO761" s="52">
        <v>0</v>
      </c>
      <c r="AP761" s="52">
        <v>0</v>
      </c>
      <c r="AQ761" s="52">
        <v>0</v>
      </c>
      <c r="AR761" s="52">
        <v>0</v>
      </c>
      <c r="AS761" s="52">
        <v>0</v>
      </c>
      <c r="AT761" s="53" t="s">
        <v>74</v>
      </c>
      <c r="AU761" s="52">
        <v>0</v>
      </c>
      <c r="AV761" s="52"/>
      <c r="AW761" s="52">
        <v>0</v>
      </c>
      <c r="AX761" s="52"/>
      <c r="AY761" s="52"/>
      <c r="AZ761" s="52">
        <v>0</v>
      </c>
      <c r="BA761" s="52">
        <v>0</v>
      </c>
      <c r="BB761" s="54" t="s">
        <v>74</v>
      </c>
      <c r="BC761" s="53" t="s">
        <v>74</v>
      </c>
      <c r="BD761" s="55" t="s">
        <v>74</v>
      </c>
      <c r="BE761" s="55" t="s">
        <v>74</v>
      </c>
      <c r="BF761" s="55" t="s">
        <v>74</v>
      </c>
      <c r="BG761" s="55" t="s">
        <v>74</v>
      </c>
      <c r="BH761" s="52">
        <v>0</v>
      </c>
      <c r="BI761" s="52">
        <v>2355190.19</v>
      </c>
      <c r="BJ761" s="52">
        <v>2355190.19</v>
      </c>
      <c r="BK761" s="56">
        <v>43221</v>
      </c>
      <c r="BL761" s="57">
        <v>2355190.19</v>
      </c>
      <c r="BM761" s="47">
        <v>0</v>
      </c>
      <c r="BN761" s="9"/>
      <c r="BO761" s="9"/>
      <c r="BP761" s="9"/>
      <c r="BQ761" s="9"/>
      <c r="BR761" s="9"/>
      <c r="BS761" s="9"/>
      <c r="BT761" s="9"/>
      <c r="BU761" s="9"/>
      <c r="BV761" s="9"/>
      <c r="BW761" s="9"/>
    </row>
    <row r="762" spans="1:75" ht="112.5" hidden="1" customHeight="1" outlineLevel="2" x14ac:dyDescent="0.25">
      <c r="A762" s="43" t="s">
        <v>840</v>
      </c>
      <c r="B762" s="110" t="s">
        <v>841</v>
      </c>
      <c r="C762" s="45">
        <v>2018</v>
      </c>
      <c r="D762" s="110" t="s">
        <v>83</v>
      </c>
      <c r="E762" s="47">
        <v>602491.89</v>
      </c>
      <c r="F762" s="47">
        <v>2097508.11</v>
      </c>
      <c r="G762" s="47">
        <v>-318865.36</v>
      </c>
      <c r="H762" s="47">
        <v>0</v>
      </c>
      <c r="I762" s="47">
        <v>0</v>
      </c>
      <c r="J762" s="47">
        <v>0</v>
      </c>
      <c r="K762" s="47">
        <v>0</v>
      </c>
      <c r="L762" s="47">
        <v>0</v>
      </c>
      <c r="M762" s="47">
        <v>0</v>
      </c>
      <c r="N762" s="47">
        <v>0</v>
      </c>
      <c r="O762" s="47">
        <v>0</v>
      </c>
      <c r="P762" s="47">
        <v>0</v>
      </c>
      <c r="Q762" s="47">
        <v>0</v>
      </c>
      <c r="R762" s="47">
        <v>0</v>
      </c>
      <c r="S762" s="47">
        <v>0</v>
      </c>
      <c r="T762" s="47">
        <v>0</v>
      </c>
      <c r="U762" s="47">
        <v>0</v>
      </c>
      <c r="V762" s="47">
        <v>0</v>
      </c>
      <c r="W762" s="47">
        <v>0</v>
      </c>
      <c r="X762" s="47">
        <v>0</v>
      </c>
      <c r="Y762" s="48">
        <v>2381134.64</v>
      </c>
      <c r="Z762" s="49">
        <v>0</v>
      </c>
      <c r="AA762" s="50">
        <v>0</v>
      </c>
      <c r="AB762" s="50">
        <v>0</v>
      </c>
      <c r="AC762" s="50">
        <v>0</v>
      </c>
      <c r="AD762" s="50">
        <v>21773.45</v>
      </c>
      <c r="AE762" s="50">
        <v>0</v>
      </c>
      <c r="AF762" s="50">
        <v>0</v>
      </c>
      <c r="AG762" s="49">
        <v>21773.45</v>
      </c>
      <c r="AH762" s="51" t="s">
        <v>74</v>
      </c>
      <c r="AI762" s="51" t="s">
        <v>74</v>
      </c>
      <c r="AJ762" s="51" t="s">
        <v>74</v>
      </c>
      <c r="AK762" s="51" t="s">
        <v>112</v>
      </c>
      <c r="AL762" s="51" t="s">
        <v>74</v>
      </c>
      <c r="AM762" s="51" t="s">
        <v>74</v>
      </c>
      <c r="AN762" s="52">
        <v>0</v>
      </c>
      <c r="AO762" s="52">
        <v>0</v>
      </c>
      <c r="AP762" s="52"/>
      <c r="AQ762" s="52">
        <v>0</v>
      </c>
      <c r="AR762" s="52">
        <v>0</v>
      </c>
      <c r="AS762" s="52">
        <v>0</v>
      </c>
      <c r="AT762" s="53" t="s">
        <v>74</v>
      </c>
      <c r="AU762" s="52">
        <v>65726.34</v>
      </c>
      <c r="AV762" s="52"/>
      <c r="AW762" s="52">
        <v>1258678.67</v>
      </c>
      <c r="AX762" s="52"/>
      <c r="AY762" s="52"/>
      <c r="AZ762" s="52">
        <v>0</v>
      </c>
      <c r="BA762" s="52">
        <v>1324405.01</v>
      </c>
      <c r="BB762" s="55" t="s">
        <v>845</v>
      </c>
      <c r="BC762" s="51" t="s">
        <v>74</v>
      </c>
      <c r="BD762" s="55" t="s">
        <v>846</v>
      </c>
      <c r="BE762" s="55" t="s">
        <v>74</v>
      </c>
      <c r="BF762" s="55" t="s">
        <v>74</v>
      </c>
      <c r="BG762" s="55" t="s">
        <v>74</v>
      </c>
      <c r="BH762" s="52">
        <v>1324405.01</v>
      </c>
      <c r="BI762" s="52">
        <v>3683766.2</v>
      </c>
      <c r="BJ762" s="52">
        <v>2359361.19</v>
      </c>
      <c r="BK762" s="56">
        <v>43252</v>
      </c>
      <c r="BL762" s="57">
        <v>3683766.2</v>
      </c>
      <c r="BM762" s="47">
        <v>0</v>
      </c>
      <c r="BN762" s="9"/>
      <c r="BO762" s="9"/>
      <c r="BP762" s="9"/>
      <c r="BQ762" s="9"/>
      <c r="BR762" s="9"/>
      <c r="BS762" s="9"/>
      <c r="BT762" s="9"/>
      <c r="BU762" s="9"/>
      <c r="BV762" s="9"/>
      <c r="BW762" s="9"/>
    </row>
    <row r="763" spans="1:75" ht="141" hidden="1" outlineLevel="2" x14ac:dyDescent="0.25">
      <c r="A763" s="43" t="s">
        <v>840</v>
      </c>
      <c r="B763" s="110" t="s">
        <v>841</v>
      </c>
      <c r="C763" s="45">
        <v>2018</v>
      </c>
      <c r="D763" s="110" t="s">
        <v>84</v>
      </c>
      <c r="E763" s="47">
        <v>602491.89</v>
      </c>
      <c r="F763" s="47">
        <v>2097508.11</v>
      </c>
      <c r="G763" s="47">
        <v>-318865.36</v>
      </c>
      <c r="H763" s="47">
        <v>0</v>
      </c>
      <c r="I763" s="47">
        <v>0</v>
      </c>
      <c r="J763" s="47">
        <v>0</v>
      </c>
      <c r="K763" s="47">
        <v>0</v>
      </c>
      <c r="L763" s="47">
        <v>0</v>
      </c>
      <c r="M763" s="47">
        <v>0</v>
      </c>
      <c r="N763" s="47">
        <v>0</v>
      </c>
      <c r="O763" s="47">
        <v>0</v>
      </c>
      <c r="P763" s="47">
        <v>0</v>
      </c>
      <c r="Q763" s="47">
        <v>0</v>
      </c>
      <c r="R763" s="47">
        <v>0</v>
      </c>
      <c r="S763" s="47">
        <v>0</v>
      </c>
      <c r="T763" s="47">
        <v>0</v>
      </c>
      <c r="U763" s="47">
        <v>0</v>
      </c>
      <c r="V763" s="47">
        <v>0</v>
      </c>
      <c r="W763" s="47">
        <v>0</v>
      </c>
      <c r="X763" s="47">
        <v>0</v>
      </c>
      <c r="Y763" s="48">
        <v>2381134.64</v>
      </c>
      <c r="Z763" s="49">
        <v>0</v>
      </c>
      <c r="AA763" s="50">
        <v>0</v>
      </c>
      <c r="AB763" s="50">
        <v>0</v>
      </c>
      <c r="AC763" s="50">
        <v>0</v>
      </c>
      <c r="AD763" s="50">
        <v>22222.25</v>
      </c>
      <c r="AE763" s="50">
        <v>1406019.1</v>
      </c>
      <c r="AF763" s="50">
        <v>0</v>
      </c>
      <c r="AG763" s="49">
        <v>1428241.35</v>
      </c>
      <c r="AH763" s="51" t="s">
        <v>74</v>
      </c>
      <c r="AI763" s="51" t="s">
        <v>74</v>
      </c>
      <c r="AJ763" s="51" t="s">
        <v>74</v>
      </c>
      <c r="AK763" s="51" t="s">
        <v>115</v>
      </c>
      <c r="AL763" s="51" t="s">
        <v>847</v>
      </c>
      <c r="AM763" s="51" t="s">
        <v>74</v>
      </c>
      <c r="AN763" s="52">
        <v>0</v>
      </c>
      <c r="AO763" s="52">
        <v>0</v>
      </c>
      <c r="AP763" s="52">
        <v>0</v>
      </c>
      <c r="AQ763" s="52">
        <v>0</v>
      </c>
      <c r="AR763" s="52">
        <v>0</v>
      </c>
      <c r="AS763" s="52">
        <v>0</v>
      </c>
      <c r="AT763" s="53" t="s">
        <v>74</v>
      </c>
      <c r="AU763" s="52">
        <v>0</v>
      </c>
      <c r="AV763" s="52"/>
      <c r="AW763" s="52">
        <v>0</v>
      </c>
      <c r="AX763" s="52"/>
      <c r="AY763" s="52"/>
      <c r="AZ763" s="52">
        <v>0</v>
      </c>
      <c r="BA763" s="52">
        <v>0</v>
      </c>
      <c r="BB763" s="54" t="s">
        <v>74</v>
      </c>
      <c r="BC763" s="53" t="s">
        <v>74</v>
      </c>
      <c r="BD763" s="55" t="s">
        <v>74</v>
      </c>
      <c r="BE763" s="55" t="s">
        <v>74</v>
      </c>
      <c r="BF763" s="55" t="s">
        <v>74</v>
      </c>
      <c r="BG763" s="55" t="s">
        <v>74</v>
      </c>
      <c r="BH763" s="52">
        <v>0</v>
      </c>
      <c r="BI763" s="52">
        <v>952893.29</v>
      </c>
      <c r="BJ763" s="52">
        <v>952893.29</v>
      </c>
      <c r="BK763" s="56">
        <v>43282</v>
      </c>
      <c r="BL763" s="57">
        <v>952893.29</v>
      </c>
      <c r="BM763" s="47">
        <v>0</v>
      </c>
      <c r="BN763" s="9"/>
      <c r="BO763" s="9"/>
      <c r="BP763" s="9"/>
      <c r="BQ763" s="9"/>
      <c r="BR763" s="9"/>
      <c r="BS763" s="9"/>
      <c r="BT763" s="9"/>
      <c r="BU763" s="9"/>
      <c r="BV763" s="9"/>
      <c r="BW763" s="9"/>
    </row>
    <row r="764" spans="1:75" ht="128.25" hidden="1" outlineLevel="2" x14ac:dyDescent="0.25">
      <c r="A764" s="43" t="s">
        <v>840</v>
      </c>
      <c r="B764" s="110" t="s">
        <v>841</v>
      </c>
      <c r="C764" s="45">
        <v>2018</v>
      </c>
      <c r="D764" s="110" t="s">
        <v>86</v>
      </c>
      <c r="E764" s="47">
        <v>0</v>
      </c>
      <c r="F764" s="47">
        <v>0</v>
      </c>
      <c r="G764" s="47">
        <v>2381134.64</v>
      </c>
      <c r="H764" s="47">
        <v>0</v>
      </c>
      <c r="I764" s="47">
        <v>0</v>
      </c>
      <c r="J764" s="47">
        <v>0</v>
      </c>
      <c r="K764" s="47">
        <v>0</v>
      </c>
      <c r="L764" s="47">
        <v>0</v>
      </c>
      <c r="M764" s="47">
        <v>0</v>
      </c>
      <c r="N764" s="47">
        <v>0</v>
      </c>
      <c r="O764" s="47">
        <v>0</v>
      </c>
      <c r="P764" s="47">
        <v>0</v>
      </c>
      <c r="Q764" s="47">
        <v>0</v>
      </c>
      <c r="R764" s="47">
        <v>0</v>
      </c>
      <c r="S764" s="47">
        <v>0</v>
      </c>
      <c r="T764" s="47">
        <v>0</v>
      </c>
      <c r="U764" s="47">
        <v>0</v>
      </c>
      <c r="V764" s="47">
        <v>0</v>
      </c>
      <c r="W764" s="47">
        <v>0</v>
      </c>
      <c r="X764" s="47">
        <v>0</v>
      </c>
      <c r="Y764" s="48">
        <v>2381134.64</v>
      </c>
      <c r="Z764" s="49">
        <v>0</v>
      </c>
      <c r="AA764" s="50">
        <v>0</v>
      </c>
      <c r="AB764" s="50">
        <v>0</v>
      </c>
      <c r="AC764" s="50">
        <v>0</v>
      </c>
      <c r="AD764" s="50">
        <v>22805.759999999998</v>
      </c>
      <c r="AE764" s="50">
        <v>1238431.3</v>
      </c>
      <c r="AF764" s="50">
        <v>0</v>
      </c>
      <c r="AG764" s="49">
        <v>1261237.06</v>
      </c>
      <c r="AH764" s="51" t="s">
        <v>74</v>
      </c>
      <c r="AI764" s="51" t="s">
        <v>74</v>
      </c>
      <c r="AJ764" s="51" t="s">
        <v>74</v>
      </c>
      <c r="AK764" s="51" t="s">
        <v>118</v>
      </c>
      <c r="AL764" s="51" t="s">
        <v>848</v>
      </c>
      <c r="AM764" s="51" t="s">
        <v>74</v>
      </c>
      <c r="AN764" s="52">
        <v>0</v>
      </c>
      <c r="AO764" s="52">
        <v>0</v>
      </c>
      <c r="AP764" s="52">
        <v>0</v>
      </c>
      <c r="AQ764" s="52">
        <v>0</v>
      </c>
      <c r="AR764" s="52">
        <v>0</v>
      </c>
      <c r="AS764" s="52">
        <v>0</v>
      </c>
      <c r="AT764" s="53" t="s">
        <v>74</v>
      </c>
      <c r="AU764" s="52">
        <v>0</v>
      </c>
      <c r="AV764" s="52"/>
      <c r="AW764" s="52">
        <v>0</v>
      </c>
      <c r="AX764" s="52"/>
      <c r="AY764" s="52"/>
      <c r="AZ764" s="52">
        <v>0</v>
      </c>
      <c r="BA764" s="52">
        <v>0</v>
      </c>
      <c r="BB764" s="54" t="s">
        <v>74</v>
      </c>
      <c r="BC764" s="53" t="s">
        <v>74</v>
      </c>
      <c r="BD764" s="55" t="s">
        <v>74</v>
      </c>
      <c r="BE764" s="55" t="s">
        <v>74</v>
      </c>
      <c r="BF764" s="55" t="s">
        <v>74</v>
      </c>
      <c r="BG764" s="55" t="s">
        <v>74</v>
      </c>
      <c r="BH764" s="52">
        <v>0</v>
      </c>
      <c r="BI764" s="52">
        <v>1119897.58</v>
      </c>
      <c r="BJ764" s="52">
        <v>1119897.58</v>
      </c>
      <c r="BK764" s="56">
        <v>43313</v>
      </c>
      <c r="BL764" s="57">
        <v>1119897.58</v>
      </c>
      <c r="BM764" s="47">
        <v>0</v>
      </c>
      <c r="BN764" s="9"/>
      <c r="BO764" s="9"/>
      <c r="BP764" s="9"/>
      <c r="BQ764" s="9"/>
      <c r="BR764" s="9"/>
      <c r="BS764" s="9"/>
      <c r="BT764" s="9"/>
      <c r="BU764" s="9"/>
      <c r="BV764" s="9"/>
      <c r="BW764" s="9"/>
    </row>
    <row r="765" spans="1:75" ht="90" hidden="1" outlineLevel="2" x14ac:dyDescent="0.25">
      <c r="A765" s="43" t="s">
        <v>840</v>
      </c>
      <c r="B765" s="110" t="s">
        <v>841</v>
      </c>
      <c r="C765" s="45">
        <v>2018</v>
      </c>
      <c r="D765" s="110" t="s">
        <v>88</v>
      </c>
      <c r="E765" s="47">
        <v>0</v>
      </c>
      <c r="F765" s="47">
        <v>0</v>
      </c>
      <c r="G765" s="47">
        <v>2381134.64</v>
      </c>
      <c r="H765" s="47">
        <v>0</v>
      </c>
      <c r="I765" s="47">
        <v>0</v>
      </c>
      <c r="J765" s="47">
        <v>0</v>
      </c>
      <c r="K765" s="47">
        <v>0</v>
      </c>
      <c r="L765" s="47">
        <v>0</v>
      </c>
      <c r="M765" s="47">
        <v>0</v>
      </c>
      <c r="N765" s="47">
        <v>0</v>
      </c>
      <c r="O765" s="47">
        <v>0</v>
      </c>
      <c r="P765" s="47">
        <v>0</v>
      </c>
      <c r="Q765" s="47">
        <v>0</v>
      </c>
      <c r="R765" s="47">
        <v>0</v>
      </c>
      <c r="S765" s="47">
        <v>0</v>
      </c>
      <c r="T765" s="47">
        <v>0</v>
      </c>
      <c r="U765" s="47">
        <v>0</v>
      </c>
      <c r="V765" s="47">
        <v>0</v>
      </c>
      <c r="W765" s="47">
        <v>0</v>
      </c>
      <c r="X765" s="47">
        <v>0</v>
      </c>
      <c r="Y765" s="48">
        <v>2381134.64</v>
      </c>
      <c r="Z765" s="49">
        <v>0</v>
      </c>
      <c r="AA765" s="50">
        <v>0</v>
      </c>
      <c r="AB765" s="50">
        <v>0</v>
      </c>
      <c r="AC765" s="50">
        <v>0</v>
      </c>
      <c r="AD765" s="50">
        <v>26503.759999999998</v>
      </c>
      <c r="AE765" s="50">
        <v>1238431.1000000001</v>
      </c>
      <c r="AF765" s="50">
        <v>0</v>
      </c>
      <c r="AG765" s="49">
        <v>1264934.8600000001</v>
      </c>
      <c r="AH765" s="51" t="s">
        <v>74</v>
      </c>
      <c r="AI765" s="51" t="s">
        <v>74</v>
      </c>
      <c r="AJ765" s="51" t="s">
        <v>74</v>
      </c>
      <c r="AK765" s="51" t="s">
        <v>121</v>
      </c>
      <c r="AL765" s="51" t="s">
        <v>849</v>
      </c>
      <c r="AM765" s="51" t="s">
        <v>74</v>
      </c>
      <c r="AN765" s="52">
        <v>0</v>
      </c>
      <c r="AO765" s="52">
        <v>0</v>
      </c>
      <c r="AP765" s="52">
        <v>0</v>
      </c>
      <c r="AQ765" s="52">
        <v>0</v>
      </c>
      <c r="AR765" s="52">
        <v>0</v>
      </c>
      <c r="AS765" s="52">
        <v>0</v>
      </c>
      <c r="AT765" s="53" t="s">
        <v>74</v>
      </c>
      <c r="AU765" s="52">
        <v>0</v>
      </c>
      <c r="AV765" s="52"/>
      <c r="AW765" s="52">
        <v>0</v>
      </c>
      <c r="AX765" s="52"/>
      <c r="AY765" s="52"/>
      <c r="AZ765" s="52">
        <v>0</v>
      </c>
      <c r="BA765" s="52">
        <v>0</v>
      </c>
      <c r="BB765" s="54" t="s">
        <v>74</v>
      </c>
      <c r="BC765" s="53" t="s">
        <v>74</v>
      </c>
      <c r="BD765" s="55" t="s">
        <v>74</v>
      </c>
      <c r="BE765" s="55" t="s">
        <v>74</v>
      </c>
      <c r="BF765" s="55" t="s">
        <v>74</v>
      </c>
      <c r="BG765" s="55" t="s">
        <v>74</v>
      </c>
      <c r="BH765" s="52">
        <v>0</v>
      </c>
      <c r="BI765" s="52">
        <v>1116199.78</v>
      </c>
      <c r="BJ765" s="52">
        <v>1116199.78</v>
      </c>
      <c r="BK765" s="56">
        <v>43344</v>
      </c>
      <c r="BL765" s="57">
        <v>1116199.78</v>
      </c>
      <c r="BM765" s="47">
        <v>0</v>
      </c>
      <c r="BN765" s="9"/>
      <c r="BO765" s="9"/>
      <c r="BP765" s="9"/>
      <c r="BQ765" s="9"/>
      <c r="BR765" s="9"/>
      <c r="BS765" s="9"/>
      <c r="BT765" s="9"/>
      <c r="BU765" s="9"/>
      <c r="BV765" s="9"/>
      <c r="BW765" s="9"/>
    </row>
    <row r="766" spans="1:75" ht="115.5" hidden="1" outlineLevel="2" x14ac:dyDescent="0.25">
      <c r="A766" s="43" t="s">
        <v>840</v>
      </c>
      <c r="B766" s="110" t="s">
        <v>841</v>
      </c>
      <c r="C766" s="45">
        <v>2018</v>
      </c>
      <c r="D766" s="110" t="s">
        <v>89</v>
      </c>
      <c r="E766" s="47">
        <v>0</v>
      </c>
      <c r="F766" s="47">
        <v>0</v>
      </c>
      <c r="G766" s="47">
        <v>2381134.64</v>
      </c>
      <c r="H766" s="47">
        <v>0</v>
      </c>
      <c r="I766" s="47">
        <v>0</v>
      </c>
      <c r="J766" s="47">
        <v>0</v>
      </c>
      <c r="K766" s="47">
        <v>0</v>
      </c>
      <c r="L766" s="47">
        <v>0</v>
      </c>
      <c r="M766" s="47">
        <v>0</v>
      </c>
      <c r="N766" s="47">
        <v>0</v>
      </c>
      <c r="O766" s="47">
        <v>0</v>
      </c>
      <c r="P766" s="47">
        <v>0</v>
      </c>
      <c r="Q766" s="47">
        <v>0</v>
      </c>
      <c r="R766" s="47">
        <v>0</v>
      </c>
      <c r="S766" s="47">
        <v>0</v>
      </c>
      <c r="T766" s="47">
        <v>0</v>
      </c>
      <c r="U766" s="47">
        <v>0</v>
      </c>
      <c r="V766" s="47">
        <v>0</v>
      </c>
      <c r="W766" s="47">
        <v>0</v>
      </c>
      <c r="X766" s="47">
        <v>0</v>
      </c>
      <c r="Y766" s="48">
        <v>2381134.64</v>
      </c>
      <c r="Z766" s="49">
        <v>0</v>
      </c>
      <c r="AA766" s="50">
        <v>0</v>
      </c>
      <c r="AB766" s="50">
        <v>0</v>
      </c>
      <c r="AC766" s="50">
        <v>0</v>
      </c>
      <c r="AD766" s="50">
        <v>27290.42</v>
      </c>
      <c r="AE766" s="50">
        <v>1202851.46</v>
      </c>
      <c r="AF766" s="50">
        <v>0</v>
      </c>
      <c r="AG766" s="49">
        <v>1230141.8799999999</v>
      </c>
      <c r="AH766" s="51" t="s">
        <v>74</v>
      </c>
      <c r="AI766" s="51" t="s">
        <v>74</v>
      </c>
      <c r="AJ766" s="51" t="s">
        <v>74</v>
      </c>
      <c r="AK766" s="51" t="s">
        <v>124</v>
      </c>
      <c r="AL766" s="51" t="s">
        <v>850</v>
      </c>
      <c r="AM766" s="51" t="s">
        <v>74</v>
      </c>
      <c r="AN766" s="52">
        <v>0</v>
      </c>
      <c r="AO766" s="52">
        <v>0</v>
      </c>
      <c r="AP766" s="52">
        <v>0</v>
      </c>
      <c r="AQ766" s="52">
        <v>0</v>
      </c>
      <c r="AR766" s="52">
        <v>0</v>
      </c>
      <c r="AS766" s="52">
        <v>0</v>
      </c>
      <c r="AT766" s="53" t="s">
        <v>74</v>
      </c>
      <c r="AU766" s="52">
        <v>0</v>
      </c>
      <c r="AV766" s="52"/>
      <c r="AW766" s="52">
        <v>0</v>
      </c>
      <c r="AX766" s="52"/>
      <c r="AY766" s="52"/>
      <c r="AZ766" s="52">
        <v>0</v>
      </c>
      <c r="BA766" s="52">
        <v>0</v>
      </c>
      <c r="BB766" s="54" t="s">
        <v>74</v>
      </c>
      <c r="BC766" s="53" t="s">
        <v>74</v>
      </c>
      <c r="BD766" s="55" t="s">
        <v>74</v>
      </c>
      <c r="BE766" s="55" t="s">
        <v>74</v>
      </c>
      <c r="BF766" s="55" t="s">
        <v>74</v>
      </c>
      <c r="BG766" s="55" t="s">
        <v>74</v>
      </c>
      <c r="BH766" s="52">
        <v>0</v>
      </c>
      <c r="BI766" s="52">
        <v>1150992.76</v>
      </c>
      <c r="BJ766" s="52">
        <v>1150992.76</v>
      </c>
      <c r="BK766" s="56">
        <v>43374</v>
      </c>
      <c r="BL766" s="57">
        <v>1150992.76</v>
      </c>
      <c r="BM766" s="47">
        <v>0</v>
      </c>
      <c r="BN766" s="9"/>
      <c r="BO766" s="9"/>
      <c r="BP766" s="9"/>
      <c r="BQ766" s="9"/>
      <c r="BR766" s="9"/>
      <c r="BS766" s="9"/>
      <c r="BT766" s="9"/>
      <c r="BU766" s="9"/>
      <c r="BV766" s="9"/>
      <c r="BW766" s="9"/>
    </row>
    <row r="767" spans="1:75" ht="87" hidden="1" customHeight="1" outlineLevel="2" x14ac:dyDescent="0.25">
      <c r="A767" s="43" t="s">
        <v>840</v>
      </c>
      <c r="B767" s="110" t="s">
        <v>841</v>
      </c>
      <c r="C767" s="45">
        <v>2018</v>
      </c>
      <c r="D767" s="110" t="s">
        <v>90</v>
      </c>
      <c r="E767" s="47">
        <v>0</v>
      </c>
      <c r="F767" s="47">
        <v>0</v>
      </c>
      <c r="G767" s="47">
        <v>2381134.64</v>
      </c>
      <c r="H767" s="47">
        <v>0</v>
      </c>
      <c r="I767" s="47">
        <v>0</v>
      </c>
      <c r="J767" s="47">
        <v>0</v>
      </c>
      <c r="K767" s="47">
        <v>0</v>
      </c>
      <c r="L767" s="47">
        <v>0</v>
      </c>
      <c r="M767" s="47">
        <v>0</v>
      </c>
      <c r="N767" s="47">
        <v>0</v>
      </c>
      <c r="O767" s="47">
        <v>0</v>
      </c>
      <c r="P767" s="47">
        <v>0</v>
      </c>
      <c r="Q767" s="47">
        <v>0</v>
      </c>
      <c r="R767" s="47">
        <v>0</v>
      </c>
      <c r="S767" s="47">
        <v>0</v>
      </c>
      <c r="T767" s="47">
        <v>0</v>
      </c>
      <c r="U767" s="47">
        <v>0</v>
      </c>
      <c r="V767" s="47">
        <v>0</v>
      </c>
      <c r="W767" s="47">
        <v>0</v>
      </c>
      <c r="X767" s="47">
        <v>0</v>
      </c>
      <c r="Y767" s="48">
        <v>2381134.64</v>
      </c>
      <c r="Z767" s="49">
        <v>0</v>
      </c>
      <c r="AA767" s="50">
        <v>0</v>
      </c>
      <c r="AB767" s="50">
        <v>0</v>
      </c>
      <c r="AC767" s="50">
        <v>0</v>
      </c>
      <c r="AD767" s="50">
        <v>29899.67</v>
      </c>
      <c r="AE767" s="50">
        <v>1274010.74</v>
      </c>
      <c r="AF767" s="50">
        <v>0</v>
      </c>
      <c r="AG767" s="49">
        <v>1303910.4099999999</v>
      </c>
      <c r="AH767" s="51" t="s">
        <v>74</v>
      </c>
      <c r="AI767" s="51" t="s">
        <v>74</v>
      </c>
      <c r="AJ767" s="51" t="s">
        <v>74</v>
      </c>
      <c r="AK767" s="51" t="s">
        <v>126</v>
      </c>
      <c r="AL767" s="51" t="s">
        <v>851</v>
      </c>
      <c r="AM767" s="51" t="s">
        <v>74</v>
      </c>
      <c r="AN767" s="52"/>
      <c r="AO767" s="52">
        <v>0</v>
      </c>
      <c r="AP767" s="52"/>
      <c r="AQ767" s="52"/>
      <c r="AR767" s="52"/>
      <c r="AS767" s="52">
        <v>0</v>
      </c>
      <c r="AT767" s="53" t="s">
        <v>74</v>
      </c>
      <c r="AU767" s="52">
        <v>44027.040000000001</v>
      </c>
      <c r="AV767" s="52"/>
      <c r="AW767" s="52">
        <v>0</v>
      </c>
      <c r="AX767" s="52"/>
      <c r="AY767" s="52"/>
      <c r="AZ767" s="52">
        <v>0</v>
      </c>
      <c r="BA767" s="52">
        <v>44027.040000000001</v>
      </c>
      <c r="BB767" s="55" t="s">
        <v>852</v>
      </c>
      <c r="BC767" s="51" t="s">
        <v>74</v>
      </c>
      <c r="BD767" s="54" t="s">
        <v>74</v>
      </c>
      <c r="BE767" s="54" t="s">
        <v>74</v>
      </c>
      <c r="BF767" s="54" t="s">
        <v>74</v>
      </c>
      <c r="BG767" s="54" t="s">
        <v>74</v>
      </c>
      <c r="BH767" s="52">
        <v>44027.040000000001</v>
      </c>
      <c r="BI767" s="52">
        <v>1121251.27</v>
      </c>
      <c r="BJ767" s="52">
        <v>1077224.23</v>
      </c>
      <c r="BK767" s="56">
        <v>43405</v>
      </c>
      <c r="BL767" s="57">
        <v>1121251.27</v>
      </c>
      <c r="BM767" s="47">
        <v>0</v>
      </c>
      <c r="BN767" s="9"/>
      <c r="BO767" s="9"/>
      <c r="BP767" s="9"/>
      <c r="BQ767" s="9"/>
      <c r="BR767" s="9"/>
      <c r="BS767" s="9"/>
      <c r="BT767" s="9"/>
      <c r="BU767" s="9"/>
      <c r="BV767" s="9"/>
      <c r="BW767" s="9"/>
    </row>
    <row r="768" spans="1:75" ht="102.75" hidden="1" outlineLevel="2" x14ac:dyDescent="0.25">
      <c r="A768" s="43" t="s">
        <v>840</v>
      </c>
      <c r="B768" s="110" t="s">
        <v>841</v>
      </c>
      <c r="C768" s="45">
        <v>2018</v>
      </c>
      <c r="D768" s="110" t="s">
        <v>93</v>
      </c>
      <c r="E768" s="47">
        <v>0</v>
      </c>
      <c r="F768" s="47">
        <v>0</v>
      </c>
      <c r="G768" s="47">
        <v>2381134.64</v>
      </c>
      <c r="H768" s="47">
        <v>0</v>
      </c>
      <c r="I768" s="47">
        <v>0</v>
      </c>
      <c r="J768" s="47">
        <v>0</v>
      </c>
      <c r="K768" s="47">
        <v>0</v>
      </c>
      <c r="L768" s="47">
        <v>0</v>
      </c>
      <c r="M768" s="47">
        <v>0</v>
      </c>
      <c r="N768" s="47">
        <v>0</v>
      </c>
      <c r="O768" s="47">
        <v>0</v>
      </c>
      <c r="P768" s="47">
        <v>0</v>
      </c>
      <c r="Q768" s="47">
        <v>0</v>
      </c>
      <c r="R768" s="47">
        <v>0</v>
      </c>
      <c r="S768" s="47">
        <v>0</v>
      </c>
      <c r="T768" s="47">
        <v>0</v>
      </c>
      <c r="U768" s="47">
        <v>0</v>
      </c>
      <c r="V768" s="47">
        <v>0</v>
      </c>
      <c r="W768" s="47">
        <v>0</v>
      </c>
      <c r="X768" s="47">
        <v>0</v>
      </c>
      <c r="Y768" s="48">
        <v>2381134.64</v>
      </c>
      <c r="Z768" s="49">
        <v>0</v>
      </c>
      <c r="AA768" s="50">
        <v>0</v>
      </c>
      <c r="AB768" s="50">
        <v>0</v>
      </c>
      <c r="AC768" s="50">
        <v>0</v>
      </c>
      <c r="AD768" s="50">
        <v>27897.95</v>
      </c>
      <c r="AE768" s="50">
        <v>1238431.1000000001</v>
      </c>
      <c r="AF768" s="50">
        <v>0</v>
      </c>
      <c r="AG768" s="49">
        <v>1266329.05</v>
      </c>
      <c r="AH768" s="51" t="s">
        <v>74</v>
      </c>
      <c r="AI768" s="51" t="s">
        <v>74</v>
      </c>
      <c r="AJ768" s="51" t="s">
        <v>74</v>
      </c>
      <c r="AK768" s="51" t="s">
        <v>128</v>
      </c>
      <c r="AL768" s="51" t="s">
        <v>851</v>
      </c>
      <c r="AM768" s="51" t="s">
        <v>74</v>
      </c>
      <c r="AN768" s="52">
        <v>0</v>
      </c>
      <c r="AO768" s="52">
        <v>0</v>
      </c>
      <c r="AP768" s="52">
        <v>0</v>
      </c>
      <c r="AQ768" s="52">
        <v>0</v>
      </c>
      <c r="AR768" s="52">
        <v>0</v>
      </c>
      <c r="AS768" s="52">
        <v>0</v>
      </c>
      <c r="AT768" s="53" t="s">
        <v>74</v>
      </c>
      <c r="AU768" s="52">
        <v>0</v>
      </c>
      <c r="AV768" s="52"/>
      <c r="AW768" s="52">
        <v>0</v>
      </c>
      <c r="AX768" s="52"/>
      <c r="AY768" s="52"/>
      <c r="AZ768" s="52">
        <v>0</v>
      </c>
      <c r="BA768" s="52">
        <v>0</v>
      </c>
      <c r="BB768" s="54" t="s">
        <v>74</v>
      </c>
      <c r="BC768" s="53" t="s">
        <v>74</v>
      </c>
      <c r="BD768" s="55" t="s">
        <v>74</v>
      </c>
      <c r="BE768" s="55" t="s">
        <v>74</v>
      </c>
      <c r="BF768" s="55" t="s">
        <v>74</v>
      </c>
      <c r="BG768" s="55" t="s">
        <v>74</v>
      </c>
      <c r="BH768" s="52">
        <v>0</v>
      </c>
      <c r="BI768" s="52">
        <v>1114805.5900000001</v>
      </c>
      <c r="BJ768" s="52">
        <v>1114805.5900000001</v>
      </c>
      <c r="BK768" s="56">
        <v>43435</v>
      </c>
      <c r="BL768" s="57">
        <v>1114805.5900000001</v>
      </c>
      <c r="BM768" s="47">
        <v>0</v>
      </c>
      <c r="BN768" s="9"/>
      <c r="BO768" s="9"/>
      <c r="BP768" s="9"/>
      <c r="BQ768" s="9"/>
      <c r="BR768" s="9"/>
      <c r="BS768" s="9"/>
      <c r="BT768" s="9"/>
      <c r="BU768" s="9"/>
      <c r="BV768" s="9"/>
      <c r="BW768" s="9"/>
    </row>
    <row r="769" spans="1:75" ht="26.25" hidden="1" outlineLevel="2" x14ac:dyDescent="0.25">
      <c r="A769" s="43" t="s">
        <v>840</v>
      </c>
      <c r="B769" s="110" t="s">
        <v>841</v>
      </c>
      <c r="C769" s="45">
        <v>2019</v>
      </c>
      <c r="D769" s="110" t="s">
        <v>73</v>
      </c>
      <c r="E769" s="47">
        <v>0</v>
      </c>
      <c r="F769" s="47">
        <v>0</v>
      </c>
      <c r="G769" s="47">
        <v>2381134.64</v>
      </c>
      <c r="H769" s="47">
        <v>0</v>
      </c>
      <c r="I769" s="47">
        <v>0</v>
      </c>
      <c r="J769" s="47">
        <v>0</v>
      </c>
      <c r="K769" s="47">
        <v>0</v>
      </c>
      <c r="L769" s="47">
        <v>0</v>
      </c>
      <c r="M769" s="47">
        <v>0</v>
      </c>
      <c r="N769" s="47">
        <v>0</v>
      </c>
      <c r="O769" s="47">
        <v>0</v>
      </c>
      <c r="P769" s="47">
        <v>0</v>
      </c>
      <c r="Q769" s="47">
        <v>0</v>
      </c>
      <c r="R769" s="47">
        <v>0</v>
      </c>
      <c r="S769" s="47">
        <v>0</v>
      </c>
      <c r="T769" s="47">
        <v>0</v>
      </c>
      <c r="U769" s="47">
        <v>0</v>
      </c>
      <c r="V769" s="47">
        <v>0</v>
      </c>
      <c r="W769" s="47">
        <v>0</v>
      </c>
      <c r="X769" s="47">
        <v>0</v>
      </c>
      <c r="Y769" s="48">
        <v>2381134.64</v>
      </c>
      <c r="Z769" s="49">
        <v>0</v>
      </c>
      <c r="AA769" s="50">
        <v>0</v>
      </c>
      <c r="AB769" s="50">
        <v>0</v>
      </c>
      <c r="AC769" s="50">
        <v>0</v>
      </c>
      <c r="AD769" s="50">
        <v>30903.91</v>
      </c>
      <c r="AE769" s="50">
        <v>27931.1</v>
      </c>
      <c r="AF769" s="50">
        <v>0</v>
      </c>
      <c r="AG769" s="49">
        <v>58835.01</v>
      </c>
      <c r="AH769" s="51" t="s">
        <v>74</v>
      </c>
      <c r="AI769" s="51" t="s">
        <v>74</v>
      </c>
      <c r="AJ769" s="51" t="s">
        <v>74</v>
      </c>
      <c r="AK769" s="51" t="s">
        <v>254</v>
      </c>
      <c r="AL769" s="51" t="s">
        <v>853</v>
      </c>
      <c r="AM769" s="51" t="s">
        <v>74</v>
      </c>
      <c r="AN769" s="52">
        <v>779.12</v>
      </c>
      <c r="AO769" s="52">
        <v>0</v>
      </c>
      <c r="AP769" s="52">
        <v>0</v>
      </c>
      <c r="AQ769" s="52">
        <v>0</v>
      </c>
      <c r="AR769" s="52">
        <v>0</v>
      </c>
      <c r="AS769" s="52">
        <v>779.12</v>
      </c>
      <c r="AT769" s="51" t="s">
        <v>854</v>
      </c>
      <c r="AU769" s="52">
        <v>0</v>
      </c>
      <c r="AV769" s="52"/>
      <c r="AW769" s="52">
        <v>0</v>
      </c>
      <c r="AX769" s="52"/>
      <c r="AY769" s="52"/>
      <c r="AZ769" s="52">
        <v>0</v>
      </c>
      <c r="BA769" s="52">
        <v>0</v>
      </c>
      <c r="BB769" s="54" t="s">
        <v>74</v>
      </c>
      <c r="BC769" s="53" t="s">
        <v>74</v>
      </c>
      <c r="BD769" s="55" t="s">
        <v>74</v>
      </c>
      <c r="BE769" s="55" t="s">
        <v>74</v>
      </c>
      <c r="BF769" s="55" t="s">
        <v>74</v>
      </c>
      <c r="BG769" s="55" t="s">
        <v>74</v>
      </c>
      <c r="BH769" s="52">
        <v>779.12</v>
      </c>
      <c r="BI769" s="52">
        <v>2323078.75</v>
      </c>
      <c r="BJ769" s="52">
        <v>2323078.75</v>
      </c>
      <c r="BK769" s="56">
        <v>43466</v>
      </c>
      <c r="BL769" s="57">
        <v>2323078.75</v>
      </c>
      <c r="BM769" s="47">
        <v>0</v>
      </c>
      <c r="BN769" s="9"/>
      <c r="BO769" s="9"/>
      <c r="BP769" s="9"/>
      <c r="BQ769" s="9"/>
      <c r="BR769" s="9"/>
      <c r="BS769" s="9"/>
      <c r="BT769" s="9"/>
      <c r="BU769" s="9"/>
      <c r="BV769" s="9"/>
      <c r="BW769" s="9"/>
    </row>
    <row r="770" spans="1:75" hidden="1" outlineLevel="2" x14ac:dyDescent="0.25">
      <c r="A770" s="43" t="s">
        <v>840</v>
      </c>
      <c r="B770" s="110" t="s">
        <v>841</v>
      </c>
      <c r="C770" s="45">
        <v>2019</v>
      </c>
      <c r="D770" s="110" t="s">
        <v>75</v>
      </c>
      <c r="E770" s="47">
        <v>0</v>
      </c>
      <c r="F770" s="47">
        <v>0</v>
      </c>
      <c r="G770" s="47">
        <v>2381134.64</v>
      </c>
      <c r="H770" s="47">
        <v>0</v>
      </c>
      <c r="I770" s="47">
        <v>0</v>
      </c>
      <c r="J770" s="47">
        <v>0</v>
      </c>
      <c r="K770" s="47">
        <v>0</v>
      </c>
      <c r="L770" s="47">
        <v>0</v>
      </c>
      <c r="M770" s="47">
        <v>0</v>
      </c>
      <c r="N770" s="47">
        <v>0</v>
      </c>
      <c r="O770" s="47">
        <v>0</v>
      </c>
      <c r="P770" s="47">
        <v>0</v>
      </c>
      <c r="Q770" s="47">
        <v>0</v>
      </c>
      <c r="R770" s="47">
        <v>0</v>
      </c>
      <c r="S770" s="47">
        <v>0</v>
      </c>
      <c r="T770" s="47">
        <v>0</v>
      </c>
      <c r="U770" s="47">
        <v>0</v>
      </c>
      <c r="V770" s="47">
        <v>0</v>
      </c>
      <c r="W770" s="47">
        <v>0</v>
      </c>
      <c r="X770" s="47">
        <v>0</v>
      </c>
      <c r="Y770" s="48">
        <v>2381134.64</v>
      </c>
      <c r="Z770" s="49">
        <v>0</v>
      </c>
      <c r="AA770" s="50">
        <v>0</v>
      </c>
      <c r="AB770" s="50">
        <v>0</v>
      </c>
      <c r="AC770" s="50">
        <v>0</v>
      </c>
      <c r="AD770" s="50">
        <v>0</v>
      </c>
      <c r="AE770" s="50">
        <v>0</v>
      </c>
      <c r="AF770" s="50">
        <v>0</v>
      </c>
      <c r="AG770" s="49">
        <v>0</v>
      </c>
      <c r="AH770" s="51" t="s">
        <v>74</v>
      </c>
      <c r="AI770" s="51" t="s">
        <v>74</v>
      </c>
      <c r="AJ770" s="51" t="s">
        <v>74</v>
      </c>
      <c r="AK770" s="51" t="s">
        <v>74</v>
      </c>
      <c r="AL770" s="51" t="s">
        <v>74</v>
      </c>
      <c r="AM770" s="51" t="s">
        <v>74</v>
      </c>
      <c r="AN770" s="52">
        <v>0</v>
      </c>
      <c r="AO770" s="52">
        <v>0</v>
      </c>
      <c r="AP770" s="52">
        <v>0</v>
      </c>
      <c r="AQ770" s="52">
        <v>0</v>
      </c>
      <c r="AR770" s="52">
        <v>0</v>
      </c>
      <c r="AS770" s="52">
        <v>0</v>
      </c>
      <c r="AT770" s="53" t="s">
        <v>74</v>
      </c>
      <c r="AU770" s="52">
        <v>0</v>
      </c>
      <c r="AV770" s="52"/>
      <c r="AW770" s="52">
        <v>0</v>
      </c>
      <c r="AX770" s="52"/>
      <c r="AY770" s="52"/>
      <c r="AZ770" s="52">
        <v>0</v>
      </c>
      <c r="BA770" s="52">
        <v>0</v>
      </c>
      <c r="BB770" s="54" t="s">
        <v>74</v>
      </c>
      <c r="BC770" s="53" t="s">
        <v>74</v>
      </c>
      <c r="BD770" s="55" t="s">
        <v>74</v>
      </c>
      <c r="BE770" s="55" t="s">
        <v>74</v>
      </c>
      <c r="BF770" s="55" t="s">
        <v>74</v>
      </c>
      <c r="BG770" s="55" t="s">
        <v>74</v>
      </c>
      <c r="BH770" s="52">
        <v>0</v>
      </c>
      <c r="BI770" s="52">
        <v>2381134.64</v>
      </c>
      <c r="BJ770" s="52">
        <v>2381134.64</v>
      </c>
      <c r="BK770" s="56">
        <v>43497</v>
      </c>
      <c r="BL770" s="57">
        <v>2381134.64</v>
      </c>
      <c r="BM770" s="47">
        <v>0</v>
      </c>
      <c r="BN770" s="9"/>
      <c r="BO770" s="9"/>
      <c r="BP770" s="9"/>
      <c r="BQ770" s="9"/>
      <c r="BR770" s="9"/>
      <c r="BS770" s="9"/>
      <c r="BT770" s="9"/>
      <c r="BU770" s="9"/>
      <c r="BV770" s="9"/>
      <c r="BW770" s="9"/>
    </row>
    <row r="771" spans="1:75" ht="26.25" hidden="1" outlineLevel="2" x14ac:dyDescent="0.25">
      <c r="A771" s="43" t="s">
        <v>840</v>
      </c>
      <c r="B771" s="110" t="s">
        <v>841</v>
      </c>
      <c r="C771" s="45">
        <v>2019</v>
      </c>
      <c r="D771" s="110" t="s">
        <v>77</v>
      </c>
      <c r="E771" s="47">
        <v>0</v>
      </c>
      <c r="F771" s="47">
        <v>0</v>
      </c>
      <c r="G771" s="47">
        <v>2381134.64</v>
      </c>
      <c r="H771" s="47">
        <v>0</v>
      </c>
      <c r="I771" s="47">
        <v>0</v>
      </c>
      <c r="J771" s="47">
        <v>0</v>
      </c>
      <c r="K771" s="47">
        <v>0</v>
      </c>
      <c r="L771" s="47">
        <v>0</v>
      </c>
      <c r="M771" s="47">
        <v>0</v>
      </c>
      <c r="N771" s="47">
        <v>0</v>
      </c>
      <c r="O771" s="47">
        <v>0</v>
      </c>
      <c r="P771" s="47">
        <v>0</v>
      </c>
      <c r="Q771" s="47">
        <v>0</v>
      </c>
      <c r="R771" s="47">
        <v>0</v>
      </c>
      <c r="S771" s="47">
        <v>0</v>
      </c>
      <c r="T771" s="47">
        <v>0</v>
      </c>
      <c r="U771" s="47">
        <v>0</v>
      </c>
      <c r="V771" s="47">
        <v>0</v>
      </c>
      <c r="W771" s="47">
        <v>0</v>
      </c>
      <c r="X771" s="47">
        <v>0</v>
      </c>
      <c r="Y771" s="48">
        <v>2381134.64</v>
      </c>
      <c r="Z771" s="49">
        <v>0</v>
      </c>
      <c r="AA771" s="50">
        <v>0</v>
      </c>
      <c r="AB771" s="50">
        <v>0</v>
      </c>
      <c r="AC771" s="50">
        <v>0</v>
      </c>
      <c r="AD771" s="50">
        <v>29791.81</v>
      </c>
      <c r="AE771" s="50">
        <v>27931.1</v>
      </c>
      <c r="AF771" s="50">
        <v>0</v>
      </c>
      <c r="AG771" s="49">
        <v>57722.91</v>
      </c>
      <c r="AH771" s="51" t="s">
        <v>74</v>
      </c>
      <c r="AI771" s="51" t="s">
        <v>74</v>
      </c>
      <c r="AJ771" s="51" t="s">
        <v>74</v>
      </c>
      <c r="AK771" s="51" t="s">
        <v>134</v>
      </c>
      <c r="AL771" s="51" t="s">
        <v>853</v>
      </c>
      <c r="AM771" s="51" t="s">
        <v>74</v>
      </c>
      <c r="AN771" s="52">
        <v>0</v>
      </c>
      <c r="AO771" s="52">
        <v>0</v>
      </c>
      <c r="AP771" s="52">
        <v>0</v>
      </c>
      <c r="AQ771" s="52">
        <v>0</v>
      </c>
      <c r="AR771" s="52">
        <v>0</v>
      </c>
      <c r="AS771" s="52">
        <v>0</v>
      </c>
      <c r="AT771" s="53" t="s">
        <v>74</v>
      </c>
      <c r="AU771" s="52">
        <v>0</v>
      </c>
      <c r="AV771" s="52"/>
      <c r="AW771" s="52">
        <v>0</v>
      </c>
      <c r="AX771" s="52"/>
      <c r="AY771" s="52"/>
      <c r="AZ771" s="52">
        <v>0</v>
      </c>
      <c r="BA771" s="52">
        <v>0</v>
      </c>
      <c r="BB771" s="54" t="s">
        <v>74</v>
      </c>
      <c r="BC771" s="53" t="s">
        <v>74</v>
      </c>
      <c r="BD771" s="55" t="s">
        <v>74</v>
      </c>
      <c r="BE771" s="55" t="s">
        <v>74</v>
      </c>
      <c r="BF771" s="55" t="s">
        <v>74</v>
      </c>
      <c r="BG771" s="55" t="s">
        <v>74</v>
      </c>
      <c r="BH771" s="52">
        <v>0</v>
      </c>
      <c r="BI771" s="52">
        <v>2323411.73</v>
      </c>
      <c r="BJ771" s="52">
        <v>2323411.73</v>
      </c>
      <c r="BK771" s="56">
        <v>43525</v>
      </c>
      <c r="BL771" s="57">
        <v>2323411.73</v>
      </c>
      <c r="BM771" s="47">
        <v>0</v>
      </c>
      <c r="BN771" s="9"/>
      <c r="BO771" s="9"/>
      <c r="BP771" s="9"/>
      <c r="BQ771" s="9"/>
      <c r="BR771" s="9"/>
      <c r="BS771" s="9"/>
      <c r="BT771" s="9"/>
      <c r="BU771" s="9"/>
      <c r="BV771" s="9"/>
      <c r="BW771" s="9"/>
    </row>
    <row r="772" spans="1:75" ht="26.25" hidden="1" outlineLevel="2" x14ac:dyDescent="0.25">
      <c r="A772" s="43" t="s">
        <v>840</v>
      </c>
      <c r="B772" s="110" t="s">
        <v>841</v>
      </c>
      <c r="C772" s="45">
        <v>2019</v>
      </c>
      <c r="D772" s="110" t="s">
        <v>79</v>
      </c>
      <c r="E772" s="47">
        <v>0</v>
      </c>
      <c r="F772" s="47">
        <v>0</v>
      </c>
      <c r="G772" s="47">
        <v>2381134.64</v>
      </c>
      <c r="H772" s="47">
        <v>0</v>
      </c>
      <c r="I772" s="47">
        <v>0</v>
      </c>
      <c r="J772" s="47">
        <v>0</v>
      </c>
      <c r="K772" s="47">
        <v>0</v>
      </c>
      <c r="L772" s="47">
        <v>0</v>
      </c>
      <c r="M772" s="47">
        <v>0</v>
      </c>
      <c r="N772" s="47">
        <v>0</v>
      </c>
      <c r="O772" s="47">
        <v>0</v>
      </c>
      <c r="P772" s="47">
        <v>0</v>
      </c>
      <c r="Q772" s="47">
        <v>0</v>
      </c>
      <c r="R772" s="47">
        <v>0</v>
      </c>
      <c r="S772" s="47">
        <v>0</v>
      </c>
      <c r="T772" s="47">
        <v>0</v>
      </c>
      <c r="U772" s="47">
        <v>0</v>
      </c>
      <c r="V772" s="47">
        <v>0</v>
      </c>
      <c r="W772" s="47">
        <v>0</v>
      </c>
      <c r="X772" s="47">
        <v>0</v>
      </c>
      <c r="Y772" s="48">
        <v>2381134.64</v>
      </c>
      <c r="Z772" s="49">
        <v>0</v>
      </c>
      <c r="AA772" s="50">
        <v>0</v>
      </c>
      <c r="AB772" s="50">
        <v>0</v>
      </c>
      <c r="AC772" s="50">
        <v>0</v>
      </c>
      <c r="AD772" s="50">
        <v>30913</v>
      </c>
      <c r="AE772" s="50">
        <v>27931.1</v>
      </c>
      <c r="AF772" s="50">
        <v>0</v>
      </c>
      <c r="AG772" s="49">
        <v>58844.1</v>
      </c>
      <c r="AH772" s="51" t="s">
        <v>74</v>
      </c>
      <c r="AI772" s="51" t="s">
        <v>74</v>
      </c>
      <c r="AJ772" s="51" t="s">
        <v>74</v>
      </c>
      <c r="AK772" s="51" t="s">
        <v>259</v>
      </c>
      <c r="AL772" s="51" t="s">
        <v>853</v>
      </c>
      <c r="AM772" s="51" t="s">
        <v>74</v>
      </c>
      <c r="AN772" s="52">
        <v>0</v>
      </c>
      <c r="AO772" s="52">
        <v>0</v>
      </c>
      <c r="AP772" s="52">
        <v>0</v>
      </c>
      <c r="AQ772" s="52">
        <v>0</v>
      </c>
      <c r="AR772" s="52">
        <v>0</v>
      </c>
      <c r="AS772" s="52">
        <v>0</v>
      </c>
      <c r="AT772" s="53" t="s">
        <v>74</v>
      </c>
      <c r="AU772" s="52">
        <v>0</v>
      </c>
      <c r="AV772" s="52"/>
      <c r="AW772" s="52">
        <v>0</v>
      </c>
      <c r="AX772" s="52"/>
      <c r="AY772" s="52"/>
      <c r="AZ772" s="52">
        <v>0</v>
      </c>
      <c r="BA772" s="52">
        <v>0</v>
      </c>
      <c r="BB772" s="54" t="s">
        <v>74</v>
      </c>
      <c r="BC772" s="53" t="s">
        <v>74</v>
      </c>
      <c r="BD772" s="55" t="s">
        <v>74</v>
      </c>
      <c r="BE772" s="55" t="s">
        <v>74</v>
      </c>
      <c r="BF772" s="55" t="s">
        <v>74</v>
      </c>
      <c r="BG772" s="55" t="s">
        <v>74</v>
      </c>
      <c r="BH772" s="52">
        <v>0</v>
      </c>
      <c r="BI772" s="52">
        <v>2322290.54</v>
      </c>
      <c r="BJ772" s="52">
        <v>2322290.54</v>
      </c>
      <c r="BK772" s="56">
        <v>43556</v>
      </c>
      <c r="BL772" s="57">
        <v>2322290.54</v>
      </c>
      <c r="BM772" s="47">
        <v>0</v>
      </c>
      <c r="BN772" s="9"/>
      <c r="BO772" s="9"/>
      <c r="BP772" s="9"/>
      <c r="BQ772" s="9"/>
      <c r="BR772" s="9"/>
      <c r="BS772" s="9"/>
      <c r="BT772" s="9"/>
      <c r="BU772" s="9"/>
      <c r="BV772" s="9"/>
      <c r="BW772" s="9"/>
    </row>
    <row r="773" spans="1:75" ht="26.25" hidden="1" outlineLevel="2" x14ac:dyDescent="0.25">
      <c r="A773" s="43" t="s">
        <v>840</v>
      </c>
      <c r="B773" s="110" t="s">
        <v>841</v>
      </c>
      <c r="C773" s="45">
        <v>2019</v>
      </c>
      <c r="D773" s="110" t="s">
        <v>81</v>
      </c>
      <c r="E773" s="47">
        <v>0</v>
      </c>
      <c r="F773" s="47">
        <v>0</v>
      </c>
      <c r="G773" s="47">
        <v>2381134.64</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2381134.64</v>
      </c>
      <c r="Z773" s="49">
        <v>0</v>
      </c>
      <c r="AA773" s="50">
        <v>0</v>
      </c>
      <c r="AB773" s="50">
        <v>0</v>
      </c>
      <c r="AC773" s="50">
        <v>0</v>
      </c>
      <c r="AD773" s="50">
        <v>28643.95</v>
      </c>
      <c r="AE773" s="50">
        <v>27931.1</v>
      </c>
      <c r="AF773" s="50">
        <v>0</v>
      </c>
      <c r="AG773" s="49">
        <v>56575.05</v>
      </c>
      <c r="AH773" s="51" t="s">
        <v>74</v>
      </c>
      <c r="AI773" s="51" t="s">
        <v>74</v>
      </c>
      <c r="AJ773" s="51" t="s">
        <v>74</v>
      </c>
      <c r="AK773" s="51" t="s">
        <v>136</v>
      </c>
      <c r="AL773" s="51" t="s">
        <v>853</v>
      </c>
      <c r="AM773" s="51" t="s">
        <v>74</v>
      </c>
      <c r="AN773" s="52">
        <v>0</v>
      </c>
      <c r="AO773" s="52">
        <v>0</v>
      </c>
      <c r="AP773" s="52">
        <v>0</v>
      </c>
      <c r="AQ773" s="52">
        <v>0</v>
      </c>
      <c r="AR773" s="52">
        <v>0</v>
      </c>
      <c r="AS773" s="52">
        <v>0</v>
      </c>
      <c r="AT773" s="53" t="s">
        <v>74</v>
      </c>
      <c r="AU773" s="52">
        <v>0</v>
      </c>
      <c r="AV773" s="52"/>
      <c r="AW773" s="52">
        <v>0</v>
      </c>
      <c r="AX773" s="52"/>
      <c r="AY773" s="52"/>
      <c r="AZ773" s="52">
        <v>0</v>
      </c>
      <c r="BA773" s="52">
        <v>0</v>
      </c>
      <c r="BB773" s="54" t="s">
        <v>74</v>
      </c>
      <c r="BC773" s="53" t="s">
        <v>74</v>
      </c>
      <c r="BD773" s="55" t="s">
        <v>74</v>
      </c>
      <c r="BE773" s="55" t="s">
        <v>74</v>
      </c>
      <c r="BF773" s="55" t="s">
        <v>74</v>
      </c>
      <c r="BG773" s="55" t="s">
        <v>74</v>
      </c>
      <c r="BH773" s="52">
        <v>0</v>
      </c>
      <c r="BI773" s="52">
        <v>2324559.59</v>
      </c>
      <c r="BJ773" s="52">
        <v>2324559.59</v>
      </c>
      <c r="BK773" s="56">
        <v>43586</v>
      </c>
      <c r="BL773" s="57">
        <v>2324559.59</v>
      </c>
      <c r="BM773" s="47">
        <v>0</v>
      </c>
      <c r="BN773" s="9"/>
      <c r="BO773" s="9"/>
      <c r="BP773" s="9"/>
      <c r="BQ773" s="9"/>
      <c r="BR773" s="9"/>
      <c r="BS773" s="9"/>
      <c r="BT773" s="9"/>
      <c r="BU773" s="9"/>
      <c r="BV773" s="9"/>
      <c r="BW773" s="9"/>
    </row>
    <row r="774" spans="1:75" ht="26.25" hidden="1" outlineLevel="2" x14ac:dyDescent="0.25">
      <c r="A774" s="43" t="s">
        <v>840</v>
      </c>
      <c r="B774" s="110" t="s">
        <v>841</v>
      </c>
      <c r="C774" s="45">
        <v>2019</v>
      </c>
      <c r="D774" s="110" t="s">
        <v>83</v>
      </c>
      <c r="E774" s="47">
        <v>0</v>
      </c>
      <c r="F774" s="47">
        <v>0</v>
      </c>
      <c r="G774" s="47">
        <v>2381134.64</v>
      </c>
      <c r="H774" s="47">
        <v>0</v>
      </c>
      <c r="I774" s="47">
        <v>0</v>
      </c>
      <c r="J774" s="47">
        <v>0</v>
      </c>
      <c r="K774" s="47">
        <v>0</v>
      </c>
      <c r="L774" s="47">
        <v>0</v>
      </c>
      <c r="M774" s="47">
        <v>0</v>
      </c>
      <c r="N774" s="47">
        <v>0</v>
      </c>
      <c r="O774" s="47">
        <v>0</v>
      </c>
      <c r="P774" s="47">
        <v>0</v>
      </c>
      <c r="Q774" s="47">
        <v>0</v>
      </c>
      <c r="R774" s="47">
        <v>0</v>
      </c>
      <c r="S774" s="47">
        <v>0</v>
      </c>
      <c r="T774" s="47">
        <v>0</v>
      </c>
      <c r="U774" s="47">
        <v>0</v>
      </c>
      <c r="V774" s="47">
        <v>0</v>
      </c>
      <c r="W774" s="47">
        <v>0</v>
      </c>
      <c r="X774" s="47">
        <v>0</v>
      </c>
      <c r="Y774" s="48">
        <v>2381134.64</v>
      </c>
      <c r="Z774" s="49">
        <v>0</v>
      </c>
      <c r="AA774" s="50">
        <v>0</v>
      </c>
      <c r="AB774" s="50">
        <v>0</v>
      </c>
      <c r="AC774" s="50">
        <v>0</v>
      </c>
      <c r="AD774" s="50">
        <v>30148.080000000002</v>
      </c>
      <c r="AE774" s="50">
        <v>27931.1</v>
      </c>
      <c r="AF774" s="50">
        <v>0</v>
      </c>
      <c r="AG774" s="49">
        <v>58079.18</v>
      </c>
      <c r="AH774" s="51" t="s">
        <v>74</v>
      </c>
      <c r="AI774" s="51" t="s">
        <v>74</v>
      </c>
      <c r="AJ774" s="51" t="s">
        <v>74</v>
      </c>
      <c r="AK774" s="51" t="s">
        <v>138</v>
      </c>
      <c r="AL774" s="51" t="s">
        <v>853</v>
      </c>
      <c r="AM774" s="51" t="s">
        <v>74</v>
      </c>
      <c r="AN774" s="52">
        <v>0</v>
      </c>
      <c r="AO774" s="52">
        <v>0</v>
      </c>
      <c r="AP774" s="52">
        <v>0</v>
      </c>
      <c r="AQ774" s="52">
        <v>0</v>
      </c>
      <c r="AR774" s="52">
        <v>0</v>
      </c>
      <c r="AS774" s="52">
        <v>0</v>
      </c>
      <c r="AT774" s="53" t="s">
        <v>74</v>
      </c>
      <c r="AU774" s="52">
        <v>0</v>
      </c>
      <c r="AV774" s="52"/>
      <c r="AW774" s="52">
        <v>0</v>
      </c>
      <c r="AX774" s="52"/>
      <c r="AY774" s="52"/>
      <c r="AZ774" s="52">
        <v>0</v>
      </c>
      <c r="BA774" s="52">
        <v>0</v>
      </c>
      <c r="BB774" s="54" t="s">
        <v>74</v>
      </c>
      <c r="BC774" s="53" t="s">
        <v>74</v>
      </c>
      <c r="BD774" s="55" t="s">
        <v>74</v>
      </c>
      <c r="BE774" s="55" t="s">
        <v>74</v>
      </c>
      <c r="BF774" s="55" t="s">
        <v>74</v>
      </c>
      <c r="BG774" s="55" t="s">
        <v>74</v>
      </c>
      <c r="BH774" s="52">
        <v>0</v>
      </c>
      <c r="BI774" s="52">
        <v>2323055.46</v>
      </c>
      <c r="BJ774" s="52">
        <v>2323055.46</v>
      </c>
      <c r="BK774" s="56">
        <v>43617</v>
      </c>
      <c r="BL774" s="57">
        <v>2323055.46</v>
      </c>
      <c r="BM774" s="47">
        <v>0</v>
      </c>
      <c r="BN774" s="9"/>
      <c r="BO774" s="9"/>
      <c r="BP774" s="9"/>
      <c r="BQ774" s="9"/>
      <c r="BR774" s="9"/>
      <c r="BS774" s="9"/>
      <c r="BT774" s="9"/>
      <c r="BU774" s="9"/>
      <c r="BV774" s="9"/>
      <c r="BW774" s="9"/>
    </row>
    <row r="775" spans="1:75" ht="26.25" hidden="1" outlineLevel="2" x14ac:dyDescent="0.25">
      <c r="A775" s="43" t="s">
        <v>840</v>
      </c>
      <c r="B775" s="110" t="s">
        <v>841</v>
      </c>
      <c r="C775" s="45">
        <v>2019</v>
      </c>
      <c r="D775" s="110" t="s">
        <v>84</v>
      </c>
      <c r="E775" s="47">
        <v>0</v>
      </c>
      <c r="F775" s="47">
        <v>0</v>
      </c>
      <c r="G775" s="47">
        <v>2381134.64</v>
      </c>
      <c r="H775" s="47">
        <v>71434.039999999994</v>
      </c>
      <c r="I775" s="47">
        <v>0</v>
      </c>
      <c r="J775" s="47">
        <v>0</v>
      </c>
      <c r="K775" s="47">
        <v>0</v>
      </c>
      <c r="L775" s="47">
        <v>0</v>
      </c>
      <c r="M775" s="47">
        <v>0</v>
      </c>
      <c r="N775" s="47">
        <v>0</v>
      </c>
      <c r="O775" s="47">
        <v>0</v>
      </c>
      <c r="P775" s="47">
        <v>0</v>
      </c>
      <c r="Q775" s="47">
        <v>0</v>
      </c>
      <c r="R775" s="47">
        <v>0</v>
      </c>
      <c r="S775" s="47">
        <v>0</v>
      </c>
      <c r="T775" s="47">
        <v>0</v>
      </c>
      <c r="U775" s="47">
        <v>0</v>
      </c>
      <c r="V775" s="47">
        <v>0</v>
      </c>
      <c r="W775" s="47">
        <v>0</v>
      </c>
      <c r="X775" s="47">
        <v>0</v>
      </c>
      <c r="Y775" s="48">
        <v>2452568.6800000002</v>
      </c>
      <c r="Z775" s="49">
        <v>0</v>
      </c>
      <c r="AA775" s="50">
        <v>0</v>
      </c>
      <c r="AB775" s="50">
        <v>0</v>
      </c>
      <c r="AC775" s="50">
        <v>0</v>
      </c>
      <c r="AD775" s="50">
        <v>28777.56</v>
      </c>
      <c r="AE775" s="50">
        <v>27931.1</v>
      </c>
      <c r="AF775" s="50">
        <v>0</v>
      </c>
      <c r="AG775" s="49">
        <v>56708.66</v>
      </c>
      <c r="AH775" s="51" t="s">
        <v>74</v>
      </c>
      <c r="AI775" s="51" t="s">
        <v>74</v>
      </c>
      <c r="AJ775" s="51" t="s">
        <v>74</v>
      </c>
      <c r="AK775" s="51" t="s">
        <v>140</v>
      </c>
      <c r="AL775" s="51" t="s">
        <v>853</v>
      </c>
      <c r="AM775" s="51" t="s">
        <v>74</v>
      </c>
      <c r="AN775" s="52">
        <v>0</v>
      </c>
      <c r="AO775" s="52">
        <v>0</v>
      </c>
      <c r="AP775" s="52">
        <v>0</v>
      </c>
      <c r="AQ775" s="52">
        <v>0</v>
      </c>
      <c r="AR775" s="52">
        <v>0</v>
      </c>
      <c r="AS775" s="52">
        <v>0</v>
      </c>
      <c r="AT775" s="53" t="s">
        <v>74</v>
      </c>
      <c r="AU775" s="52">
        <v>0</v>
      </c>
      <c r="AV775" s="52"/>
      <c r="AW775" s="52">
        <v>0</v>
      </c>
      <c r="AX775" s="52"/>
      <c r="AY775" s="52"/>
      <c r="AZ775" s="52">
        <v>0</v>
      </c>
      <c r="BA775" s="52">
        <v>0</v>
      </c>
      <c r="BB775" s="54" t="s">
        <v>74</v>
      </c>
      <c r="BC775" s="53" t="s">
        <v>74</v>
      </c>
      <c r="BD775" s="55" t="s">
        <v>74</v>
      </c>
      <c r="BE775" s="55" t="s">
        <v>74</v>
      </c>
      <c r="BF775" s="55" t="s">
        <v>74</v>
      </c>
      <c r="BG775" s="55" t="s">
        <v>74</v>
      </c>
      <c r="BH775" s="52">
        <v>0</v>
      </c>
      <c r="BI775" s="52">
        <v>2395860.02</v>
      </c>
      <c r="BJ775" s="52">
        <v>2395860.02</v>
      </c>
      <c r="BK775" s="56">
        <v>43647</v>
      </c>
      <c r="BL775" s="57">
        <v>2395860.02</v>
      </c>
      <c r="BM775" s="47">
        <v>0</v>
      </c>
      <c r="BN775" s="9"/>
      <c r="BO775" s="9"/>
      <c r="BP775" s="9"/>
      <c r="BQ775" s="9"/>
      <c r="BR775" s="9"/>
      <c r="BS775" s="9"/>
      <c r="BT775" s="9"/>
      <c r="BU775" s="9"/>
      <c r="BV775" s="9"/>
      <c r="BW775" s="9"/>
    </row>
    <row r="776" spans="1:75" ht="64.5" hidden="1" outlineLevel="2" x14ac:dyDescent="0.25">
      <c r="A776" s="43" t="s">
        <v>840</v>
      </c>
      <c r="B776" s="110" t="s">
        <v>841</v>
      </c>
      <c r="C776" s="45">
        <v>2019</v>
      </c>
      <c r="D776" s="110" t="s">
        <v>86</v>
      </c>
      <c r="E776" s="47">
        <v>0</v>
      </c>
      <c r="F776" s="47">
        <v>0</v>
      </c>
      <c r="G776" s="47">
        <v>0</v>
      </c>
      <c r="H776" s="47">
        <v>2143021.1800000002</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2143021.1800000002</v>
      </c>
      <c r="Z776" s="49">
        <v>0</v>
      </c>
      <c r="AA776" s="50">
        <v>0</v>
      </c>
      <c r="AB776" s="50">
        <v>0</v>
      </c>
      <c r="AC776" s="50">
        <v>0</v>
      </c>
      <c r="AD776" s="50">
        <v>51709.51</v>
      </c>
      <c r="AE776" s="50">
        <v>27931.1</v>
      </c>
      <c r="AF776" s="50">
        <v>0</v>
      </c>
      <c r="AG776" s="49">
        <v>79640.61</v>
      </c>
      <c r="AH776" s="51" t="s">
        <v>74</v>
      </c>
      <c r="AI776" s="51" t="s">
        <v>74</v>
      </c>
      <c r="AJ776" s="51" t="s">
        <v>74</v>
      </c>
      <c r="AK776" s="51" t="s">
        <v>855</v>
      </c>
      <c r="AL776" s="51" t="s">
        <v>853</v>
      </c>
      <c r="AM776" s="51" t="s">
        <v>74</v>
      </c>
      <c r="AN776" s="52">
        <v>0</v>
      </c>
      <c r="AO776" s="52">
        <v>0</v>
      </c>
      <c r="AP776" s="52">
        <v>0</v>
      </c>
      <c r="AQ776" s="52">
        <v>0</v>
      </c>
      <c r="AR776" s="52">
        <v>0</v>
      </c>
      <c r="AS776" s="52">
        <v>0</v>
      </c>
      <c r="AT776" s="53" t="s">
        <v>74</v>
      </c>
      <c r="AU776" s="52">
        <v>0</v>
      </c>
      <c r="AV776" s="52"/>
      <c r="AW776" s="52">
        <v>0</v>
      </c>
      <c r="AX776" s="52"/>
      <c r="AY776" s="52"/>
      <c r="AZ776" s="52">
        <v>0</v>
      </c>
      <c r="BA776" s="52">
        <v>0</v>
      </c>
      <c r="BB776" s="54" t="s">
        <v>74</v>
      </c>
      <c r="BC776" s="53" t="s">
        <v>74</v>
      </c>
      <c r="BD776" s="55" t="s">
        <v>74</v>
      </c>
      <c r="BE776" s="55" t="s">
        <v>74</v>
      </c>
      <c r="BF776" s="55" t="s">
        <v>74</v>
      </c>
      <c r="BG776" s="55" t="s">
        <v>74</v>
      </c>
      <c r="BH776" s="52">
        <v>0</v>
      </c>
      <c r="BI776" s="52">
        <v>2063380.57</v>
      </c>
      <c r="BJ776" s="52">
        <v>2063380.57</v>
      </c>
      <c r="BK776" s="56">
        <v>43678</v>
      </c>
      <c r="BL776" s="57">
        <v>2063380.57</v>
      </c>
      <c r="BM776" s="47">
        <v>0</v>
      </c>
      <c r="BN776" s="9"/>
      <c r="BO776" s="9"/>
      <c r="BP776" s="9"/>
      <c r="BQ776" s="9"/>
      <c r="BR776" s="9"/>
      <c r="BS776" s="9"/>
      <c r="BT776" s="9"/>
      <c r="BU776" s="9"/>
      <c r="BV776" s="9"/>
      <c r="BW776" s="9"/>
    </row>
    <row r="777" spans="1:75" ht="26.25" hidden="1" outlineLevel="2" x14ac:dyDescent="0.25">
      <c r="A777" s="43" t="s">
        <v>840</v>
      </c>
      <c r="B777" s="110" t="s">
        <v>841</v>
      </c>
      <c r="C777" s="45">
        <v>2019</v>
      </c>
      <c r="D777" s="110" t="s">
        <v>88</v>
      </c>
      <c r="E777" s="47">
        <v>0</v>
      </c>
      <c r="F777" s="47">
        <v>0</v>
      </c>
      <c r="G777" s="47">
        <v>0</v>
      </c>
      <c r="H777" s="47">
        <v>2206518.09</v>
      </c>
      <c r="I777" s="47">
        <v>0</v>
      </c>
      <c r="J777" s="47">
        <v>0</v>
      </c>
      <c r="K777" s="47">
        <v>0</v>
      </c>
      <c r="L777" s="47">
        <v>0</v>
      </c>
      <c r="M777" s="47">
        <v>0</v>
      </c>
      <c r="N777" s="47">
        <v>0</v>
      </c>
      <c r="O777" s="47">
        <v>0</v>
      </c>
      <c r="P777" s="47">
        <v>0</v>
      </c>
      <c r="Q777" s="47">
        <v>0</v>
      </c>
      <c r="R777" s="47">
        <v>0</v>
      </c>
      <c r="S777" s="47">
        <v>0</v>
      </c>
      <c r="T777" s="47">
        <v>0</v>
      </c>
      <c r="U777" s="47">
        <v>0</v>
      </c>
      <c r="V777" s="47">
        <v>0</v>
      </c>
      <c r="W777" s="47">
        <v>0</v>
      </c>
      <c r="X777" s="47">
        <v>0</v>
      </c>
      <c r="Y777" s="48">
        <v>2206518.09</v>
      </c>
      <c r="Z777" s="49">
        <v>0</v>
      </c>
      <c r="AA777" s="50">
        <v>0</v>
      </c>
      <c r="AB777" s="50">
        <v>0</v>
      </c>
      <c r="AC777" s="50">
        <v>0</v>
      </c>
      <c r="AD777" s="50">
        <v>26493.96</v>
      </c>
      <c r="AE777" s="50">
        <v>0</v>
      </c>
      <c r="AF777" s="50">
        <v>0</v>
      </c>
      <c r="AG777" s="49">
        <v>26493.96</v>
      </c>
      <c r="AH777" s="51" t="s">
        <v>74</v>
      </c>
      <c r="AI777" s="51" t="s">
        <v>74</v>
      </c>
      <c r="AJ777" s="51" t="s">
        <v>74</v>
      </c>
      <c r="AK777" s="51" t="s">
        <v>856</v>
      </c>
      <c r="AL777" s="51" t="s">
        <v>74</v>
      </c>
      <c r="AM777" s="51" t="s">
        <v>74</v>
      </c>
      <c r="AN777" s="52">
        <v>0</v>
      </c>
      <c r="AO777" s="52">
        <v>0</v>
      </c>
      <c r="AP777" s="52">
        <v>0</v>
      </c>
      <c r="AQ777" s="52">
        <v>0</v>
      </c>
      <c r="AR777" s="52">
        <v>0</v>
      </c>
      <c r="AS777" s="52">
        <v>0</v>
      </c>
      <c r="AT777" s="53" t="s">
        <v>74</v>
      </c>
      <c r="AU777" s="52">
        <v>0</v>
      </c>
      <c r="AV777" s="52"/>
      <c r="AW777" s="52">
        <v>0</v>
      </c>
      <c r="AX777" s="52"/>
      <c r="AY777" s="52"/>
      <c r="AZ777" s="52">
        <v>0</v>
      </c>
      <c r="BA777" s="52">
        <v>0</v>
      </c>
      <c r="BB777" s="54" t="s">
        <v>74</v>
      </c>
      <c r="BC777" s="53" t="s">
        <v>74</v>
      </c>
      <c r="BD777" s="55" t="s">
        <v>74</v>
      </c>
      <c r="BE777" s="55" t="s">
        <v>74</v>
      </c>
      <c r="BF777" s="55" t="s">
        <v>74</v>
      </c>
      <c r="BG777" s="55" t="s">
        <v>74</v>
      </c>
      <c r="BH777" s="52">
        <v>0</v>
      </c>
      <c r="BI777" s="52">
        <v>2180024.13</v>
      </c>
      <c r="BJ777" s="52">
        <v>2180024.13</v>
      </c>
      <c r="BK777" s="56">
        <v>43709</v>
      </c>
      <c r="BL777" s="57">
        <v>2180024.13</v>
      </c>
      <c r="BM777" s="47">
        <v>0</v>
      </c>
      <c r="BN777" s="9"/>
      <c r="BO777" s="9"/>
      <c r="BP777" s="9"/>
      <c r="BQ777" s="9"/>
      <c r="BR777" s="9"/>
      <c r="BS777" s="9"/>
      <c r="BT777" s="9"/>
      <c r="BU777" s="9"/>
      <c r="BV777" s="9"/>
      <c r="BW777" s="9"/>
    </row>
    <row r="778" spans="1:75" ht="57" hidden="1" customHeight="1" outlineLevel="2" x14ac:dyDescent="0.25">
      <c r="A778" s="43" t="s">
        <v>840</v>
      </c>
      <c r="B778" s="110" t="s">
        <v>841</v>
      </c>
      <c r="C778" s="45">
        <v>2019</v>
      </c>
      <c r="D778" s="110" t="s">
        <v>89</v>
      </c>
      <c r="E778" s="47">
        <v>0</v>
      </c>
      <c r="F778" s="47">
        <v>0</v>
      </c>
      <c r="G778" s="47">
        <v>0</v>
      </c>
      <c r="H778" s="47">
        <v>2023964.44</v>
      </c>
      <c r="I778" s="47">
        <v>0</v>
      </c>
      <c r="J778" s="47">
        <v>0</v>
      </c>
      <c r="K778" s="47">
        <v>0</v>
      </c>
      <c r="L778" s="47">
        <v>0</v>
      </c>
      <c r="M778" s="47">
        <v>0</v>
      </c>
      <c r="N778" s="47">
        <v>0</v>
      </c>
      <c r="O778" s="47">
        <v>0</v>
      </c>
      <c r="P778" s="47">
        <v>0</v>
      </c>
      <c r="Q778" s="47">
        <v>0</v>
      </c>
      <c r="R778" s="47">
        <v>0</v>
      </c>
      <c r="S778" s="47">
        <v>0</v>
      </c>
      <c r="T778" s="47">
        <v>0</v>
      </c>
      <c r="U778" s="47">
        <v>0</v>
      </c>
      <c r="V778" s="47">
        <v>0</v>
      </c>
      <c r="W778" s="47">
        <v>0</v>
      </c>
      <c r="X778" s="47">
        <v>0</v>
      </c>
      <c r="Y778" s="48">
        <v>2023964.44</v>
      </c>
      <c r="Z778" s="49">
        <v>0</v>
      </c>
      <c r="AA778" s="50">
        <v>0</v>
      </c>
      <c r="AB778" s="50">
        <v>0</v>
      </c>
      <c r="AC778" s="50">
        <v>0</v>
      </c>
      <c r="AD778" s="50">
        <v>0</v>
      </c>
      <c r="AE778" s="50">
        <v>0</v>
      </c>
      <c r="AF778" s="50">
        <v>0</v>
      </c>
      <c r="AG778" s="49">
        <v>0</v>
      </c>
      <c r="AH778" s="51" t="s">
        <v>74</v>
      </c>
      <c r="AI778" s="51" t="s">
        <v>74</v>
      </c>
      <c r="AJ778" s="51" t="s">
        <v>74</v>
      </c>
      <c r="AK778" s="51" t="s">
        <v>74</v>
      </c>
      <c r="AL778" s="51" t="s">
        <v>74</v>
      </c>
      <c r="AM778" s="51" t="s">
        <v>74</v>
      </c>
      <c r="AN778" s="52"/>
      <c r="AO778" s="52">
        <v>0</v>
      </c>
      <c r="AP778" s="52"/>
      <c r="AQ778" s="52"/>
      <c r="AR778" s="52"/>
      <c r="AS778" s="52">
        <v>0</v>
      </c>
      <c r="AT778" s="53" t="s">
        <v>74</v>
      </c>
      <c r="AU778" s="52">
        <v>94840.8</v>
      </c>
      <c r="AV778" s="52"/>
      <c r="AW778" s="52">
        <v>0</v>
      </c>
      <c r="AX778" s="52"/>
      <c r="AY778" s="52"/>
      <c r="AZ778" s="52">
        <v>0</v>
      </c>
      <c r="BA778" s="52">
        <v>94840.8</v>
      </c>
      <c r="BB778" s="55" t="s">
        <v>857</v>
      </c>
      <c r="BC778" s="51" t="s">
        <v>74</v>
      </c>
      <c r="BD778" s="54" t="s">
        <v>74</v>
      </c>
      <c r="BE778" s="54" t="s">
        <v>74</v>
      </c>
      <c r="BF778" s="54" t="s">
        <v>74</v>
      </c>
      <c r="BG778" s="54" t="s">
        <v>74</v>
      </c>
      <c r="BH778" s="52">
        <v>94840.8</v>
      </c>
      <c r="BI778" s="52">
        <v>2118805.2400000002</v>
      </c>
      <c r="BJ778" s="52">
        <v>2023964.44</v>
      </c>
      <c r="BK778" s="56">
        <v>43739</v>
      </c>
      <c r="BL778" s="57">
        <v>2118805.2400000002</v>
      </c>
      <c r="BM778" s="47">
        <v>0</v>
      </c>
      <c r="BN778" s="9"/>
      <c r="BO778" s="9"/>
      <c r="BP778" s="9"/>
      <c r="BQ778" s="9"/>
      <c r="BR778" s="9"/>
      <c r="BS778" s="9"/>
      <c r="BT778" s="9"/>
      <c r="BU778" s="9"/>
      <c r="BV778" s="9"/>
      <c r="BW778" s="9"/>
    </row>
    <row r="779" spans="1:75" ht="26.25" hidden="1" outlineLevel="2" x14ac:dyDescent="0.25">
      <c r="A779" s="43" t="s">
        <v>840</v>
      </c>
      <c r="B779" s="110" t="s">
        <v>841</v>
      </c>
      <c r="C779" s="45">
        <v>2019</v>
      </c>
      <c r="D779" s="110" t="s">
        <v>90</v>
      </c>
      <c r="E779" s="47">
        <v>0</v>
      </c>
      <c r="F779" s="47">
        <v>0</v>
      </c>
      <c r="G779" s="47">
        <v>0</v>
      </c>
      <c r="H779" s="47">
        <v>2023964.44</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2023964.44</v>
      </c>
      <c r="Z779" s="49">
        <v>0</v>
      </c>
      <c r="AA779" s="50">
        <v>0</v>
      </c>
      <c r="AB779" s="50">
        <v>0</v>
      </c>
      <c r="AC779" s="50">
        <v>0</v>
      </c>
      <c r="AD779" s="50">
        <v>30658.16</v>
      </c>
      <c r="AE779" s="50">
        <v>0</v>
      </c>
      <c r="AF779" s="50">
        <v>0</v>
      </c>
      <c r="AG779" s="49">
        <v>30658.16</v>
      </c>
      <c r="AH779" s="51" t="s">
        <v>74</v>
      </c>
      <c r="AI779" s="51" t="s">
        <v>74</v>
      </c>
      <c r="AJ779" s="51" t="s">
        <v>74</v>
      </c>
      <c r="AK779" s="51" t="s">
        <v>858</v>
      </c>
      <c r="AL779" s="51" t="s">
        <v>74</v>
      </c>
      <c r="AM779" s="51" t="s">
        <v>74</v>
      </c>
      <c r="AN779" s="52">
        <v>0</v>
      </c>
      <c r="AO779" s="52">
        <v>0</v>
      </c>
      <c r="AP779" s="52">
        <v>0</v>
      </c>
      <c r="AQ779" s="52">
        <v>0</v>
      </c>
      <c r="AR779" s="52">
        <v>0</v>
      </c>
      <c r="AS779" s="52">
        <v>0</v>
      </c>
      <c r="AT779" s="53" t="s">
        <v>74</v>
      </c>
      <c r="AU779" s="52">
        <v>0</v>
      </c>
      <c r="AV779" s="52"/>
      <c r="AW779" s="52">
        <v>0</v>
      </c>
      <c r="AX779" s="52"/>
      <c r="AY779" s="52"/>
      <c r="AZ779" s="52">
        <v>0</v>
      </c>
      <c r="BA779" s="52">
        <v>0</v>
      </c>
      <c r="BB779" s="54" t="s">
        <v>74</v>
      </c>
      <c r="BC779" s="53" t="s">
        <v>74</v>
      </c>
      <c r="BD779" s="55" t="s">
        <v>74</v>
      </c>
      <c r="BE779" s="55" t="s">
        <v>74</v>
      </c>
      <c r="BF779" s="55" t="s">
        <v>74</v>
      </c>
      <c r="BG779" s="55" t="s">
        <v>74</v>
      </c>
      <c r="BH779" s="52">
        <v>0</v>
      </c>
      <c r="BI779" s="52">
        <v>1993306.28</v>
      </c>
      <c r="BJ779" s="52">
        <v>1993306.28</v>
      </c>
      <c r="BK779" s="56">
        <v>43770</v>
      </c>
      <c r="BL779" s="57">
        <v>1993306.28</v>
      </c>
      <c r="BM779" s="47">
        <v>0</v>
      </c>
      <c r="BN779" s="9"/>
      <c r="BO779" s="9"/>
      <c r="BP779" s="9"/>
      <c r="BQ779" s="9"/>
      <c r="BR779" s="9"/>
      <c r="BS779" s="9"/>
      <c r="BT779" s="9"/>
      <c r="BU779" s="9"/>
      <c r="BV779" s="9"/>
      <c r="BW779" s="9"/>
    </row>
    <row r="780" spans="1:75" ht="64.5" hidden="1" outlineLevel="2" x14ac:dyDescent="0.25">
      <c r="A780" s="43" t="s">
        <v>840</v>
      </c>
      <c r="B780" s="110" t="s">
        <v>841</v>
      </c>
      <c r="C780" s="45">
        <v>2019</v>
      </c>
      <c r="D780" s="110" t="s">
        <v>93</v>
      </c>
      <c r="E780" s="47">
        <v>0</v>
      </c>
      <c r="F780" s="47">
        <v>0</v>
      </c>
      <c r="G780" s="47">
        <v>0</v>
      </c>
      <c r="H780" s="47">
        <v>2023964.44</v>
      </c>
      <c r="I780" s="47">
        <v>0</v>
      </c>
      <c r="J780" s="47">
        <v>0</v>
      </c>
      <c r="K780" s="47">
        <v>0</v>
      </c>
      <c r="L780" s="47">
        <v>0</v>
      </c>
      <c r="M780" s="47">
        <v>0</v>
      </c>
      <c r="N780" s="47">
        <v>0</v>
      </c>
      <c r="O780" s="47">
        <v>0</v>
      </c>
      <c r="P780" s="47">
        <v>0</v>
      </c>
      <c r="Q780" s="47">
        <v>0</v>
      </c>
      <c r="R780" s="47">
        <v>0</v>
      </c>
      <c r="S780" s="47">
        <v>0</v>
      </c>
      <c r="T780" s="47">
        <v>0</v>
      </c>
      <c r="U780" s="47">
        <v>0</v>
      </c>
      <c r="V780" s="47">
        <v>0</v>
      </c>
      <c r="W780" s="47">
        <v>0</v>
      </c>
      <c r="X780" s="47">
        <v>0</v>
      </c>
      <c r="Y780" s="48">
        <v>2023964.44</v>
      </c>
      <c r="Z780" s="49">
        <v>0</v>
      </c>
      <c r="AA780" s="50">
        <v>0</v>
      </c>
      <c r="AB780" s="50">
        <v>0</v>
      </c>
      <c r="AC780" s="50">
        <v>0</v>
      </c>
      <c r="AD780" s="50">
        <v>57872.26</v>
      </c>
      <c r="AE780" s="50">
        <v>0</v>
      </c>
      <c r="AF780" s="50">
        <v>0</v>
      </c>
      <c r="AG780" s="49">
        <v>57872.26</v>
      </c>
      <c r="AH780" s="51" t="s">
        <v>74</v>
      </c>
      <c r="AI780" s="51" t="s">
        <v>74</v>
      </c>
      <c r="AJ780" s="51" t="s">
        <v>74</v>
      </c>
      <c r="AK780" s="51" t="s">
        <v>859</v>
      </c>
      <c r="AL780" s="51" t="s">
        <v>74</v>
      </c>
      <c r="AM780" s="51" t="s">
        <v>74</v>
      </c>
      <c r="AN780" s="52">
        <v>0</v>
      </c>
      <c r="AO780" s="52">
        <v>0</v>
      </c>
      <c r="AP780" s="52">
        <v>0</v>
      </c>
      <c r="AQ780" s="52">
        <v>0</v>
      </c>
      <c r="AR780" s="52">
        <v>0</v>
      </c>
      <c r="AS780" s="52">
        <v>0</v>
      </c>
      <c r="AT780" s="53" t="s">
        <v>74</v>
      </c>
      <c r="AU780" s="52">
        <v>0</v>
      </c>
      <c r="AV780" s="52"/>
      <c r="AW780" s="52">
        <v>0</v>
      </c>
      <c r="AX780" s="52"/>
      <c r="AY780" s="52"/>
      <c r="AZ780" s="52">
        <v>0</v>
      </c>
      <c r="BA780" s="52">
        <v>0</v>
      </c>
      <c r="BB780" s="54" t="s">
        <v>74</v>
      </c>
      <c r="BC780" s="53" t="s">
        <v>74</v>
      </c>
      <c r="BD780" s="55" t="s">
        <v>74</v>
      </c>
      <c r="BE780" s="55" t="s">
        <v>74</v>
      </c>
      <c r="BF780" s="55" t="s">
        <v>74</v>
      </c>
      <c r="BG780" s="55" t="s">
        <v>74</v>
      </c>
      <c r="BH780" s="52">
        <v>0</v>
      </c>
      <c r="BI780" s="52">
        <v>1966092.18</v>
      </c>
      <c r="BJ780" s="52">
        <v>1966092.18</v>
      </c>
      <c r="BK780" s="56">
        <v>43800</v>
      </c>
      <c r="BL780" s="57">
        <v>1966092.18</v>
      </c>
      <c r="BM780" s="47">
        <v>0</v>
      </c>
      <c r="BN780" s="9"/>
      <c r="BO780" s="9"/>
      <c r="BP780" s="9"/>
      <c r="BQ780" s="9"/>
      <c r="BR780" s="9"/>
      <c r="BS780" s="9"/>
      <c r="BT780" s="9"/>
      <c r="BU780" s="9"/>
      <c r="BV780" s="9"/>
      <c r="BW780" s="9"/>
    </row>
    <row r="781" spans="1:75" ht="26.25" hidden="1" outlineLevel="2" x14ac:dyDescent="0.25">
      <c r="A781" s="43" t="s">
        <v>840</v>
      </c>
      <c r="B781" s="110" t="s">
        <v>841</v>
      </c>
      <c r="C781" s="45">
        <v>2020</v>
      </c>
      <c r="D781" s="110" t="s">
        <v>73</v>
      </c>
      <c r="E781" s="47">
        <v>0</v>
      </c>
      <c r="F781" s="47">
        <v>0</v>
      </c>
      <c r="G781" s="47">
        <v>0</v>
      </c>
      <c r="H781" s="47">
        <v>1889033.5</v>
      </c>
      <c r="I781" s="47">
        <v>0</v>
      </c>
      <c r="J781" s="47">
        <v>0</v>
      </c>
      <c r="K781" s="47">
        <v>269861.89</v>
      </c>
      <c r="L781" s="47">
        <v>0</v>
      </c>
      <c r="M781" s="47">
        <v>269861.89</v>
      </c>
      <c r="N781" s="47">
        <v>0</v>
      </c>
      <c r="O781" s="47">
        <v>0</v>
      </c>
      <c r="P781" s="47">
        <v>0</v>
      </c>
      <c r="Q781" s="47">
        <v>0</v>
      </c>
      <c r="R781" s="47">
        <v>0</v>
      </c>
      <c r="S781" s="47">
        <v>0</v>
      </c>
      <c r="T781" s="47">
        <v>0</v>
      </c>
      <c r="U781" s="47">
        <v>0</v>
      </c>
      <c r="V781" s="47">
        <v>0</v>
      </c>
      <c r="W781" s="47">
        <v>0</v>
      </c>
      <c r="X781" s="47">
        <v>0</v>
      </c>
      <c r="Y781" s="48">
        <v>2158895.39</v>
      </c>
      <c r="Z781" s="49">
        <v>0</v>
      </c>
      <c r="AA781" s="50">
        <v>0</v>
      </c>
      <c r="AB781" s="50">
        <v>0</v>
      </c>
      <c r="AC781" s="50">
        <v>0</v>
      </c>
      <c r="AD781" s="50">
        <v>24773.83</v>
      </c>
      <c r="AE781" s="50">
        <v>0</v>
      </c>
      <c r="AF781" s="50">
        <v>0</v>
      </c>
      <c r="AG781" s="49">
        <v>24773.83</v>
      </c>
      <c r="AH781" s="51" t="s">
        <v>74</v>
      </c>
      <c r="AI781" s="51" t="s">
        <v>74</v>
      </c>
      <c r="AJ781" s="51" t="s">
        <v>74</v>
      </c>
      <c r="AK781" s="51" t="s">
        <v>157</v>
      </c>
      <c r="AL781" s="51" t="s">
        <v>74</v>
      </c>
      <c r="AM781" s="51" t="s">
        <v>74</v>
      </c>
      <c r="AN781" s="52">
        <v>0</v>
      </c>
      <c r="AO781" s="52">
        <v>0</v>
      </c>
      <c r="AP781" s="52">
        <v>0</v>
      </c>
      <c r="AQ781" s="52">
        <v>0</v>
      </c>
      <c r="AR781" s="52">
        <v>0</v>
      </c>
      <c r="AS781" s="52">
        <v>0</v>
      </c>
      <c r="AT781" s="53" t="s">
        <v>74</v>
      </c>
      <c r="AU781" s="52">
        <v>0</v>
      </c>
      <c r="AV781" s="52"/>
      <c r="AW781" s="52">
        <v>0</v>
      </c>
      <c r="AX781" s="52"/>
      <c r="AY781" s="52"/>
      <c r="AZ781" s="52">
        <v>0</v>
      </c>
      <c r="BA781" s="52">
        <v>0</v>
      </c>
      <c r="BB781" s="54" t="s">
        <v>74</v>
      </c>
      <c r="BC781" s="53" t="s">
        <v>74</v>
      </c>
      <c r="BD781" s="55" t="s">
        <v>74</v>
      </c>
      <c r="BE781" s="55" t="s">
        <v>74</v>
      </c>
      <c r="BF781" s="55" t="s">
        <v>74</v>
      </c>
      <c r="BG781" s="55" t="s">
        <v>74</v>
      </c>
      <c r="BH781" s="52">
        <v>0</v>
      </c>
      <c r="BI781" s="52">
        <v>2134121.56</v>
      </c>
      <c r="BJ781" s="52">
        <v>2134121.56</v>
      </c>
      <c r="BK781" s="56">
        <v>43831</v>
      </c>
      <c r="BL781" s="57">
        <v>2134121.56</v>
      </c>
      <c r="BM781" s="47">
        <v>0</v>
      </c>
      <c r="BN781" s="9"/>
      <c r="BO781" s="9"/>
      <c r="BP781" s="9"/>
      <c r="BQ781" s="9"/>
      <c r="BR781" s="9"/>
      <c r="BS781" s="9"/>
      <c r="BT781" s="9"/>
      <c r="BU781" s="9"/>
      <c r="BV781" s="9"/>
      <c r="BW781" s="9"/>
    </row>
    <row r="782" spans="1:75" ht="26.25" hidden="1" outlineLevel="2" x14ac:dyDescent="0.25">
      <c r="A782" s="43" t="s">
        <v>840</v>
      </c>
      <c r="B782" s="110" t="s">
        <v>841</v>
      </c>
      <c r="C782" s="45">
        <v>2020</v>
      </c>
      <c r="D782" s="110" t="s">
        <v>75</v>
      </c>
      <c r="E782" s="47">
        <v>0</v>
      </c>
      <c r="F782" s="47">
        <v>0</v>
      </c>
      <c r="G782" s="47">
        <v>0</v>
      </c>
      <c r="H782" s="47">
        <v>0</v>
      </c>
      <c r="I782" s="47">
        <v>0</v>
      </c>
      <c r="J782" s="47">
        <v>0</v>
      </c>
      <c r="K782" s="47">
        <v>2023964.19</v>
      </c>
      <c r="L782" s="47">
        <v>0</v>
      </c>
      <c r="M782" s="47">
        <v>2023964.19</v>
      </c>
      <c r="N782" s="47">
        <v>0</v>
      </c>
      <c r="O782" s="47">
        <v>0</v>
      </c>
      <c r="P782" s="47">
        <v>0</v>
      </c>
      <c r="Q782" s="47">
        <v>0</v>
      </c>
      <c r="R782" s="47">
        <v>0</v>
      </c>
      <c r="S782" s="47">
        <v>0</v>
      </c>
      <c r="T782" s="47">
        <v>0</v>
      </c>
      <c r="U782" s="47">
        <v>0</v>
      </c>
      <c r="V782" s="47">
        <v>0</v>
      </c>
      <c r="W782" s="47">
        <v>0</v>
      </c>
      <c r="X782" s="47">
        <v>0</v>
      </c>
      <c r="Y782" s="48">
        <v>2023964.19</v>
      </c>
      <c r="Z782" s="49">
        <v>0</v>
      </c>
      <c r="AA782" s="50">
        <v>0</v>
      </c>
      <c r="AB782" s="50">
        <v>0</v>
      </c>
      <c r="AC782" s="50">
        <v>0</v>
      </c>
      <c r="AD782" s="62">
        <v>24371.58</v>
      </c>
      <c r="AE782" s="50">
        <v>0</v>
      </c>
      <c r="AF782" s="50">
        <v>0</v>
      </c>
      <c r="AG782" s="49">
        <v>24371.58</v>
      </c>
      <c r="AH782" s="51" t="s">
        <v>74</v>
      </c>
      <c r="AI782" s="51" t="s">
        <v>74</v>
      </c>
      <c r="AJ782" s="51" t="s">
        <v>74</v>
      </c>
      <c r="AK782" s="51" t="s">
        <v>219</v>
      </c>
      <c r="AL782" s="51" t="s">
        <v>74</v>
      </c>
      <c r="AM782" s="51" t="s">
        <v>74</v>
      </c>
      <c r="AN782" s="52">
        <v>0</v>
      </c>
      <c r="AO782" s="52">
        <v>0</v>
      </c>
      <c r="AP782" s="52">
        <v>0</v>
      </c>
      <c r="AQ782" s="52">
        <v>0</v>
      </c>
      <c r="AR782" s="52">
        <v>0</v>
      </c>
      <c r="AS782" s="52">
        <v>0</v>
      </c>
      <c r="AT782" s="53" t="s">
        <v>74</v>
      </c>
      <c r="AU782" s="52">
        <v>0</v>
      </c>
      <c r="AV782" s="52"/>
      <c r="AW782" s="52">
        <v>0</v>
      </c>
      <c r="AX782" s="52"/>
      <c r="AY782" s="52"/>
      <c r="AZ782" s="52">
        <v>0</v>
      </c>
      <c r="BA782" s="52">
        <v>0</v>
      </c>
      <c r="BB782" s="54" t="s">
        <v>74</v>
      </c>
      <c r="BC782" s="53" t="s">
        <v>74</v>
      </c>
      <c r="BD782" s="55" t="s">
        <v>74</v>
      </c>
      <c r="BE782" s="55" t="s">
        <v>74</v>
      </c>
      <c r="BF782" s="55" t="s">
        <v>74</v>
      </c>
      <c r="BG782" s="55" t="s">
        <v>74</v>
      </c>
      <c r="BH782" s="52">
        <v>0</v>
      </c>
      <c r="BI782" s="52">
        <v>1999592.61</v>
      </c>
      <c r="BJ782" s="52">
        <v>1999592.61</v>
      </c>
      <c r="BK782" s="56">
        <v>43862</v>
      </c>
      <c r="BL782" s="57">
        <v>1999592.61</v>
      </c>
      <c r="BM782" s="47">
        <v>0</v>
      </c>
      <c r="BN782" s="9"/>
      <c r="BO782" s="9"/>
      <c r="BP782" s="9"/>
      <c r="BQ782" s="9"/>
      <c r="BR782" s="9"/>
      <c r="BS782" s="9"/>
      <c r="BT782" s="9"/>
      <c r="BU782" s="9"/>
      <c r="BV782" s="9"/>
      <c r="BW782" s="9"/>
    </row>
    <row r="783" spans="1:75" ht="26.25" hidden="1" outlineLevel="2" x14ac:dyDescent="0.25">
      <c r="A783" s="43" t="s">
        <v>840</v>
      </c>
      <c r="B783" s="110" t="s">
        <v>841</v>
      </c>
      <c r="C783" s="45">
        <v>2020</v>
      </c>
      <c r="D783" s="110" t="s">
        <v>77</v>
      </c>
      <c r="E783" s="47">
        <v>0</v>
      </c>
      <c r="F783" s="47">
        <v>0</v>
      </c>
      <c r="G783" s="47">
        <v>0</v>
      </c>
      <c r="H783" s="47">
        <v>0</v>
      </c>
      <c r="I783" s="47">
        <v>0</v>
      </c>
      <c r="J783" s="47">
        <v>0</v>
      </c>
      <c r="K783" s="47">
        <v>2023964.19</v>
      </c>
      <c r="L783" s="47">
        <v>0</v>
      </c>
      <c r="M783" s="47">
        <v>2023964.19</v>
      </c>
      <c r="N783" s="47">
        <v>0</v>
      </c>
      <c r="O783" s="47">
        <v>0</v>
      </c>
      <c r="P783" s="47">
        <v>0</v>
      </c>
      <c r="Q783" s="47">
        <v>0</v>
      </c>
      <c r="R783" s="47">
        <v>0</v>
      </c>
      <c r="S783" s="47">
        <v>0</v>
      </c>
      <c r="T783" s="47">
        <v>0</v>
      </c>
      <c r="U783" s="47">
        <v>0</v>
      </c>
      <c r="V783" s="47">
        <v>0</v>
      </c>
      <c r="W783" s="47">
        <v>0</v>
      </c>
      <c r="X783" s="47">
        <v>0</v>
      </c>
      <c r="Y783" s="48">
        <v>2023964.19</v>
      </c>
      <c r="Z783" s="49">
        <v>0</v>
      </c>
      <c r="AA783" s="50">
        <v>0</v>
      </c>
      <c r="AB783" s="50">
        <v>0</v>
      </c>
      <c r="AC783" s="50">
        <v>0</v>
      </c>
      <c r="AD783" s="62">
        <v>25481.57</v>
      </c>
      <c r="AE783" s="50">
        <v>0</v>
      </c>
      <c r="AF783" s="50">
        <v>0</v>
      </c>
      <c r="AG783" s="49">
        <v>25481.57</v>
      </c>
      <c r="AH783" s="51" t="s">
        <v>74</v>
      </c>
      <c r="AI783" s="51" t="s">
        <v>74</v>
      </c>
      <c r="AJ783" s="51" t="s">
        <v>74</v>
      </c>
      <c r="AK783" s="51" t="s">
        <v>313</v>
      </c>
      <c r="AL783" s="51" t="s">
        <v>74</v>
      </c>
      <c r="AM783" s="51" t="s">
        <v>74</v>
      </c>
      <c r="AN783" s="52">
        <v>0</v>
      </c>
      <c r="AO783" s="52">
        <v>0</v>
      </c>
      <c r="AP783" s="52">
        <v>0</v>
      </c>
      <c r="AQ783" s="52">
        <v>0</v>
      </c>
      <c r="AR783" s="52">
        <v>0</v>
      </c>
      <c r="AS783" s="52">
        <v>0</v>
      </c>
      <c r="AT783" s="53" t="s">
        <v>74</v>
      </c>
      <c r="AU783" s="52">
        <v>0</v>
      </c>
      <c r="AV783" s="52"/>
      <c r="AW783" s="52">
        <v>0</v>
      </c>
      <c r="AX783" s="52"/>
      <c r="AY783" s="52"/>
      <c r="AZ783" s="52">
        <v>0</v>
      </c>
      <c r="BA783" s="52">
        <v>0</v>
      </c>
      <c r="BB783" s="54" t="s">
        <v>74</v>
      </c>
      <c r="BC783" s="53" t="s">
        <v>74</v>
      </c>
      <c r="BD783" s="55" t="s">
        <v>74</v>
      </c>
      <c r="BE783" s="55" t="s">
        <v>74</v>
      </c>
      <c r="BF783" s="55" t="s">
        <v>74</v>
      </c>
      <c r="BG783" s="55" t="s">
        <v>74</v>
      </c>
      <c r="BH783" s="52">
        <v>0</v>
      </c>
      <c r="BI783" s="52">
        <v>1998482.62</v>
      </c>
      <c r="BJ783" s="52">
        <v>1998482.62</v>
      </c>
      <c r="BK783" s="56">
        <v>43891</v>
      </c>
      <c r="BL783" s="57">
        <v>1998482.62</v>
      </c>
      <c r="BM783" s="47">
        <v>0</v>
      </c>
      <c r="BN783" s="9"/>
      <c r="BO783" s="9"/>
      <c r="BP783" s="9"/>
      <c r="BQ783" s="9"/>
      <c r="BR783" s="9"/>
      <c r="BS783" s="9"/>
      <c r="BT783" s="9"/>
      <c r="BU783" s="9"/>
      <c r="BV783" s="9"/>
      <c r="BW783" s="9"/>
    </row>
    <row r="784" spans="1:75" ht="26.25" hidden="1" outlineLevel="2" x14ac:dyDescent="0.25">
      <c r="A784" s="43" t="s">
        <v>840</v>
      </c>
      <c r="B784" s="110" t="s">
        <v>841</v>
      </c>
      <c r="C784" s="45">
        <v>2020</v>
      </c>
      <c r="D784" s="110" t="s">
        <v>79</v>
      </c>
      <c r="E784" s="47">
        <v>0</v>
      </c>
      <c r="F784" s="47">
        <v>0</v>
      </c>
      <c r="G784" s="47">
        <v>0</v>
      </c>
      <c r="H784" s="47">
        <v>0</v>
      </c>
      <c r="I784" s="47">
        <v>0</v>
      </c>
      <c r="J784" s="47">
        <v>0</v>
      </c>
      <c r="K784" s="47">
        <v>2023964.19</v>
      </c>
      <c r="L784" s="47">
        <v>0</v>
      </c>
      <c r="M784" s="47">
        <v>2023964.19</v>
      </c>
      <c r="N784" s="47">
        <v>0</v>
      </c>
      <c r="O784" s="47">
        <v>0</v>
      </c>
      <c r="P784" s="47">
        <v>0</v>
      </c>
      <c r="Q784" s="47">
        <v>0</v>
      </c>
      <c r="R784" s="47">
        <v>0</v>
      </c>
      <c r="S784" s="47">
        <v>0</v>
      </c>
      <c r="T784" s="47">
        <v>0</v>
      </c>
      <c r="U784" s="47">
        <v>0</v>
      </c>
      <c r="V784" s="47">
        <v>0</v>
      </c>
      <c r="W784" s="47">
        <v>0</v>
      </c>
      <c r="X784" s="47">
        <v>0</v>
      </c>
      <c r="Y784" s="48">
        <v>2023964.19</v>
      </c>
      <c r="Z784" s="49">
        <v>0</v>
      </c>
      <c r="AA784" s="50">
        <v>0</v>
      </c>
      <c r="AB784" s="50">
        <v>0</v>
      </c>
      <c r="AC784" s="50">
        <v>0</v>
      </c>
      <c r="AD784" s="50">
        <v>23487.43</v>
      </c>
      <c r="AE784" s="50">
        <v>0</v>
      </c>
      <c r="AF784" s="50">
        <v>0</v>
      </c>
      <c r="AG784" s="49">
        <v>23487.43</v>
      </c>
      <c r="AH784" s="51" t="s">
        <v>74</v>
      </c>
      <c r="AI784" s="51" t="s">
        <v>74</v>
      </c>
      <c r="AJ784" s="51" t="s">
        <v>74</v>
      </c>
      <c r="AK784" s="51" t="s">
        <v>315</v>
      </c>
      <c r="AL784" s="51" t="s">
        <v>74</v>
      </c>
      <c r="AM784" s="51" t="s">
        <v>74</v>
      </c>
      <c r="AN784" s="52">
        <v>0</v>
      </c>
      <c r="AO784" s="52">
        <v>0</v>
      </c>
      <c r="AP784" s="52">
        <v>0</v>
      </c>
      <c r="AQ784" s="52">
        <v>0</v>
      </c>
      <c r="AR784" s="52">
        <v>0</v>
      </c>
      <c r="AS784" s="52">
        <v>0</v>
      </c>
      <c r="AT784" s="53" t="s">
        <v>74</v>
      </c>
      <c r="AU784" s="52">
        <v>0</v>
      </c>
      <c r="AV784" s="52"/>
      <c r="AW784" s="52">
        <v>0</v>
      </c>
      <c r="AX784" s="52"/>
      <c r="AY784" s="52"/>
      <c r="AZ784" s="52">
        <v>0</v>
      </c>
      <c r="BA784" s="52">
        <v>0</v>
      </c>
      <c r="BB784" s="54" t="s">
        <v>74</v>
      </c>
      <c r="BC784" s="53" t="s">
        <v>74</v>
      </c>
      <c r="BD784" s="55" t="s">
        <v>74</v>
      </c>
      <c r="BE784" s="55" t="s">
        <v>74</v>
      </c>
      <c r="BF784" s="55" t="s">
        <v>74</v>
      </c>
      <c r="BG784" s="55" t="s">
        <v>74</v>
      </c>
      <c r="BH784" s="52">
        <v>0</v>
      </c>
      <c r="BI784" s="52">
        <v>2000476.76</v>
      </c>
      <c r="BJ784" s="52">
        <v>2000476.76</v>
      </c>
      <c r="BK784" s="56">
        <v>43922</v>
      </c>
      <c r="BL784" s="57">
        <v>2000476.76</v>
      </c>
      <c r="BM784" s="47">
        <v>0</v>
      </c>
      <c r="BN784" s="9"/>
      <c r="BO784" s="9"/>
      <c r="BP784" s="9"/>
      <c r="BQ784" s="9"/>
      <c r="BR784" s="9"/>
      <c r="BS784" s="9"/>
      <c r="BT784" s="9"/>
      <c r="BU784" s="9"/>
      <c r="BV784" s="9"/>
      <c r="BW784" s="9"/>
    </row>
    <row r="785" spans="1:75" ht="213" hidden="1" customHeight="1" outlineLevel="2" x14ac:dyDescent="0.25">
      <c r="A785" s="43" t="s">
        <v>840</v>
      </c>
      <c r="B785" s="110" t="s">
        <v>841</v>
      </c>
      <c r="C785" s="45">
        <v>2020</v>
      </c>
      <c r="D785" s="110" t="s">
        <v>81</v>
      </c>
      <c r="E785" s="47">
        <v>0</v>
      </c>
      <c r="F785" s="47">
        <v>0</v>
      </c>
      <c r="G785" s="47">
        <v>0</v>
      </c>
      <c r="H785" s="47">
        <v>0</v>
      </c>
      <c r="I785" s="47">
        <v>0</v>
      </c>
      <c r="J785" s="47">
        <v>0</v>
      </c>
      <c r="K785" s="47">
        <v>2023964.19</v>
      </c>
      <c r="L785" s="47">
        <v>0</v>
      </c>
      <c r="M785" s="47">
        <v>2023964.19</v>
      </c>
      <c r="N785" s="47">
        <v>0</v>
      </c>
      <c r="O785" s="47">
        <v>0</v>
      </c>
      <c r="P785" s="47">
        <v>0</v>
      </c>
      <c r="Q785" s="47">
        <v>0</v>
      </c>
      <c r="R785" s="47">
        <v>0</v>
      </c>
      <c r="S785" s="47">
        <v>0</v>
      </c>
      <c r="T785" s="47">
        <v>0</v>
      </c>
      <c r="U785" s="47">
        <v>0</v>
      </c>
      <c r="V785" s="47">
        <v>0</v>
      </c>
      <c r="W785" s="47">
        <v>0</v>
      </c>
      <c r="X785" s="47">
        <v>0</v>
      </c>
      <c r="Y785" s="48">
        <v>2023964.19</v>
      </c>
      <c r="Z785" s="49">
        <v>0</v>
      </c>
      <c r="AA785" s="50">
        <v>0</v>
      </c>
      <c r="AB785" s="50">
        <v>0</v>
      </c>
      <c r="AC785" s="50">
        <v>0</v>
      </c>
      <c r="AD785" s="62">
        <v>24165.34</v>
      </c>
      <c r="AE785" s="50">
        <v>0</v>
      </c>
      <c r="AF785" s="50">
        <v>0</v>
      </c>
      <c r="AG785" s="49">
        <v>24165.34</v>
      </c>
      <c r="AH785" s="51" t="s">
        <v>74</v>
      </c>
      <c r="AI785" s="51" t="s">
        <v>74</v>
      </c>
      <c r="AJ785" s="51" t="s">
        <v>74</v>
      </c>
      <c r="AK785" s="51" t="s">
        <v>162</v>
      </c>
      <c r="AL785" s="51" t="s">
        <v>74</v>
      </c>
      <c r="AM785" s="51" t="s">
        <v>74</v>
      </c>
      <c r="AN785" s="52"/>
      <c r="AO785" s="52">
        <v>0</v>
      </c>
      <c r="AP785" s="52"/>
      <c r="AQ785" s="52"/>
      <c r="AR785" s="52"/>
      <c r="AS785" s="52">
        <v>0</v>
      </c>
      <c r="AT785" s="53" t="s">
        <v>74</v>
      </c>
      <c r="AU785" s="114">
        <v>493762.45</v>
      </c>
      <c r="AV785" s="52"/>
      <c r="AW785" s="52">
        <v>0</v>
      </c>
      <c r="AX785" s="52"/>
      <c r="AY785" s="52"/>
      <c r="AZ785" s="52">
        <v>0</v>
      </c>
      <c r="BA785" s="52">
        <v>493762.45</v>
      </c>
      <c r="BB785" s="55" t="s">
        <v>860</v>
      </c>
      <c r="BC785" s="51" t="s">
        <v>74</v>
      </c>
      <c r="BD785" s="54" t="s">
        <v>74</v>
      </c>
      <c r="BE785" s="54" t="s">
        <v>74</v>
      </c>
      <c r="BF785" s="54" t="s">
        <v>74</v>
      </c>
      <c r="BG785" s="54" t="s">
        <v>74</v>
      </c>
      <c r="BH785" s="52">
        <v>493762.45</v>
      </c>
      <c r="BI785" s="52">
        <v>2493561.2999999998</v>
      </c>
      <c r="BJ785" s="52">
        <v>1999798.85</v>
      </c>
      <c r="BK785" s="56">
        <v>43952</v>
      </c>
      <c r="BL785" s="57">
        <v>2493561.2999999998</v>
      </c>
      <c r="BM785" s="47">
        <v>0</v>
      </c>
      <c r="BN785" s="9"/>
      <c r="BO785" s="9"/>
      <c r="BP785" s="9"/>
      <c r="BQ785" s="9"/>
      <c r="BR785" s="9"/>
      <c r="BS785" s="9"/>
      <c r="BT785" s="9"/>
      <c r="BU785" s="9"/>
      <c r="BV785" s="9"/>
      <c r="BW785" s="9"/>
    </row>
    <row r="786" spans="1:75" ht="105" hidden="1" customHeight="1" outlineLevel="2" x14ac:dyDescent="0.25">
      <c r="A786" s="43" t="s">
        <v>840</v>
      </c>
      <c r="B786" s="110" t="s">
        <v>841</v>
      </c>
      <c r="C786" s="45">
        <v>2020</v>
      </c>
      <c r="D786" s="110" t="s">
        <v>83</v>
      </c>
      <c r="E786" s="47">
        <v>0</v>
      </c>
      <c r="F786" s="47">
        <v>0</v>
      </c>
      <c r="G786" s="47">
        <v>0</v>
      </c>
      <c r="H786" s="47">
        <v>0</v>
      </c>
      <c r="I786" s="47">
        <v>0</v>
      </c>
      <c r="J786" s="47">
        <v>0</v>
      </c>
      <c r="K786" s="47">
        <v>2023964.19</v>
      </c>
      <c r="L786" s="47">
        <v>0</v>
      </c>
      <c r="M786" s="47">
        <v>2023964.19</v>
      </c>
      <c r="N786" s="47">
        <v>0</v>
      </c>
      <c r="O786" s="47">
        <v>0</v>
      </c>
      <c r="P786" s="47">
        <v>0</v>
      </c>
      <c r="Q786" s="47">
        <v>0</v>
      </c>
      <c r="R786" s="47">
        <v>0</v>
      </c>
      <c r="S786" s="47">
        <v>0</v>
      </c>
      <c r="T786" s="47">
        <v>0</v>
      </c>
      <c r="U786" s="47">
        <v>0</v>
      </c>
      <c r="V786" s="47">
        <v>0</v>
      </c>
      <c r="W786" s="47">
        <v>0</v>
      </c>
      <c r="X786" s="47">
        <v>0</v>
      </c>
      <c r="Y786" s="48">
        <v>2023964.19</v>
      </c>
      <c r="Z786" s="58">
        <v>0</v>
      </c>
      <c r="AA786" s="50">
        <v>0</v>
      </c>
      <c r="AB786" s="50">
        <v>0</v>
      </c>
      <c r="AC786" s="50">
        <v>0</v>
      </c>
      <c r="AD786" s="62">
        <v>21400.03</v>
      </c>
      <c r="AE786" s="50">
        <v>0</v>
      </c>
      <c r="AF786" s="50">
        <v>0</v>
      </c>
      <c r="AG786" s="49">
        <v>21400.03</v>
      </c>
      <c r="AH786" s="51" t="s">
        <v>74</v>
      </c>
      <c r="AI786" s="51" t="s">
        <v>74</v>
      </c>
      <c r="AJ786" s="51" t="s">
        <v>74</v>
      </c>
      <c r="AK786" s="51" t="s">
        <v>163</v>
      </c>
      <c r="AL786" s="51" t="s">
        <v>74</v>
      </c>
      <c r="AM786" s="51" t="s">
        <v>74</v>
      </c>
      <c r="AN786" s="52"/>
      <c r="AO786" s="52">
        <v>0</v>
      </c>
      <c r="AP786" s="52"/>
      <c r="AQ786" s="52"/>
      <c r="AR786" s="52"/>
      <c r="AS786" s="52">
        <v>0</v>
      </c>
      <c r="AT786" s="53" t="s">
        <v>74</v>
      </c>
      <c r="AU786" s="59">
        <v>504498.58</v>
      </c>
      <c r="AV786" s="52"/>
      <c r="AW786" s="52">
        <v>0</v>
      </c>
      <c r="AX786" s="52"/>
      <c r="AY786" s="52"/>
      <c r="AZ786" s="52">
        <v>0</v>
      </c>
      <c r="BA786" s="52">
        <v>504498.58</v>
      </c>
      <c r="BB786" s="55" t="s">
        <v>861</v>
      </c>
      <c r="BC786" s="51" t="s">
        <v>74</v>
      </c>
      <c r="BD786" s="54" t="s">
        <v>74</v>
      </c>
      <c r="BE786" s="54" t="s">
        <v>74</v>
      </c>
      <c r="BF786" s="54" t="s">
        <v>74</v>
      </c>
      <c r="BG786" s="54" t="s">
        <v>74</v>
      </c>
      <c r="BH786" s="52">
        <v>504498.58</v>
      </c>
      <c r="BI786" s="52">
        <v>2507062.7400000002</v>
      </c>
      <c r="BJ786" s="52">
        <v>2002564.16</v>
      </c>
      <c r="BK786" s="56">
        <v>43983</v>
      </c>
      <c r="BL786" s="57">
        <v>2507062.7400000002</v>
      </c>
      <c r="BM786" s="47">
        <v>0</v>
      </c>
      <c r="BN786" s="9"/>
      <c r="BO786" s="9"/>
      <c r="BP786" s="9"/>
      <c r="BQ786" s="9"/>
      <c r="BR786" s="9"/>
      <c r="BS786" s="9"/>
      <c r="BT786" s="9"/>
      <c r="BU786" s="9"/>
      <c r="BV786" s="9"/>
      <c r="BW786" s="9"/>
    </row>
    <row r="787" spans="1:75" hidden="1" outlineLevel="2" x14ac:dyDescent="0.25">
      <c r="A787" s="43" t="s">
        <v>840</v>
      </c>
      <c r="B787" s="110" t="s">
        <v>841</v>
      </c>
      <c r="C787" s="45">
        <v>2020</v>
      </c>
      <c r="D787" s="110" t="s">
        <v>84</v>
      </c>
      <c r="E787" s="47">
        <v>0</v>
      </c>
      <c r="F787" s="47">
        <v>0</v>
      </c>
      <c r="G787" s="47">
        <v>0</v>
      </c>
      <c r="H787" s="47">
        <v>0</v>
      </c>
      <c r="I787" s="47">
        <v>0</v>
      </c>
      <c r="J787" s="47">
        <v>0</v>
      </c>
      <c r="K787" s="47">
        <v>2023964.19</v>
      </c>
      <c r="L787" s="47">
        <v>0</v>
      </c>
      <c r="M787" s="47">
        <v>2023964.19</v>
      </c>
      <c r="N787" s="47">
        <v>0</v>
      </c>
      <c r="O787" s="47">
        <v>0</v>
      </c>
      <c r="P787" s="47">
        <v>0</v>
      </c>
      <c r="Q787" s="47">
        <v>0</v>
      </c>
      <c r="R787" s="47">
        <v>0</v>
      </c>
      <c r="S787" s="47">
        <v>0</v>
      </c>
      <c r="T787" s="47">
        <v>0</v>
      </c>
      <c r="U787" s="47">
        <v>0</v>
      </c>
      <c r="V787" s="47">
        <v>0</v>
      </c>
      <c r="W787" s="47">
        <v>0</v>
      </c>
      <c r="X787" s="47">
        <v>0</v>
      </c>
      <c r="Y787" s="48">
        <v>2023964.19</v>
      </c>
      <c r="Z787" s="58">
        <v>0</v>
      </c>
      <c r="AA787" s="50">
        <v>0</v>
      </c>
      <c r="AB787" s="50">
        <v>0</v>
      </c>
      <c r="AC787" s="50">
        <v>0</v>
      </c>
      <c r="AD787" s="62">
        <v>19543.79</v>
      </c>
      <c r="AE787" s="50">
        <v>0</v>
      </c>
      <c r="AF787" s="50">
        <v>0</v>
      </c>
      <c r="AG787" s="49">
        <v>19543.79</v>
      </c>
      <c r="AH787" s="51" t="s">
        <v>74</v>
      </c>
      <c r="AI787" s="51" t="s">
        <v>74</v>
      </c>
      <c r="AJ787" s="51" t="s">
        <v>74</v>
      </c>
      <c r="AK787" s="51" t="s">
        <v>165</v>
      </c>
      <c r="AL787" s="51" t="s">
        <v>74</v>
      </c>
      <c r="AM787" s="51" t="s">
        <v>74</v>
      </c>
      <c r="AN787" s="52">
        <v>0</v>
      </c>
      <c r="AO787" s="52">
        <v>0</v>
      </c>
      <c r="AP787" s="52">
        <v>0</v>
      </c>
      <c r="AQ787" s="52">
        <v>0</v>
      </c>
      <c r="AR787" s="52">
        <v>0</v>
      </c>
      <c r="AS787" s="52">
        <v>0</v>
      </c>
      <c r="AT787" s="53" t="s">
        <v>74</v>
      </c>
      <c r="AU787" s="52">
        <v>0</v>
      </c>
      <c r="AV787" s="52"/>
      <c r="AW787" s="52">
        <v>0</v>
      </c>
      <c r="AX787" s="52"/>
      <c r="AY787" s="52"/>
      <c r="AZ787" s="52">
        <v>0</v>
      </c>
      <c r="BA787" s="52">
        <v>0</v>
      </c>
      <c r="BB787" s="54" t="s">
        <v>74</v>
      </c>
      <c r="BC787" s="53" t="s">
        <v>74</v>
      </c>
      <c r="BD787" s="55" t="s">
        <v>74</v>
      </c>
      <c r="BE787" s="55" t="s">
        <v>74</v>
      </c>
      <c r="BF787" s="55" t="s">
        <v>74</v>
      </c>
      <c r="BG787" s="55" t="s">
        <v>74</v>
      </c>
      <c r="BH787" s="52">
        <v>0</v>
      </c>
      <c r="BI787" s="52">
        <v>2004420.4</v>
      </c>
      <c r="BJ787" s="52">
        <v>2004420.4</v>
      </c>
      <c r="BK787" s="56">
        <v>44013</v>
      </c>
      <c r="BL787" s="57">
        <v>2004420.4</v>
      </c>
      <c r="BM787" s="47">
        <v>0</v>
      </c>
      <c r="BN787" s="9"/>
      <c r="BO787" s="9"/>
      <c r="BP787" s="9"/>
      <c r="BQ787" s="9"/>
      <c r="BR787" s="9"/>
      <c r="BS787" s="9"/>
      <c r="BT787" s="9"/>
      <c r="BU787" s="9"/>
      <c r="BV787" s="9"/>
      <c r="BW787" s="9"/>
    </row>
    <row r="788" spans="1:75" hidden="1" outlineLevel="2" x14ac:dyDescent="0.25">
      <c r="A788" s="43" t="s">
        <v>840</v>
      </c>
      <c r="B788" s="110" t="s">
        <v>841</v>
      </c>
      <c r="C788" s="45">
        <v>2020</v>
      </c>
      <c r="D788" s="110" t="s">
        <v>86</v>
      </c>
      <c r="E788" s="47">
        <v>0</v>
      </c>
      <c r="F788" s="47">
        <v>0</v>
      </c>
      <c r="G788" s="47">
        <v>0</v>
      </c>
      <c r="H788" s="47">
        <v>0</v>
      </c>
      <c r="I788" s="47">
        <v>0</v>
      </c>
      <c r="J788" s="47">
        <v>0</v>
      </c>
      <c r="K788" s="47">
        <v>2023964.19</v>
      </c>
      <c r="L788" s="47">
        <v>0</v>
      </c>
      <c r="M788" s="47">
        <v>2023964.19</v>
      </c>
      <c r="N788" s="47">
        <v>0</v>
      </c>
      <c r="O788" s="47">
        <v>0</v>
      </c>
      <c r="P788" s="47">
        <v>0</v>
      </c>
      <c r="Q788" s="47">
        <v>0</v>
      </c>
      <c r="R788" s="47">
        <v>0</v>
      </c>
      <c r="S788" s="47">
        <v>0</v>
      </c>
      <c r="T788" s="47">
        <v>0</v>
      </c>
      <c r="U788" s="47">
        <v>0</v>
      </c>
      <c r="V788" s="47">
        <v>0</v>
      </c>
      <c r="W788" s="47">
        <v>0</v>
      </c>
      <c r="X788" s="47">
        <v>0</v>
      </c>
      <c r="Y788" s="48">
        <v>2023964.19</v>
      </c>
      <c r="Z788" s="58">
        <v>0</v>
      </c>
      <c r="AA788" s="50">
        <v>0</v>
      </c>
      <c r="AB788" s="50">
        <v>0</v>
      </c>
      <c r="AC788" s="50">
        <v>0</v>
      </c>
      <c r="AD788" s="62">
        <v>20623.939999999999</v>
      </c>
      <c r="AE788" s="50">
        <v>0</v>
      </c>
      <c r="AF788" s="50">
        <v>0</v>
      </c>
      <c r="AG788" s="49">
        <v>20623.939999999999</v>
      </c>
      <c r="AH788" s="51" t="s">
        <v>74</v>
      </c>
      <c r="AI788" s="51" t="s">
        <v>74</v>
      </c>
      <c r="AJ788" s="51" t="s">
        <v>74</v>
      </c>
      <c r="AK788" s="51" t="s">
        <v>168</v>
      </c>
      <c r="AL788" s="51" t="s">
        <v>74</v>
      </c>
      <c r="AM788" s="51" t="s">
        <v>74</v>
      </c>
      <c r="AN788" s="52">
        <v>0</v>
      </c>
      <c r="AO788" s="52">
        <v>0</v>
      </c>
      <c r="AP788" s="52">
        <v>0</v>
      </c>
      <c r="AQ788" s="52">
        <v>0</v>
      </c>
      <c r="AR788" s="52">
        <v>0</v>
      </c>
      <c r="AS788" s="52">
        <v>0</v>
      </c>
      <c r="AT788" s="53" t="s">
        <v>74</v>
      </c>
      <c r="AU788" s="52">
        <v>0</v>
      </c>
      <c r="AV788" s="52"/>
      <c r="AW788" s="52">
        <v>0</v>
      </c>
      <c r="AX788" s="52"/>
      <c r="AY788" s="52"/>
      <c r="AZ788" s="52">
        <v>0</v>
      </c>
      <c r="BA788" s="52">
        <v>0</v>
      </c>
      <c r="BB788" s="54" t="s">
        <v>74</v>
      </c>
      <c r="BC788" s="53" t="s">
        <v>74</v>
      </c>
      <c r="BD788" s="55" t="s">
        <v>74</v>
      </c>
      <c r="BE788" s="55" t="s">
        <v>74</v>
      </c>
      <c r="BF788" s="55" t="s">
        <v>74</v>
      </c>
      <c r="BG788" s="55" t="s">
        <v>74</v>
      </c>
      <c r="BH788" s="52">
        <v>0</v>
      </c>
      <c r="BI788" s="52">
        <v>2003340.25</v>
      </c>
      <c r="BJ788" s="52">
        <v>2003340.25</v>
      </c>
      <c r="BK788" s="56">
        <v>44044</v>
      </c>
      <c r="BL788" s="63">
        <v>2003340.25</v>
      </c>
      <c r="BM788" s="47">
        <v>0</v>
      </c>
      <c r="BN788" s="9"/>
      <c r="BO788" s="9"/>
      <c r="BP788" s="9"/>
      <c r="BQ788" s="9"/>
      <c r="BR788" s="9"/>
      <c r="BS788" s="9"/>
      <c r="BT788" s="9"/>
      <c r="BU788" s="9"/>
      <c r="BV788" s="9"/>
      <c r="BW788" s="9"/>
    </row>
    <row r="789" spans="1:75" hidden="1" outlineLevel="2" x14ac:dyDescent="0.25">
      <c r="A789" s="43" t="s">
        <v>840</v>
      </c>
      <c r="B789" s="110" t="s">
        <v>841</v>
      </c>
      <c r="C789" s="45">
        <v>2020</v>
      </c>
      <c r="D789" s="110" t="s">
        <v>88</v>
      </c>
      <c r="E789" s="47">
        <v>0</v>
      </c>
      <c r="F789" s="47">
        <v>0</v>
      </c>
      <c r="G789" s="47">
        <v>0</v>
      </c>
      <c r="H789" s="47">
        <v>0</v>
      </c>
      <c r="I789" s="47">
        <v>0</v>
      </c>
      <c r="J789" s="47">
        <v>0</v>
      </c>
      <c r="K789" s="47">
        <v>2023964.19</v>
      </c>
      <c r="L789" s="47">
        <v>0</v>
      </c>
      <c r="M789" s="47">
        <v>2023964.19</v>
      </c>
      <c r="N789" s="47">
        <v>0</v>
      </c>
      <c r="O789" s="47">
        <v>0</v>
      </c>
      <c r="P789" s="47">
        <v>0</v>
      </c>
      <c r="Q789" s="47">
        <v>0</v>
      </c>
      <c r="R789" s="47">
        <v>0</v>
      </c>
      <c r="S789" s="47">
        <v>0</v>
      </c>
      <c r="T789" s="47">
        <v>0</v>
      </c>
      <c r="U789" s="47">
        <v>0</v>
      </c>
      <c r="V789" s="47">
        <v>0</v>
      </c>
      <c r="W789" s="47">
        <v>0</v>
      </c>
      <c r="X789" s="47">
        <v>0</v>
      </c>
      <c r="Y789" s="48">
        <v>2023964.19</v>
      </c>
      <c r="Z789" s="58">
        <v>0</v>
      </c>
      <c r="AA789" s="50">
        <v>0</v>
      </c>
      <c r="AB789" s="50">
        <v>0</v>
      </c>
      <c r="AC789" s="50">
        <v>0</v>
      </c>
      <c r="AD789" s="62">
        <v>20932.29</v>
      </c>
      <c r="AE789" s="50">
        <v>0</v>
      </c>
      <c r="AF789" s="50">
        <v>0</v>
      </c>
      <c r="AG789" s="49">
        <v>20932.29</v>
      </c>
      <c r="AH789" s="51" t="s">
        <v>74</v>
      </c>
      <c r="AI789" s="51" t="s">
        <v>74</v>
      </c>
      <c r="AJ789" s="51" t="s">
        <v>74</v>
      </c>
      <c r="AK789" s="51" t="s">
        <v>170</v>
      </c>
      <c r="AL789" s="51" t="s">
        <v>74</v>
      </c>
      <c r="AM789" s="51" t="s">
        <v>74</v>
      </c>
      <c r="AN789" s="52">
        <v>0</v>
      </c>
      <c r="AO789" s="52">
        <v>0</v>
      </c>
      <c r="AP789" s="52">
        <v>0</v>
      </c>
      <c r="AQ789" s="52">
        <v>0</v>
      </c>
      <c r="AR789" s="52">
        <v>0</v>
      </c>
      <c r="AS789" s="52">
        <v>0</v>
      </c>
      <c r="AT789" s="53" t="s">
        <v>74</v>
      </c>
      <c r="AU789" s="52">
        <v>0</v>
      </c>
      <c r="AV789" s="52"/>
      <c r="AW789" s="52">
        <v>0</v>
      </c>
      <c r="AX789" s="52"/>
      <c r="AY789" s="52"/>
      <c r="AZ789" s="52">
        <v>0</v>
      </c>
      <c r="BA789" s="52">
        <v>0</v>
      </c>
      <c r="BB789" s="54" t="s">
        <v>74</v>
      </c>
      <c r="BC789" s="53" t="s">
        <v>74</v>
      </c>
      <c r="BD789" s="55" t="s">
        <v>74</v>
      </c>
      <c r="BE789" s="55" t="s">
        <v>74</v>
      </c>
      <c r="BF789" s="55" t="s">
        <v>74</v>
      </c>
      <c r="BG789" s="55" t="s">
        <v>74</v>
      </c>
      <c r="BH789" s="52">
        <v>0</v>
      </c>
      <c r="BI789" s="52">
        <v>2003031.9</v>
      </c>
      <c r="BJ789" s="52">
        <v>2003031.9</v>
      </c>
      <c r="BK789" s="56">
        <v>44075</v>
      </c>
      <c r="BL789" s="63">
        <v>2003031.9</v>
      </c>
      <c r="BM789" s="47">
        <v>0</v>
      </c>
      <c r="BN789" s="9"/>
      <c r="BO789" s="9"/>
      <c r="BP789" s="9"/>
      <c r="BQ789" s="9"/>
      <c r="BR789" s="9"/>
      <c r="BS789" s="9"/>
      <c r="BT789" s="9"/>
      <c r="BU789" s="9"/>
      <c r="BV789" s="9"/>
      <c r="BW789" s="9"/>
    </row>
    <row r="790" spans="1:75" hidden="1" outlineLevel="2" x14ac:dyDescent="0.25">
      <c r="A790" s="43" t="s">
        <v>840</v>
      </c>
      <c r="B790" s="110" t="s">
        <v>841</v>
      </c>
      <c r="C790" s="45">
        <v>2020</v>
      </c>
      <c r="D790" s="110" t="s">
        <v>89</v>
      </c>
      <c r="E790" s="47">
        <v>0</v>
      </c>
      <c r="F790" s="47">
        <v>0</v>
      </c>
      <c r="G790" s="47">
        <v>0</v>
      </c>
      <c r="H790" s="47">
        <v>0</v>
      </c>
      <c r="I790" s="47">
        <v>0</v>
      </c>
      <c r="J790" s="47">
        <v>0</v>
      </c>
      <c r="K790" s="47">
        <v>2023964.19</v>
      </c>
      <c r="L790" s="47">
        <v>0</v>
      </c>
      <c r="M790" s="47">
        <v>2023964.19</v>
      </c>
      <c r="N790" s="47">
        <v>0</v>
      </c>
      <c r="O790" s="47">
        <v>0</v>
      </c>
      <c r="P790" s="47">
        <v>0</v>
      </c>
      <c r="Q790" s="47">
        <v>0</v>
      </c>
      <c r="R790" s="47">
        <v>0</v>
      </c>
      <c r="S790" s="47">
        <v>0</v>
      </c>
      <c r="T790" s="47">
        <v>0</v>
      </c>
      <c r="U790" s="47">
        <v>0</v>
      </c>
      <c r="V790" s="47">
        <v>0</v>
      </c>
      <c r="W790" s="47">
        <v>0</v>
      </c>
      <c r="X790" s="47">
        <v>0</v>
      </c>
      <c r="Y790" s="48">
        <v>2023964.19</v>
      </c>
      <c r="Z790" s="58">
        <v>0</v>
      </c>
      <c r="AA790" s="50">
        <v>0</v>
      </c>
      <c r="AB790" s="50">
        <v>0</v>
      </c>
      <c r="AC790" s="50">
        <v>0</v>
      </c>
      <c r="AD790" s="62">
        <v>24249.25</v>
      </c>
      <c r="AE790" s="50">
        <v>0</v>
      </c>
      <c r="AF790" s="50">
        <v>0</v>
      </c>
      <c r="AG790" s="49">
        <v>24249.25</v>
      </c>
      <c r="AH790" s="51" t="s">
        <v>74</v>
      </c>
      <c r="AI790" s="51" t="s">
        <v>74</v>
      </c>
      <c r="AJ790" s="51" t="s">
        <v>74</v>
      </c>
      <c r="AK790" s="51" t="s">
        <v>172</v>
      </c>
      <c r="AL790" s="51" t="s">
        <v>74</v>
      </c>
      <c r="AM790" s="51" t="s">
        <v>74</v>
      </c>
      <c r="AN790" s="52">
        <v>0</v>
      </c>
      <c r="AO790" s="52">
        <v>0</v>
      </c>
      <c r="AP790" s="52">
        <v>0</v>
      </c>
      <c r="AQ790" s="52">
        <v>0</v>
      </c>
      <c r="AR790" s="52">
        <v>0</v>
      </c>
      <c r="AS790" s="52">
        <v>0</v>
      </c>
      <c r="AT790" s="53" t="s">
        <v>74</v>
      </c>
      <c r="AU790" s="52">
        <v>0</v>
      </c>
      <c r="AV790" s="52"/>
      <c r="AW790" s="52">
        <v>0</v>
      </c>
      <c r="AX790" s="52"/>
      <c r="AY790" s="52"/>
      <c r="AZ790" s="52">
        <v>0</v>
      </c>
      <c r="BA790" s="52">
        <v>0</v>
      </c>
      <c r="BB790" s="54" t="s">
        <v>74</v>
      </c>
      <c r="BC790" s="53" t="s">
        <v>74</v>
      </c>
      <c r="BD790" s="55" t="s">
        <v>74</v>
      </c>
      <c r="BE790" s="55" t="s">
        <v>74</v>
      </c>
      <c r="BF790" s="55" t="s">
        <v>74</v>
      </c>
      <c r="BG790" s="55" t="s">
        <v>74</v>
      </c>
      <c r="BH790" s="52">
        <v>0</v>
      </c>
      <c r="BI790" s="52">
        <v>1999714.94</v>
      </c>
      <c r="BJ790" s="52">
        <v>1999714.94</v>
      </c>
      <c r="BK790" s="56">
        <v>44105</v>
      </c>
      <c r="BL790" s="63">
        <v>1999714.94</v>
      </c>
      <c r="BM790" s="47">
        <v>0</v>
      </c>
      <c r="BN790" s="9"/>
      <c r="BO790" s="9"/>
      <c r="BP790" s="9"/>
      <c r="BQ790" s="9"/>
      <c r="BR790" s="9"/>
      <c r="BS790" s="9"/>
      <c r="BT790" s="9"/>
      <c r="BU790" s="9"/>
      <c r="BV790" s="9"/>
      <c r="BW790" s="9"/>
    </row>
    <row r="791" spans="1:75" ht="126.75" hidden="1" customHeight="1" outlineLevel="2" x14ac:dyDescent="0.25">
      <c r="A791" s="43" t="s">
        <v>840</v>
      </c>
      <c r="B791" s="110" t="s">
        <v>841</v>
      </c>
      <c r="C791" s="45">
        <v>2020</v>
      </c>
      <c r="D791" s="110" t="s">
        <v>90</v>
      </c>
      <c r="E791" s="47">
        <v>0</v>
      </c>
      <c r="F791" s="47">
        <v>0</v>
      </c>
      <c r="G791" s="47">
        <v>0</v>
      </c>
      <c r="H791" s="47">
        <v>0</v>
      </c>
      <c r="I791" s="47">
        <v>0</v>
      </c>
      <c r="J791" s="47">
        <v>0</v>
      </c>
      <c r="K791" s="47">
        <v>2023964.19</v>
      </c>
      <c r="L791" s="47">
        <v>0</v>
      </c>
      <c r="M791" s="47">
        <v>2023964.19</v>
      </c>
      <c r="N791" s="47">
        <v>0</v>
      </c>
      <c r="O791" s="47">
        <v>0</v>
      </c>
      <c r="P791" s="47">
        <v>0</v>
      </c>
      <c r="Q791" s="47">
        <v>0</v>
      </c>
      <c r="R791" s="47">
        <v>0</v>
      </c>
      <c r="S791" s="47">
        <v>0</v>
      </c>
      <c r="T791" s="47">
        <v>0</v>
      </c>
      <c r="U791" s="47">
        <v>0</v>
      </c>
      <c r="V791" s="47">
        <v>0</v>
      </c>
      <c r="W791" s="47">
        <v>0</v>
      </c>
      <c r="X791" s="47">
        <v>0</v>
      </c>
      <c r="Y791" s="48">
        <v>2023964.19</v>
      </c>
      <c r="Z791" s="58">
        <v>0</v>
      </c>
      <c r="AA791" s="50">
        <v>0</v>
      </c>
      <c r="AB791" s="50">
        <v>0</v>
      </c>
      <c r="AC791" s="50">
        <v>0</v>
      </c>
      <c r="AD791" s="62">
        <v>27208.639999999999</v>
      </c>
      <c r="AE791" s="50">
        <v>0</v>
      </c>
      <c r="AF791" s="50">
        <v>0</v>
      </c>
      <c r="AG791" s="49">
        <v>27208.639999999999</v>
      </c>
      <c r="AH791" s="51" t="s">
        <v>74</v>
      </c>
      <c r="AI791" s="51" t="s">
        <v>74</v>
      </c>
      <c r="AJ791" s="51" t="s">
        <v>74</v>
      </c>
      <c r="AK791" s="51" t="s">
        <v>175</v>
      </c>
      <c r="AL791" s="51" t="s">
        <v>74</v>
      </c>
      <c r="AM791" s="51" t="s">
        <v>74</v>
      </c>
      <c r="AN791" s="52"/>
      <c r="AO791" s="52"/>
      <c r="AP791" s="52"/>
      <c r="AQ791" s="52"/>
      <c r="AR791" s="52"/>
      <c r="AS791" s="52">
        <v>0</v>
      </c>
      <c r="AT791" s="53" t="s">
        <v>74</v>
      </c>
      <c r="AU791" s="52">
        <v>0</v>
      </c>
      <c r="AV791" s="52"/>
      <c r="AW791" s="59">
        <v>433520</v>
      </c>
      <c r="AX791" s="52"/>
      <c r="AY791" s="52"/>
      <c r="AZ791" s="52">
        <v>0</v>
      </c>
      <c r="BA791" s="52">
        <v>433520</v>
      </c>
      <c r="BB791" s="54" t="s">
        <v>74</v>
      </c>
      <c r="BC791" s="53" t="s">
        <v>74</v>
      </c>
      <c r="BD791" s="55" t="s">
        <v>862</v>
      </c>
      <c r="BE791" s="55" t="s">
        <v>74</v>
      </c>
      <c r="BF791" s="55" t="s">
        <v>74</v>
      </c>
      <c r="BG791" s="55" t="s">
        <v>74</v>
      </c>
      <c r="BH791" s="52">
        <v>433520</v>
      </c>
      <c r="BI791" s="52">
        <v>2430275.5499999998</v>
      </c>
      <c r="BJ791" s="52">
        <v>1996755.55</v>
      </c>
      <c r="BK791" s="56">
        <v>44136</v>
      </c>
      <c r="BL791" s="63">
        <v>2430275.5499999998</v>
      </c>
      <c r="BM791" s="47">
        <v>0</v>
      </c>
      <c r="BN791" s="9"/>
      <c r="BO791" s="9"/>
      <c r="BP791" s="9"/>
      <c r="BQ791" s="9"/>
      <c r="BR791" s="9"/>
      <c r="BS791" s="9"/>
      <c r="BT791" s="9"/>
      <c r="BU791" s="9"/>
      <c r="BV791" s="9"/>
      <c r="BW791" s="9"/>
    </row>
    <row r="792" spans="1:75" hidden="1" outlineLevel="2" x14ac:dyDescent="0.25">
      <c r="A792" s="43" t="s">
        <v>840</v>
      </c>
      <c r="B792" s="110" t="s">
        <v>841</v>
      </c>
      <c r="C792" s="45">
        <v>2020</v>
      </c>
      <c r="D792" s="110" t="s">
        <v>93</v>
      </c>
      <c r="E792" s="47">
        <v>0</v>
      </c>
      <c r="F792" s="47">
        <v>0</v>
      </c>
      <c r="G792" s="47">
        <v>0</v>
      </c>
      <c r="H792" s="47">
        <v>0</v>
      </c>
      <c r="I792" s="47">
        <v>0</v>
      </c>
      <c r="J792" s="47">
        <v>0</v>
      </c>
      <c r="K792" s="47">
        <v>2023964.19</v>
      </c>
      <c r="L792" s="47">
        <v>0</v>
      </c>
      <c r="M792" s="47">
        <v>2023964.19</v>
      </c>
      <c r="N792" s="47">
        <v>0</v>
      </c>
      <c r="O792" s="47">
        <v>0</v>
      </c>
      <c r="P792" s="47">
        <v>0</v>
      </c>
      <c r="Q792" s="47">
        <v>0</v>
      </c>
      <c r="R792" s="47">
        <v>0</v>
      </c>
      <c r="S792" s="47">
        <v>0</v>
      </c>
      <c r="T792" s="47">
        <v>0</v>
      </c>
      <c r="U792" s="47">
        <v>0</v>
      </c>
      <c r="V792" s="47">
        <v>0</v>
      </c>
      <c r="W792" s="47">
        <v>0</v>
      </c>
      <c r="X792" s="47">
        <v>0</v>
      </c>
      <c r="Y792" s="48">
        <v>2023964.19</v>
      </c>
      <c r="Z792" s="115">
        <v>0</v>
      </c>
      <c r="AA792" s="50">
        <v>0</v>
      </c>
      <c r="AB792" s="50">
        <v>0</v>
      </c>
      <c r="AC792" s="50">
        <v>0</v>
      </c>
      <c r="AD792" s="62">
        <v>24659.25</v>
      </c>
      <c r="AE792" s="50">
        <v>0</v>
      </c>
      <c r="AF792" s="50">
        <v>0</v>
      </c>
      <c r="AG792" s="49">
        <v>24659.25</v>
      </c>
      <c r="AH792" s="51" t="s">
        <v>74</v>
      </c>
      <c r="AI792" s="51" t="s">
        <v>74</v>
      </c>
      <c r="AJ792" s="51" t="s">
        <v>74</v>
      </c>
      <c r="AK792" s="51" t="s">
        <v>177</v>
      </c>
      <c r="AL792" s="51" t="s">
        <v>74</v>
      </c>
      <c r="AM792" s="51" t="s">
        <v>74</v>
      </c>
      <c r="AN792" s="52">
        <v>0</v>
      </c>
      <c r="AO792" s="52">
        <v>0</v>
      </c>
      <c r="AP792" s="52">
        <v>0</v>
      </c>
      <c r="AQ792" s="52">
        <v>0</v>
      </c>
      <c r="AR792" s="52">
        <v>0</v>
      </c>
      <c r="AS792" s="52">
        <v>0</v>
      </c>
      <c r="AT792" s="53" t="s">
        <v>74</v>
      </c>
      <c r="AU792" s="52">
        <v>0</v>
      </c>
      <c r="AV792" s="52"/>
      <c r="AW792" s="52">
        <v>0</v>
      </c>
      <c r="AX792" s="52"/>
      <c r="AY792" s="52"/>
      <c r="AZ792" s="52">
        <v>0</v>
      </c>
      <c r="BA792" s="52">
        <v>0</v>
      </c>
      <c r="BB792" s="54" t="s">
        <v>74</v>
      </c>
      <c r="BC792" s="53" t="s">
        <v>74</v>
      </c>
      <c r="BD792" s="55" t="s">
        <v>74</v>
      </c>
      <c r="BE792" s="55" t="s">
        <v>74</v>
      </c>
      <c r="BF792" s="55" t="s">
        <v>74</v>
      </c>
      <c r="BG792" s="55" t="s">
        <v>74</v>
      </c>
      <c r="BH792" s="52">
        <v>0</v>
      </c>
      <c r="BI792" s="52">
        <v>1999304.94</v>
      </c>
      <c r="BJ792" s="52">
        <v>1999304.94</v>
      </c>
      <c r="BK792" s="56">
        <v>44166</v>
      </c>
      <c r="BL792" s="63">
        <v>1999304.94</v>
      </c>
      <c r="BM792" s="47">
        <v>0</v>
      </c>
      <c r="BN792" s="9"/>
      <c r="BO792" s="9"/>
      <c r="BP792" s="9"/>
      <c r="BQ792" s="9"/>
      <c r="BR792" s="9"/>
      <c r="BS792" s="9"/>
      <c r="BT792" s="9"/>
      <c r="BU792" s="9"/>
      <c r="BV792" s="9"/>
      <c r="BW792" s="9"/>
    </row>
    <row r="793" spans="1:75" ht="153.75" hidden="1" outlineLevel="2" x14ac:dyDescent="0.25">
      <c r="A793" s="43" t="s">
        <v>840</v>
      </c>
      <c r="B793" s="110" t="s">
        <v>841</v>
      </c>
      <c r="C793" s="45">
        <v>2021</v>
      </c>
      <c r="D793" s="110" t="s">
        <v>73</v>
      </c>
      <c r="E793" s="47">
        <v>0</v>
      </c>
      <c r="F793" s="47">
        <v>0</v>
      </c>
      <c r="G793" s="47">
        <v>0</v>
      </c>
      <c r="H793" s="47">
        <v>0</v>
      </c>
      <c r="I793" s="47">
        <v>0</v>
      </c>
      <c r="J793" s="47">
        <v>0</v>
      </c>
      <c r="K793" s="47"/>
      <c r="L793" s="47">
        <v>0</v>
      </c>
      <c r="M793" s="47">
        <v>1754102.3</v>
      </c>
      <c r="N793" s="47">
        <v>0</v>
      </c>
      <c r="O793" s="47">
        <v>0</v>
      </c>
      <c r="P793" s="47">
        <v>0</v>
      </c>
      <c r="Q793" s="47">
        <v>0</v>
      </c>
      <c r="R793" s="47">
        <v>0</v>
      </c>
      <c r="S793" s="47">
        <v>0</v>
      </c>
      <c r="T793" s="47">
        <v>0</v>
      </c>
      <c r="U793" s="47">
        <v>0</v>
      </c>
      <c r="V793" s="47">
        <v>0</v>
      </c>
      <c r="W793" s="47">
        <v>0</v>
      </c>
      <c r="X793" s="47">
        <v>0</v>
      </c>
      <c r="Y793" s="48">
        <f t="shared" ref="Y793:Y799" si="120">SUM(E793:X793)</f>
        <v>1754102.3</v>
      </c>
      <c r="Z793" s="49">
        <v>0</v>
      </c>
      <c r="AA793" s="50">
        <v>0</v>
      </c>
      <c r="AB793" s="50">
        <v>0</v>
      </c>
      <c r="AC793" s="50">
        <v>0</v>
      </c>
      <c r="AD793" s="62">
        <v>49109.120000000003</v>
      </c>
      <c r="AE793" s="50">
        <v>0</v>
      </c>
      <c r="AF793" s="50">
        <v>0</v>
      </c>
      <c r="AG793" s="49">
        <f t="shared" ref="AG793:AG799" si="121">SUM(AA793:AF793)</f>
        <v>49109.120000000003</v>
      </c>
      <c r="AH793" s="51" t="s">
        <v>74</v>
      </c>
      <c r="AI793" s="51" t="s">
        <v>74</v>
      </c>
      <c r="AJ793" s="51" t="s">
        <v>74</v>
      </c>
      <c r="AK793" s="51" t="s">
        <v>863</v>
      </c>
      <c r="AL793" s="51" t="s">
        <v>74</v>
      </c>
      <c r="AM793" s="51" t="s">
        <v>74</v>
      </c>
      <c r="AN793" s="52">
        <v>0</v>
      </c>
      <c r="AO793" s="52">
        <v>0</v>
      </c>
      <c r="AP793" s="52">
        <v>0</v>
      </c>
      <c r="AQ793" s="52">
        <v>0</v>
      </c>
      <c r="AR793" s="52">
        <v>0</v>
      </c>
      <c r="AS793" s="52">
        <f t="shared" ref="AS793:AS799" si="122">AN793+AO793+AP793+AQ793+AR793</f>
        <v>0</v>
      </c>
      <c r="AT793" s="53" t="s">
        <v>74</v>
      </c>
      <c r="AU793" s="52">
        <v>0</v>
      </c>
      <c r="AV793" s="52"/>
      <c r="AW793" s="52">
        <v>0</v>
      </c>
      <c r="AX793" s="59">
        <v>292942.19</v>
      </c>
      <c r="AY793" s="59"/>
      <c r="AZ793" s="52">
        <v>0</v>
      </c>
      <c r="BA793" s="52">
        <f t="shared" ref="BA793:BA801" si="123">AU793+AW793+AX793+AZ793</f>
        <v>292942.19</v>
      </c>
      <c r="BB793" s="54" t="s">
        <v>74</v>
      </c>
      <c r="BC793" s="53" t="s">
        <v>74</v>
      </c>
      <c r="BD793" s="55" t="s">
        <v>74</v>
      </c>
      <c r="BE793" s="51" t="s">
        <v>864</v>
      </c>
      <c r="BF793" s="55" t="s">
        <v>74</v>
      </c>
      <c r="BG793" s="55" t="s">
        <v>74</v>
      </c>
      <c r="BH793" s="52">
        <f t="shared" ref="BH793:BH801" si="124">AS793+BA793</f>
        <v>292942.19</v>
      </c>
      <c r="BI793" s="52">
        <f t="shared" ref="BI793:BI802" si="125">Y793-AG793+BH793</f>
        <v>1997935.3699999999</v>
      </c>
      <c r="BJ793" s="52">
        <v>1997935.37</v>
      </c>
      <c r="BK793" s="56">
        <v>44197</v>
      </c>
      <c r="BL793" s="57">
        <f>1992226.12+5709.25</f>
        <v>1997935.37</v>
      </c>
      <c r="BM793" s="47">
        <v>0</v>
      </c>
      <c r="BN793" s="9"/>
      <c r="BO793" s="9"/>
      <c r="BP793" s="9"/>
      <c r="BQ793" s="9"/>
      <c r="BR793" s="9"/>
      <c r="BS793" s="9"/>
      <c r="BT793" s="9"/>
      <c r="BU793" s="9"/>
      <c r="BV793" s="9"/>
      <c r="BW793" s="9"/>
    </row>
    <row r="794" spans="1:75" ht="166.5" hidden="1" outlineLevel="2" x14ac:dyDescent="0.25">
      <c r="A794" s="43" t="s">
        <v>840</v>
      </c>
      <c r="B794" s="110" t="s">
        <v>841</v>
      </c>
      <c r="C794" s="45">
        <v>2021</v>
      </c>
      <c r="D794" s="110" t="s">
        <v>75</v>
      </c>
      <c r="E794" s="47"/>
      <c r="F794" s="47"/>
      <c r="G794" s="47"/>
      <c r="H794" s="47"/>
      <c r="I794" s="47"/>
      <c r="J794" s="47"/>
      <c r="K794" s="47"/>
      <c r="L794" s="47"/>
      <c r="M794" s="47"/>
      <c r="N794" s="47"/>
      <c r="O794" s="47"/>
      <c r="P794" s="47"/>
      <c r="Q794" s="47"/>
      <c r="R794" s="47"/>
      <c r="S794" s="47"/>
      <c r="T794" s="47"/>
      <c r="U794" s="47"/>
      <c r="V794" s="47"/>
      <c r="W794" s="47">
        <v>0</v>
      </c>
      <c r="X794" s="47">
        <v>0</v>
      </c>
      <c r="Y794" s="48">
        <f t="shared" si="120"/>
        <v>0</v>
      </c>
      <c r="Z794" s="49"/>
      <c r="AA794" s="50"/>
      <c r="AB794" s="50"/>
      <c r="AC794" s="50"/>
      <c r="AD794" s="50"/>
      <c r="AE794" s="50"/>
      <c r="AF794" s="50"/>
      <c r="AG794" s="49">
        <f t="shared" si="121"/>
        <v>0</v>
      </c>
      <c r="AH794" s="51" t="s">
        <v>74</v>
      </c>
      <c r="AI794" s="51" t="s">
        <v>74</v>
      </c>
      <c r="AJ794" s="51" t="s">
        <v>74</v>
      </c>
      <c r="AK794" s="51" t="s">
        <v>74</v>
      </c>
      <c r="AL794" s="51" t="s">
        <v>74</v>
      </c>
      <c r="AM794" s="51" t="s">
        <v>74</v>
      </c>
      <c r="AN794" s="52"/>
      <c r="AO794" s="52"/>
      <c r="AP794" s="52"/>
      <c r="AQ794" s="52"/>
      <c r="AR794" s="52"/>
      <c r="AS794" s="52">
        <f t="shared" si="122"/>
        <v>0</v>
      </c>
      <c r="AT794" s="53" t="s">
        <v>74</v>
      </c>
      <c r="AU794" s="52"/>
      <c r="AV794" s="52"/>
      <c r="AW794" s="52"/>
      <c r="AX794" s="59">
        <v>2023964.19</v>
      </c>
      <c r="AY794" s="59"/>
      <c r="AZ794" s="52"/>
      <c r="BA794" s="52">
        <f t="shared" si="123"/>
        <v>2023964.19</v>
      </c>
      <c r="BB794" s="54" t="s">
        <v>74</v>
      </c>
      <c r="BC794" s="53" t="s">
        <v>74</v>
      </c>
      <c r="BD794" s="55" t="s">
        <v>74</v>
      </c>
      <c r="BE794" s="51" t="s">
        <v>865</v>
      </c>
      <c r="BF794" s="55" t="s">
        <v>74</v>
      </c>
      <c r="BG794" s="55" t="s">
        <v>74</v>
      </c>
      <c r="BH794" s="52">
        <f t="shared" si="124"/>
        <v>2023964.19</v>
      </c>
      <c r="BI794" s="52">
        <f t="shared" si="125"/>
        <v>2023964.19</v>
      </c>
      <c r="BJ794" s="52" t="e">
        <f>#REF!-#REF!+BI794</f>
        <v>#REF!</v>
      </c>
      <c r="BK794" s="56">
        <v>44228</v>
      </c>
      <c r="BL794" s="57">
        <v>2023964.19</v>
      </c>
      <c r="BM794" s="47">
        <v>0</v>
      </c>
      <c r="BN794" s="9"/>
      <c r="BO794" s="9"/>
      <c r="BP794" s="9"/>
      <c r="BQ794" s="9"/>
      <c r="BR794" s="9"/>
      <c r="BS794" s="9"/>
      <c r="BT794" s="9"/>
      <c r="BU794" s="9"/>
      <c r="BV794" s="9"/>
      <c r="BW794" s="9"/>
    </row>
    <row r="795" spans="1:75" ht="150.75" hidden="1" customHeight="1" outlineLevel="2" x14ac:dyDescent="0.25">
      <c r="A795" s="43" t="s">
        <v>840</v>
      </c>
      <c r="B795" s="110" t="s">
        <v>841</v>
      </c>
      <c r="C795" s="45">
        <v>2021</v>
      </c>
      <c r="D795" s="110" t="s">
        <v>77</v>
      </c>
      <c r="E795" s="47"/>
      <c r="F795" s="47"/>
      <c r="G795" s="47"/>
      <c r="H795" s="47"/>
      <c r="I795" s="47"/>
      <c r="J795" s="47"/>
      <c r="K795" s="47"/>
      <c r="L795" s="47"/>
      <c r="M795" s="47"/>
      <c r="N795" s="134">
        <v>1349309.46</v>
      </c>
      <c r="O795" s="47"/>
      <c r="P795" s="47"/>
      <c r="Q795" s="47"/>
      <c r="R795" s="47"/>
      <c r="S795" s="47"/>
      <c r="T795" s="47"/>
      <c r="U795" s="47"/>
      <c r="V795" s="47"/>
      <c r="W795" s="47">
        <v>0</v>
      </c>
      <c r="X795" s="47">
        <v>0</v>
      </c>
      <c r="Y795" s="48">
        <f t="shared" si="120"/>
        <v>1349309.46</v>
      </c>
      <c r="Z795" s="49"/>
      <c r="AA795" s="50"/>
      <c r="AB795" s="50"/>
      <c r="AC795" s="50"/>
      <c r="AD795" s="61">
        <v>24555.03</v>
      </c>
      <c r="AE795" s="50"/>
      <c r="AF795" s="50"/>
      <c r="AG795" s="49">
        <f t="shared" si="121"/>
        <v>24555.03</v>
      </c>
      <c r="AH795" s="51" t="s">
        <v>74</v>
      </c>
      <c r="AI795" s="51" t="s">
        <v>74</v>
      </c>
      <c r="AJ795" s="51" t="s">
        <v>74</v>
      </c>
      <c r="AK795" s="51" t="s">
        <v>182</v>
      </c>
      <c r="AL795" s="51" t="s">
        <v>74</v>
      </c>
      <c r="AM795" s="51" t="s">
        <v>74</v>
      </c>
      <c r="AN795" s="52"/>
      <c r="AO795" s="52"/>
      <c r="AP795" s="52"/>
      <c r="AQ795" s="52"/>
      <c r="AR795" s="52"/>
      <c r="AS795" s="52">
        <f t="shared" si="122"/>
        <v>0</v>
      </c>
      <c r="AT795" s="53" t="s">
        <v>74</v>
      </c>
      <c r="AU795" s="52"/>
      <c r="AV795" s="52"/>
      <c r="AW795" s="138">
        <v>147440</v>
      </c>
      <c r="AX795" s="59">
        <v>674432.81</v>
      </c>
      <c r="AY795" s="59"/>
      <c r="AZ795" s="52"/>
      <c r="BA795" s="52">
        <f t="shared" si="123"/>
        <v>821872.81</v>
      </c>
      <c r="BB795" s="54" t="s">
        <v>74</v>
      </c>
      <c r="BC795" s="53" t="s">
        <v>74</v>
      </c>
      <c r="BD795" s="55" t="s">
        <v>866</v>
      </c>
      <c r="BE795" s="51" t="s">
        <v>867</v>
      </c>
      <c r="BF795" s="55" t="s">
        <v>74</v>
      </c>
      <c r="BG795" s="55" t="s">
        <v>74</v>
      </c>
      <c r="BH795" s="52">
        <f t="shared" si="124"/>
        <v>821872.81</v>
      </c>
      <c r="BI795" s="52">
        <f t="shared" si="125"/>
        <v>2146627.2400000002</v>
      </c>
      <c r="BJ795" s="52">
        <v>1999187.24</v>
      </c>
      <c r="BK795" s="56">
        <v>44256</v>
      </c>
      <c r="BL795" s="63">
        <v>2146627.2400000002</v>
      </c>
      <c r="BM795" s="47">
        <v>0</v>
      </c>
      <c r="BN795" s="9"/>
      <c r="BO795" s="9"/>
      <c r="BP795" s="9"/>
      <c r="BQ795" s="9"/>
      <c r="BR795" s="9"/>
      <c r="BS795" s="9"/>
      <c r="BT795" s="9"/>
      <c r="BU795" s="9"/>
      <c r="BV795" s="9"/>
      <c r="BW795" s="9"/>
    </row>
    <row r="796" spans="1:75" hidden="1" outlineLevel="2" x14ac:dyDescent="0.25">
      <c r="A796" s="43" t="s">
        <v>840</v>
      </c>
      <c r="B796" s="110" t="s">
        <v>841</v>
      </c>
      <c r="C796" s="45">
        <v>2021</v>
      </c>
      <c r="D796" s="110" t="s">
        <v>79</v>
      </c>
      <c r="E796" s="47"/>
      <c r="F796" s="47"/>
      <c r="G796" s="47"/>
      <c r="H796" s="47"/>
      <c r="I796" s="47"/>
      <c r="J796" s="47"/>
      <c r="K796" s="47"/>
      <c r="L796" s="47"/>
      <c r="M796" s="47"/>
      <c r="N796" s="113">
        <v>2023964.19</v>
      </c>
      <c r="O796" s="47"/>
      <c r="P796" s="47"/>
      <c r="Q796" s="47"/>
      <c r="R796" s="47"/>
      <c r="S796" s="47"/>
      <c r="T796" s="47"/>
      <c r="U796" s="47"/>
      <c r="V796" s="47"/>
      <c r="W796" s="47">
        <v>0</v>
      </c>
      <c r="X796" s="47">
        <v>0</v>
      </c>
      <c r="Y796" s="48">
        <f t="shared" si="120"/>
        <v>2023964.19</v>
      </c>
      <c r="Z796" s="49"/>
      <c r="AA796" s="50"/>
      <c r="AB796" s="50"/>
      <c r="AC796" s="50"/>
      <c r="AD796" s="62">
        <v>22030.6</v>
      </c>
      <c r="AE796" s="50"/>
      <c r="AF796" s="50"/>
      <c r="AG796" s="49">
        <f t="shared" si="121"/>
        <v>22030.6</v>
      </c>
      <c r="AH796" s="51" t="s">
        <v>74</v>
      </c>
      <c r="AI796" s="51" t="s">
        <v>74</v>
      </c>
      <c r="AJ796" s="51" t="s">
        <v>74</v>
      </c>
      <c r="AK796" s="51" t="s">
        <v>409</v>
      </c>
      <c r="AL796" s="51" t="s">
        <v>74</v>
      </c>
      <c r="AM796" s="51" t="s">
        <v>74</v>
      </c>
      <c r="AN796" s="52"/>
      <c r="AO796" s="52"/>
      <c r="AP796" s="52"/>
      <c r="AQ796" s="52"/>
      <c r="AR796" s="52"/>
      <c r="AS796" s="52">
        <f t="shared" si="122"/>
        <v>0</v>
      </c>
      <c r="AT796" s="53" t="s">
        <v>74</v>
      </c>
      <c r="AU796" s="52"/>
      <c r="AV796" s="52"/>
      <c r="AW796" s="52"/>
      <c r="AX796" s="52"/>
      <c r="AY796" s="52"/>
      <c r="AZ796" s="52"/>
      <c r="BA796" s="52">
        <f t="shared" si="123"/>
        <v>0</v>
      </c>
      <c r="BB796" s="54" t="s">
        <v>74</v>
      </c>
      <c r="BC796" s="53" t="s">
        <v>74</v>
      </c>
      <c r="BD796" s="55" t="s">
        <v>74</v>
      </c>
      <c r="BE796" s="55" t="s">
        <v>74</v>
      </c>
      <c r="BF796" s="55" t="s">
        <v>74</v>
      </c>
      <c r="BG796" s="55" t="s">
        <v>74</v>
      </c>
      <c r="BH796" s="52">
        <f t="shared" si="124"/>
        <v>0</v>
      </c>
      <c r="BI796" s="52">
        <f t="shared" si="125"/>
        <v>2001933.5899999999</v>
      </c>
      <c r="BJ796" s="52">
        <v>2001933.59</v>
      </c>
      <c r="BK796" s="56">
        <v>44287</v>
      </c>
      <c r="BL796" s="63">
        <v>2001933.59</v>
      </c>
      <c r="BM796" s="47">
        <v>0</v>
      </c>
      <c r="BN796" s="9"/>
      <c r="BO796" s="9"/>
      <c r="BP796" s="9"/>
      <c r="BQ796" s="9"/>
      <c r="BR796" s="9"/>
      <c r="BS796" s="9"/>
      <c r="BT796" s="9"/>
      <c r="BU796" s="9"/>
      <c r="BV796" s="9"/>
      <c r="BW796" s="9"/>
    </row>
    <row r="797" spans="1:75" ht="288" hidden="1" customHeight="1" outlineLevel="2" x14ac:dyDescent="0.25">
      <c r="A797" s="43" t="s">
        <v>840</v>
      </c>
      <c r="B797" s="110" t="s">
        <v>841</v>
      </c>
      <c r="C797" s="45">
        <v>2021</v>
      </c>
      <c r="D797" s="110" t="s">
        <v>81</v>
      </c>
      <c r="E797" s="47"/>
      <c r="F797" s="47"/>
      <c r="G797" s="47"/>
      <c r="H797" s="47"/>
      <c r="I797" s="47"/>
      <c r="J797" s="47"/>
      <c r="K797" s="47"/>
      <c r="L797" s="47"/>
      <c r="M797" s="47"/>
      <c r="N797" s="113">
        <v>2023964.19</v>
      </c>
      <c r="O797" s="47"/>
      <c r="P797" s="47"/>
      <c r="Q797" s="47"/>
      <c r="R797" s="47"/>
      <c r="S797" s="47"/>
      <c r="T797" s="47"/>
      <c r="U797" s="47"/>
      <c r="V797" s="47"/>
      <c r="W797" s="47">
        <v>0</v>
      </c>
      <c r="X797" s="47">
        <v>0</v>
      </c>
      <c r="Y797" s="48">
        <f t="shared" si="120"/>
        <v>2023964.19</v>
      </c>
      <c r="Z797" s="49"/>
      <c r="AA797" s="50"/>
      <c r="AB797" s="50"/>
      <c r="AC797" s="50"/>
      <c r="AD797" s="62">
        <v>23215.72</v>
      </c>
      <c r="AE797" s="50"/>
      <c r="AF797" s="50"/>
      <c r="AG797" s="49">
        <f t="shared" si="121"/>
        <v>23215.72</v>
      </c>
      <c r="AH797" s="51" t="s">
        <v>74</v>
      </c>
      <c r="AI797" s="51" t="s">
        <v>74</v>
      </c>
      <c r="AJ797" s="51" t="s">
        <v>74</v>
      </c>
      <c r="AK797" s="51" t="s">
        <v>411</v>
      </c>
      <c r="AL797" s="51" t="s">
        <v>74</v>
      </c>
      <c r="AM797" s="51" t="s">
        <v>74</v>
      </c>
      <c r="AN797" s="52"/>
      <c r="AO797" s="52"/>
      <c r="AP797" s="52"/>
      <c r="AQ797" s="52"/>
      <c r="AR797" s="52"/>
      <c r="AS797" s="52">
        <f t="shared" si="122"/>
        <v>0</v>
      </c>
      <c r="AT797" s="53" t="s">
        <v>74</v>
      </c>
      <c r="AU797" s="52"/>
      <c r="AV797" s="52"/>
      <c r="AW797" s="59">
        <v>122900</v>
      </c>
      <c r="AX797" s="52"/>
      <c r="AY797" s="52"/>
      <c r="AZ797" s="52"/>
      <c r="BA797" s="52">
        <f t="shared" si="123"/>
        <v>122900</v>
      </c>
      <c r="BB797" s="54" t="s">
        <v>74</v>
      </c>
      <c r="BC797" s="53" t="s">
        <v>74</v>
      </c>
      <c r="BD797" s="55" t="s">
        <v>868</v>
      </c>
      <c r="BE797" s="55" t="s">
        <v>74</v>
      </c>
      <c r="BF797" s="55" t="s">
        <v>74</v>
      </c>
      <c r="BG797" s="55" t="s">
        <v>74</v>
      </c>
      <c r="BH797" s="52">
        <f t="shared" si="124"/>
        <v>122900</v>
      </c>
      <c r="BI797" s="52">
        <f t="shared" si="125"/>
        <v>2123648.4699999997</v>
      </c>
      <c r="BJ797" s="52">
        <v>2000748.47</v>
      </c>
      <c r="BK797" s="56">
        <v>44317</v>
      </c>
      <c r="BL797" s="63">
        <v>2123648.4700000002</v>
      </c>
      <c r="BM797" s="47">
        <v>0</v>
      </c>
      <c r="BN797" s="9"/>
      <c r="BO797" s="9"/>
      <c r="BP797" s="9"/>
      <c r="BQ797" s="9"/>
      <c r="BR797" s="9"/>
      <c r="BS797" s="9"/>
      <c r="BT797" s="9"/>
      <c r="BU797" s="9"/>
      <c r="BV797" s="9"/>
      <c r="BW797" s="9"/>
    </row>
    <row r="798" spans="1:75" ht="26.25" hidden="1" outlineLevel="2" x14ac:dyDescent="0.25">
      <c r="A798" s="43" t="s">
        <v>840</v>
      </c>
      <c r="B798" s="110" t="s">
        <v>841</v>
      </c>
      <c r="C798" s="45">
        <v>2021</v>
      </c>
      <c r="D798" s="110" t="s">
        <v>83</v>
      </c>
      <c r="E798" s="47"/>
      <c r="F798" s="47"/>
      <c r="G798" s="47"/>
      <c r="H798" s="47"/>
      <c r="I798" s="47"/>
      <c r="J798" s="47"/>
      <c r="K798" s="47"/>
      <c r="L798" s="47"/>
      <c r="M798" s="47"/>
      <c r="N798" s="113">
        <v>2023964.19</v>
      </c>
      <c r="O798" s="47"/>
      <c r="P798" s="47"/>
      <c r="Q798" s="47"/>
      <c r="R798" s="47"/>
      <c r="S798" s="47"/>
      <c r="T798" s="47"/>
      <c r="U798" s="47"/>
      <c r="V798" s="47"/>
      <c r="W798" s="47">
        <v>0</v>
      </c>
      <c r="X798" s="47">
        <v>0</v>
      </c>
      <c r="Y798" s="48">
        <f t="shared" si="120"/>
        <v>2023964.19</v>
      </c>
      <c r="Z798" s="49"/>
      <c r="AA798" s="50"/>
      <c r="AB798" s="50"/>
      <c r="AC798" s="50"/>
      <c r="AD798" s="148">
        <v>21964.39</v>
      </c>
      <c r="AE798" s="50"/>
      <c r="AF798" s="50"/>
      <c r="AG798" s="49">
        <f t="shared" si="121"/>
        <v>21964.39</v>
      </c>
      <c r="AH798" s="51" t="s">
        <v>74</v>
      </c>
      <c r="AI798" s="51" t="s">
        <v>74</v>
      </c>
      <c r="AJ798" s="51" t="s">
        <v>74</v>
      </c>
      <c r="AK798" s="51" t="s">
        <v>413</v>
      </c>
      <c r="AL798" s="51" t="s">
        <v>74</v>
      </c>
      <c r="AM798" s="51" t="s">
        <v>74</v>
      </c>
      <c r="AN798" s="52"/>
      <c r="AO798" s="52"/>
      <c r="AP798" s="52"/>
      <c r="AQ798" s="52"/>
      <c r="AR798" s="52"/>
      <c r="AS798" s="52">
        <f t="shared" si="122"/>
        <v>0</v>
      </c>
      <c r="AT798" s="53" t="s">
        <v>74</v>
      </c>
      <c r="AU798" s="52"/>
      <c r="AV798" s="52"/>
      <c r="AW798" s="52"/>
      <c r="AX798" s="52"/>
      <c r="AY798" s="52"/>
      <c r="AZ798" s="52"/>
      <c r="BA798" s="52">
        <f t="shared" si="123"/>
        <v>0</v>
      </c>
      <c r="BB798" s="54" t="s">
        <v>74</v>
      </c>
      <c r="BC798" s="53" t="s">
        <v>74</v>
      </c>
      <c r="BD798" s="55" t="s">
        <v>74</v>
      </c>
      <c r="BE798" s="55" t="s">
        <v>74</v>
      </c>
      <c r="BF798" s="55" t="s">
        <v>74</v>
      </c>
      <c r="BG798" s="55" t="s">
        <v>74</v>
      </c>
      <c r="BH798" s="52">
        <f t="shared" si="124"/>
        <v>0</v>
      </c>
      <c r="BI798" s="52">
        <f t="shared" si="125"/>
        <v>2001999.8</v>
      </c>
      <c r="BJ798" s="52">
        <f>Y798-AG798+AX798</f>
        <v>2001999.8</v>
      </c>
      <c r="BK798" s="56">
        <v>44348</v>
      </c>
      <c r="BL798" s="63">
        <f>1995964.19+6035.61</f>
        <v>2001999.8</v>
      </c>
      <c r="BM798" s="47">
        <v>0</v>
      </c>
      <c r="BN798" s="9"/>
      <c r="BO798" s="9"/>
      <c r="BP798" s="9"/>
      <c r="BQ798" s="9"/>
      <c r="BR798" s="9"/>
      <c r="BS798" s="9"/>
      <c r="BT798" s="9"/>
      <c r="BU798" s="9"/>
      <c r="BV798" s="9"/>
      <c r="BW798" s="9"/>
    </row>
    <row r="799" spans="1:75" ht="246" hidden="1" customHeight="1" outlineLevel="2" x14ac:dyDescent="0.25">
      <c r="A799" s="43" t="s">
        <v>840</v>
      </c>
      <c r="B799" s="110" t="s">
        <v>841</v>
      </c>
      <c r="C799" s="45">
        <v>2021</v>
      </c>
      <c r="D799" s="110" t="s">
        <v>84</v>
      </c>
      <c r="E799" s="47"/>
      <c r="F799" s="47"/>
      <c r="G799" s="47"/>
      <c r="H799" s="47"/>
      <c r="I799" s="47"/>
      <c r="J799" s="47"/>
      <c r="K799" s="47"/>
      <c r="L799" s="47"/>
      <c r="M799" s="47"/>
      <c r="N799" s="47">
        <v>1748348.78</v>
      </c>
      <c r="O799" s="47"/>
      <c r="P799" s="47"/>
      <c r="Q799" s="47"/>
      <c r="R799" s="47"/>
      <c r="S799" s="47"/>
      <c r="T799" s="47"/>
      <c r="U799" s="47"/>
      <c r="V799" s="47"/>
      <c r="W799" s="47">
        <v>0</v>
      </c>
      <c r="X799" s="47">
        <v>0</v>
      </c>
      <c r="Y799" s="48">
        <f t="shared" si="120"/>
        <v>1748348.78</v>
      </c>
      <c r="Z799" s="80"/>
      <c r="AA799" s="50"/>
      <c r="AB799" s="50"/>
      <c r="AC799" s="50"/>
      <c r="AD799" s="148">
        <v>22246.48</v>
      </c>
      <c r="AE799" s="50"/>
      <c r="AF799" s="50"/>
      <c r="AG799" s="49">
        <f t="shared" si="121"/>
        <v>22246.48</v>
      </c>
      <c r="AH799" s="51" t="s">
        <v>74</v>
      </c>
      <c r="AI799" s="51" t="s">
        <v>74</v>
      </c>
      <c r="AJ799" s="51" t="s">
        <v>74</v>
      </c>
      <c r="AK799" s="51" t="s">
        <v>590</v>
      </c>
      <c r="AL799" s="51" t="s">
        <v>74</v>
      </c>
      <c r="AM799" s="51" t="s">
        <v>74</v>
      </c>
      <c r="AN799" s="52"/>
      <c r="AO799" s="52"/>
      <c r="AP799" s="52"/>
      <c r="AQ799" s="52"/>
      <c r="AR799" s="52"/>
      <c r="AS799" s="52">
        <f t="shared" si="122"/>
        <v>0</v>
      </c>
      <c r="AT799" s="53" t="s">
        <v>74</v>
      </c>
      <c r="AU799" s="52">
        <v>286636.64</v>
      </c>
      <c r="AV799" s="52"/>
      <c r="AW799" s="68">
        <f>36705.69+90750</f>
        <v>127455.69</v>
      </c>
      <c r="AX799" s="68">
        <v>258510.55</v>
      </c>
      <c r="AY799" s="52"/>
      <c r="AZ799" s="52"/>
      <c r="BA799" s="52">
        <f t="shared" si="123"/>
        <v>672602.88</v>
      </c>
      <c r="BB799" s="55" t="s">
        <v>869</v>
      </c>
      <c r="BC799" s="53" t="s">
        <v>74</v>
      </c>
      <c r="BD799" s="55" t="s">
        <v>870</v>
      </c>
      <c r="BE799" s="55" t="s">
        <v>871</v>
      </c>
      <c r="BF799" s="55" t="s">
        <v>74</v>
      </c>
      <c r="BG799" s="55" t="s">
        <v>74</v>
      </c>
      <c r="BH799" s="52">
        <f t="shared" si="124"/>
        <v>672602.88</v>
      </c>
      <c r="BI799" s="52">
        <f t="shared" si="125"/>
        <v>2398705.1800000002</v>
      </c>
      <c r="BJ799" s="52">
        <f>Y799-AG799+AX799</f>
        <v>1984612.85</v>
      </c>
      <c r="BK799" s="56">
        <v>44378</v>
      </c>
      <c r="BL799" s="57">
        <f>1726102.3+36705.69+90750+286636.64+258510.55</f>
        <v>2398705.1799999997</v>
      </c>
      <c r="BM799" s="47">
        <v>0</v>
      </c>
      <c r="BN799" s="9"/>
      <c r="BO799" s="9"/>
      <c r="BP799" s="9"/>
      <c r="BQ799" s="9"/>
      <c r="BR799" s="9"/>
      <c r="BS799" s="9"/>
      <c r="BT799" s="9"/>
      <c r="BU799" s="9"/>
      <c r="BV799" s="9"/>
      <c r="BW799" s="9"/>
    </row>
    <row r="800" spans="1:75" ht="409.5" hidden="1" customHeight="1" outlineLevel="2" x14ac:dyDescent="0.25">
      <c r="A800" s="43" t="s">
        <v>840</v>
      </c>
      <c r="B800" s="110" t="s">
        <v>841</v>
      </c>
      <c r="C800" s="45">
        <v>2021</v>
      </c>
      <c r="D800" s="110" t="s">
        <v>86</v>
      </c>
      <c r="E800" s="47"/>
      <c r="F800" s="47"/>
      <c r="G800" s="47"/>
      <c r="H800" s="47"/>
      <c r="I800" s="47"/>
      <c r="J800" s="47"/>
      <c r="K800" s="47"/>
      <c r="L800" s="47"/>
      <c r="M800" s="47"/>
      <c r="N800" s="47"/>
      <c r="O800" s="47"/>
      <c r="P800" s="47"/>
      <c r="Q800" s="47"/>
      <c r="R800" s="47"/>
      <c r="S800" s="47"/>
      <c r="T800" s="47"/>
      <c r="U800" s="47"/>
      <c r="V800" s="47"/>
      <c r="W800" s="47">
        <v>0</v>
      </c>
      <c r="X800" s="47">
        <v>0</v>
      </c>
      <c r="Y800" s="48"/>
      <c r="Z800" s="49"/>
      <c r="AA800" s="50"/>
      <c r="AB800" s="50"/>
      <c r="AC800" s="50"/>
      <c r="AD800" s="148"/>
      <c r="AE800" s="50"/>
      <c r="AF800" s="50"/>
      <c r="AG800" s="49"/>
      <c r="AH800" s="70" t="s">
        <v>74</v>
      </c>
      <c r="AI800" s="70" t="s">
        <v>74</v>
      </c>
      <c r="AJ800" s="70" t="s">
        <v>74</v>
      </c>
      <c r="AK800" s="70" t="s">
        <v>74</v>
      </c>
      <c r="AL800" s="70" t="s">
        <v>74</v>
      </c>
      <c r="AM800" s="70" t="s">
        <v>74</v>
      </c>
      <c r="AN800" s="52"/>
      <c r="AO800" s="52"/>
      <c r="AP800" s="52"/>
      <c r="AQ800" s="52"/>
      <c r="AR800" s="52"/>
      <c r="AS800" s="52"/>
      <c r="AT800" s="70" t="s">
        <v>74</v>
      </c>
      <c r="AU800" s="52"/>
      <c r="AV800" s="52"/>
      <c r="AW800" s="68"/>
      <c r="AX800" s="68">
        <f>674654.73+1011982.1+337327.36</f>
        <v>2023964.19</v>
      </c>
      <c r="AY800" s="52"/>
      <c r="AZ800" s="52"/>
      <c r="BA800" s="52">
        <f t="shared" si="123"/>
        <v>2023964.19</v>
      </c>
      <c r="BB800" s="52" t="s">
        <v>74</v>
      </c>
      <c r="BC800" s="52" t="s">
        <v>74</v>
      </c>
      <c r="BD800" s="52" t="s">
        <v>74</v>
      </c>
      <c r="BE800" s="55" t="s">
        <v>872</v>
      </c>
      <c r="BF800" s="52" t="s">
        <v>74</v>
      </c>
      <c r="BG800" s="52"/>
      <c r="BH800" s="52">
        <f t="shared" si="124"/>
        <v>2023964.19</v>
      </c>
      <c r="BI800" s="52">
        <f t="shared" si="125"/>
        <v>2023964.19</v>
      </c>
      <c r="BJ800" s="52">
        <f>Y800-AG800+AX800</f>
        <v>2023964.19</v>
      </c>
      <c r="BK800" s="56"/>
      <c r="BL800" s="63">
        <f>674654.73+1011982.1+337327.36</f>
        <v>2023964.19</v>
      </c>
      <c r="BM800" s="47">
        <v>0</v>
      </c>
      <c r="BN800" s="9"/>
      <c r="BO800" s="9"/>
      <c r="BP800" s="9"/>
      <c r="BQ800" s="9"/>
      <c r="BR800" s="9"/>
      <c r="BS800" s="9"/>
      <c r="BT800" s="9"/>
      <c r="BU800" s="9"/>
      <c r="BV800" s="9"/>
      <c r="BW800" s="9"/>
    </row>
    <row r="801" spans="1:75" ht="166.5" hidden="1" outlineLevel="2" x14ac:dyDescent="0.25">
      <c r="A801" s="43" t="s">
        <v>840</v>
      </c>
      <c r="B801" s="110" t="s">
        <v>841</v>
      </c>
      <c r="C801" s="45">
        <v>2021</v>
      </c>
      <c r="D801" s="110" t="s">
        <v>88</v>
      </c>
      <c r="E801" s="47"/>
      <c r="F801" s="47"/>
      <c r="G801" s="47"/>
      <c r="H801" s="47"/>
      <c r="I801" s="47"/>
      <c r="J801" s="47"/>
      <c r="K801" s="47"/>
      <c r="L801" s="47"/>
      <c r="M801" s="47"/>
      <c r="N801" s="47"/>
      <c r="O801" s="47"/>
      <c r="P801" s="47"/>
      <c r="Q801" s="47"/>
      <c r="R801" s="47"/>
      <c r="S801" s="47"/>
      <c r="T801" s="47"/>
      <c r="U801" s="47"/>
      <c r="V801" s="47"/>
      <c r="W801" s="47">
        <v>0</v>
      </c>
      <c r="X801" s="47">
        <v>0</v>
      </c>
      <c r="Y801" s="48"/>
      <c r="Z801" s="49"/>
      <c r="AA801" s="50"/>
      <c r="AB801" s="50"/>
      <c r="AC801" s="50"/>
      <c r="AD801" s="148"/>
      <c r="AE801" s="50"/>
      <c r="AF801" s="50"/>
      <c r="AG801" s="49"/>
      <c r="AH801" s="70" t="s">
        <v>74</v>
      </c>
      <c r="AI801" s="70" t="s">
        <v>74</v>
      </c>
      <c r="AJ801" s="70" t="s">
        <v>74</v>
      </c>
      <c r="AK801" s="70" t="s">
        <v>74</v>
      </c>
      <c r="AL801" s="70" t="s">
        <v>74</v>
      </c>
      <c r="AM801" s="70" t="s">
        <v>74</v>
      </c>
      <c r="AN801" s="52"/>
      <c r="AO801" s="52"/>
      <c r="AP801" s="52"/>
      <c r="AQ801" s="52"/>
      <c r="AR801" s="52"/>
      <c r="AS801" s="52"/>
      <c r="AT801" s="70" t="s">
        <v>74</v>
      </c>
      <c r="AU801" s="52"/>
      <c r="AV801" s="52"/>
      <c r="AW801" s="68"/>
      <c r="AX801" s="68">
        <v>1011982.1</v>
      </c>
      <c r="AY801" s="52"/>
      <c r="AZ801" s="52"/>
      <c r="BA801" s="52">
        <f t="shared" si="123"/>
        <v>1011982.1</v>
      </c>
      <c r="BB801" s="52" t="s">
        <v>74</v>
      </c>
      <c r="BC801" s="52" t="s">
        <v>74</v>
      </c>
      <c r="BD801" s="52" t="s">
        <v>74</v>
      </c>
      <c r="BE801" s="55" t="s">
        <v>873</v>
      </c>
      <c r="BF801" s="52" t="s">
        <v>74</v>
      </c>
      <c r="BG801" s="52"/>
      <c r="BH801" s="52">
        <f t="shared" si="124"/>
        <v>1011982.1</v>
      </c>
      <c r="BI801" s="52">
        <f t="shared" si="125"/>
        <v>1011982.1</v>
      </c>
      <c r="BJ801" s="52">
        <f>Y801-AG801+AX801</f>
        <v>1011982.1</v>
      </c>
      <c r="BK801" s="56">
        <v>44440</v>
      </c>
      <c r="BL801" s="63">
        <v>1011982.1</v>
      </c>
      <c r="BM801" s="47">
        <v>0</v>
      </c>
      <c r="BN801" s="9"/>
      <c r="BO801" s="9"/>
      <c r="BP801" s="9"/>
      <c r="BQ801" s="9"/>
      <c r="BR801" s="9"/>
      <c r="BS801" s="9"/>
      <c r="BT801" s="9"/>
      <c r="BU801" s="9"/>
      <c r="BV801" s="9"/>
      <c r="BW801" s="9"/>
    </row>
    <row r="802" spans="1:75" hidden="1" outlineLevel="2" x14ac:dyDescent="0.25">
      <c r="A802" s="71" t="s">
        <v>840</v>
      </c>
      <c r="B802" s="116" t="s">
        <v>841</v>
      </c>
      <c r="C802" s="73">
        <v>2021</v>
      </c>
      <c r="D802" s="116" t="s">
        <v>89</v>
      </c>
      <c r="E802" s="75"/>
      <c r="F802" s="75"/>
      <c r="G802" s="75"/>
      <c r="H802" s="75"/>
      <c r="I802" s="75"/>
      <c r="J802" s="75"/>
      <c r="K802" s="75"/>
      <c r="L802" s="75"/>
      <c r="M802" s="75"/>
      <c r="N802" s="75"/>
      <c r="O802" s="75"/>
      <c r="P802" s="75"/>
      <c r="Q802" s="75"/>
      <c r="R802" s="75"/>
      <c r="S802" s="75"/>
      <c r="T802" s="75"/>
      <c r="U802" s="75"/>
      <c r="V802" s="75"/>
      <c r="W802" s="75">
        <v>0</v>
      </c>
      <c r="X802" s="75">
        <v>0</v>
      </c>
      <c r="Y802" s="76">
        <f>SUM(E802:X802)</f>
        <v>0</v>
      </c>
      <c r="Z802" s="80"/>
      <c r="AA802" s="79"/>
      <c r="AB802" s="79"/>
      <c r="AC802" s="79"/>
      <c r="AD802" s="153"/>
      <c r="AE802" s="79"/>
      <c r="AF802" s="79"/>
      <c r="AG802" s="80">
        <f>SUM(AA802:AF802)</f>
        <v>0</v>
      </c>
      <c r="AH802" s="81" t="s">
        <v>74</v>
      </c>
      <c r="AI802" s="81" t="s">
        <v>74</v>
      </c>
      <c r="AJ802" s="81" t="s">
        <v>74</v>
      </c>
      <c r="AK802" s="81" t="s">
        <v>74</v>
      </c>
      <c r="AL802" s="81" t="s">
        <v>74</v>
      </c>
      <c r="AM802" s="81" t="s">
        <v>74</v>
      </c>
      <c r="AN802" s="82"/>
      <c r="AO802" s="82"/>
      <c r="AP802" s="82"/>
      <c r="AQ802" s="82"/>
      <c r="AR802" s="82"/>
      <c r="AS802" s="82"/>
      <c r="AT802" s="81" t="s">
        <v>74</v>
      </c>
      <c r="AU802" s="82"/>
      <c r="AV802" s="82"/>
      <c r="AW802" s="119"/>
      <c r="AX802" s="119"/>
      <c r="AY802" s="82"/>
      <c r="AZ802" s="82"/>
      <c r="BA802" s="82"/>
      <c r="BB802" s="82" t="s">
        <v>74</v>
      </c>
      <c r="BC802" s="82" t="s">
        <v>74</v>
      </c>
      <c r="BD802" s="82" t="s">
        <v>74</v>
      </c>
      <c r="BE802" s="82" t="s">
        <v>74</v>
      </c>
      <c r="BF802" s="82" t="s">
        <v>74</v>
      </c>
      <c r="BG802" s="82"/>
      <c r="BH802" s="82"/>
      <c r="BI802" s="82">
        <f t="shared" si="125"/>
        <v>0</v>
      </c>
      <c r="BJ802" s="52">
        <f>BI802-BH802</f>
        <v>0</v>
      </c>
      <c r="BK802" s="56">
        <v>44470</v>
      </c>
      <c r="BL802" s="127"/>
      <c r="BM802" s="75">
        <v>0</v>
      </c>
      <c r="BN802" s="9"/>
      <c r="BO802" s="9"/>
      <c r="BP802" s="9"/>
      <c r="BQ802" s="9"/>
      <c r="BR802" s="9"/>
      <c r="BS802" s="9"/>
      <c r="BT802" s="9"/>
      <c r="BU802" s="9"/>
      <c r="BV802" s="9"/>
      <c r="BW802" s="9"/>
    </row>
    <row r="803" spans="1:75" hidden="1" outlineLevel="1" collapsed="1" x14ac:dyDescent="0.25">
      <c r="A803" s="84"/>
      <c r="B803" s="120" t="s">
        <v>874</v>
      </c>
      <c r="C803" s="86"/>
      <c r="D803" s="120"/>
      <c r="E803" s="88"/>
      <c r="F803" s="88"/>
      <c r="G803" s="88"/>
      <c r="H803" s="88"/>
      <c r="I803" s="88"/>
      <c r="J803" s="88"/>
      <c r="K803" s="88"/>
      <c r="L803" s="88"/>
      <c r="M803" s="88"/>
      <c r="N803" s="88"/>
      <c r="O803" s="88"/>
      <c r="P803" s="88"/>
      <c r="Q803" s="88"/>
      <c r="R803" s="88"/>
      <c r="S803" s="88"/>
      <c r="T803" s="88"/>
      <c r="U803" s="88"/>
      <c r="V803" s="88"/>
      <c r="W803" s="88"/>
      <c r="X803" s="88"/>
      <c r="Y803" s="89">
        <f t="shared" ref="Y803:AG803" si="126">SUBTOTAL(9,Y745:Y802)</f>
        <v>0</v>
      </c>
      <c r="Z803" s="89">
        <f t="shared" si="126"/>
        <v>0</v>
      </c>
      <c r="AA803" s="89">
        <f t="shared" si="126"/>
        <v>0</v>
      </c>
      <c r="AB803" s="89">
        <f t="shared" si="126"/>
        <v>0</v>
      </c>
      <c r="AC803" s="89">
        <f t="shared" si="126"/>
        <v>0</v>
      </c>
      <c r="AD803" s="156">
        <f t="shared" si="126"/>
        <v>0</v>
      </c>
      <c r="AE803" s="89">
        <f t="shared" si="126"/>
        <v>0</v>
      </c>
      <c r="AF803" s="89">
        <f t="shared" si="126"/>
        <v>0</v>
      </c>
      <c r="AG803" s="89">
        <f t="shared" si="126"/>
        <v>0</v>
      </c>
      <c r="AH803" s="91"/>
      <c r="AI803" s="91"/>
      <c r="AJ803" s="91"/>
      <c r="AK803" s="91"/>
      <c r="AL803" s="91"/>
      <c r="AM803" s="91"/>
      <c r="AN803" s="92">
        <f t="shared" ref="AN803:AS803" si="127">SUBTOTAL(9,AN745:AN802)</f>
        <v>0</v>
      </c>
      <c r="AO803" s="92">
        <f t="shared" si="127"/>
        <v>0</v>
      </c>
      <c r="AP803" s="92">
        <f t="shared" si="127"/>
        <v>0</v>
      </c>
      <c r="AQ803" s="92">
        <f t="shared" si="127"/>
        <v>0</v>
      </c>
      <c r="AR803" s="92">
        <f t="shared" si="127"/>
        <v>0</v>
      </c>
      <c r="AS803" s="92">
        <f t="shared" si="127"/>
        <v>0</v>
      </c>
      <c r="AT803" s="91"/>
      <c r="AU803" s="92">
        <f t="shared" ref="AU803:BA803" si="128">SUBTOTAL(9,AU745:AU802)</f>
        <v>0</v>
      </c>
      <c r="AV803" s="92">
        <f t="shared" si="128"/>
        <v>0</v>
      </c>
      <c r="AW803" s="122">
        <f t="shared" si="128"/>
        <v>0</v>
      </c>
      <c r="AX803" s="122">
        <f t="shared" si="128"/>
        <v>0</v>
      </c>
      <c r="AY803" s="92">
        <f t="shared" si="128"/>
        <v>0</v>
      </c>
      <c r="AZ803" s="92">
        <f t="shared" si="128"/>
        <v>0</v>
      </c>
      <c r="BA803" s="92">
        <f t="shared" si="128"/>
        <v>0</v>
      </c>
      <c r="BB803" s="92"/>
      <c r="BC803" s="92"/>
      <c r="BD803" s="92"/>
      <c r="BE803" s="92"/>
      <c r="BF803" s="92"/>
      <c r="BG803" s="92"/>
      <c r="BH803" s="92">
        <f>SUBTOTAL(9,BH745:BH802)</f>
        <v>0</v>
      </c>
      <c r="BI803" s="92">
        <f>SUBTOTAL(9,BI745:BI802)</f>
        <v>0</v>
      </c>
      <c r="BJ803" s="93"/>
      <c r="BK803" s="94"/>
      <c r="BL803" s="88">
        <f>SUBTOTAL(9,BL745:BL802)</f>
        <v>0</v>
      </c>
      <c r="BM803" s="88">
        <f>SUBTOTAL(9,BM745:BM802)</f>
        <v>0</v>
      </c>
      <c r="BN803" s="9"/>
      <c r="BO803" s="9"/>
      <c r="BP803" s="9"/>
      <c r="BQ803" s="9"/>
      <c r="BR803" s="9"/>
      <c r="BS803" s="9"/>
      <c r="BT803" s="9"/>
      <c r="BU803" s="9"/>
      <c r="BV803" s="9"/>
      <c r="BW803" s="9"/>
    </row>
    <row r="804" spans="1:75" hidden="1" outlineLevel="2" x14ac:dyDescent="0.25">
      <c r="A804" s="96" t="s">
        <v>795</v>
      </c>
      <c r="B804" s="97" t="s">
        <v>875</v>
      </c>
      <c r="C804" s="98">
        <v>2017</v>
      </c>
      <c r="D804" s="97" t="s">
        <v>93</v>
      </c>
      <c r="E804" s="100">
        <v>3149739.89</v>
      </c>
      <c r="F804" s="100">
        <v>0</v>
      </c>
      <c r="G804" s="100">
        <v>0</v>
      </c>
      <c r="H804" s="100">
        <v>0</v>
      </c>
      <c r="I804" s="100">
        <v>0</v>
      </c>
      <c r="J804" s="100">
        <v>0</v>
      </c>
      <c r="K804" s="100">
        <v>0</v>
      </c>
      <c r="L804" s="100">
        <v>0</v>
      </c>
      <c r="M804" s="100">
        <v>0</v>
      </c>
      <c r="N804" s="100">
        <v>0</v>
      </c>
      <c r="O804" s="100">
        <v>0</v>
      </c>
      <c r="P804" s="100">
        <v>0</v>
      </c>
      <c r="Q804" s="100">
        <v>0</v>
      </c>
      <c r="R804" s="100">
        <v>0</v>
      </c>
      <c r="S804" s="100">
        <v>0</v>
      </c>
      <c r="T804" s="100">
        <v>0</v>
      </c>
      <c r="U804" s="100">
        <v>0</v>
      </c>
      <c r="V804" s="100">
        <v>0</v>
      </c>
      <c r="W804" s="100">
        <v>0</v>
      </c>
      <c r="X804" s="100">
        <v>0</v>
      </c>
      <c r="Y804" s="101">
        <v>3149739.89</v>
      </c>
      <c r="Z804" s="102">
        <v>0</v>
      </c>
      <c r="AA804" s="103">
        <v>0</v>
      </c>
      <c r="AB804" s="103">
        <v>0</v>
      </c>
      <c r="AC804" s="103">
        <v>0</v>
      </c>
      <c r="AD804" s="103">
        <v>0</v>
      </c>
      <c r="AE804" s="103">
        <v>0</v>
      </c>
      <c r="AF804" s="103">
        <v>0</v>
      </c>
      <c r="AG804" s="102">
        <v>0</v>
      </c>
      <c r="AH804" s="104" t="s">
        <v>74</v>
      </c>
      <c r="AI804" s="104" t="s">
        <v>74</v>
      </c>
      <c r="AJ804" s="104" t="s">
        <v>74</v>
      </c>
      <c r="AK804" s="104" t="s">
        <v>74</v>
      </c>
      <c r="AL804" s="104" t="s">
        <v>74</v>
      </c>
      <c r="AM804" s="104" t="s">
        <v>74</v>
      </c>
      <c r="AN804" s="105">
        <v>0</v>
      </c>
      <c r="AO804" s="105">
        <v>0</v>
      </c>
      <c r="AP804" s="105">
        <v>0</v>
      </c>
      <c r="AQ804" s="105">
        <v>0</v>
      </c>
      <c r="AR804" s="105">
        <v>0</v>
      </c>
      <c r="AS804" s="105">
        <v>0</v>
      </c>
      <c r="AT804" s="106" t="s">
        <v>74</v>
      </c>
      <c r="AU804" s="105">
        <v>0</v>
      </c>
      <c r="AV804" s="105"/>
      <c r="AW804" s="105">
        <v>0</v>
      </c>
      <c r="AX804" s="105"/>
      <c r="AY804" s="105"/>
      <c r="AZ804" s="105">
        <v>0</v>
      </c>
      <c r="BA804" s="105">
        <v>0</v>
      </c>
      <c r="BB804" s="107" t="s">
        <v>74</v>
      </c>
      <c r="BC804" s="106" t="s">
        <v>74</v>
      </c>
      <c r="BD804" s="108" t="s">
        <v>74</v>
      </c>
      <c r="BE804" s="108" t="s">
        <v>74</v>
      </c>
      <c r="BF804" s="108" t="s">
        <v>74</v>
      </c>
      <c r="BG804" s="108" t="s">
        <v>74</v>
      </c>
      <c r="BH804" s="105">
        <v>0</v>
      </c>
      <c r="BI804" s="105">
        <v>3149739.89</v>
      </c>
      <c r="BJ804" s="52">
        <v>3149739.89</v>
      </c>
      <c r="BK804" s="56">
        <v>43070</v>
      </c>
      <c r="BL804" s="109">
        <v>3149739.89</v>
      </c>
      <c r="BM804" s="100">
        <v>0</v>
      </c>
      <c r="BN804" s="9"/>
      <c r="BO804" s="9"/>
      <c r="BP804" s="9"/>
      <c r="BQ804" s="9"/>
      <c r="BR804" s="9"/>
      <c r="BS804" s="9"/>
      <c r="BT804" s="9"/>
      <c r="BU804" s="9"/>
      <c r="BV804" s="9"/>
      <c r="BW804" s="9"/>
    </row>
    <row r="805" spans="1:75" ht="26.25" hidden="1" outlineLevel="2" x14ac:dyDescent="0.25">
      <c r="A805" s="43" t="s">
        <v>795</v>
      </c>
      <c r="B805" s="110" t="s">
        <v>875</v>
      </c>
      <c r="C805" s="45">
        <v>2018</v>
      </c>
      <c r="D805" s="110" t="s">
        <v>73</v>
      </c>
      <c r="E805" s="47">
        <v>4973273.51</v>
      </c>
      <c r="F805" s="47">
        <v>0</v>
      </c>
      <c r="G805" s="47">
        <v>0</v>
      </c>
      <c r="H805" s="47">
        <v>0</v>
      </c>
      <c r="I805" s="47">
        <v>0</v>
      </c>
      <c r="J805" s="47">
        <v>0</v>
      </c>
      <c r="K805" s="47">
        <v>0</v>
      </c>
      <c r="L805" s="47">
        <v>0</v>
      </c>
      <c r="M805" s="47">
        <v>0</v>
      </c>
      <c r="N805" s="47">
        <v>0</v>
      </c>
      <c r="O805" s="47">
        <v>0</v>
      </c>
      <c r="P805" s="47">
        <v>0</v>
      </c>
      <c r="Q805" s="47">
        <v>0</v>
      </c>
      <c r="R805" s="47">
        <v>0</v>
      </c>
      <c r="S805" s="47">
        <v>0</v>
      </c>
      <c r="T805" s="47">
        <v>0</v>
      </c>
      <c r="U805" s="47">
        <v>0</v>
      </c>
      <c r="V805" s="47">
        <v>0</v>
      </c>
      <c r="W805" s="47">
        <v>0</v>
      </c>
      <c r="X805" s="47">
        <v>0</v>
      </c>
      <c r="Y805" s="48">
        <v>4973273.51</v>
      </c>
      <c r="Z805" s="133">
        <v>1604324.12</v>
      </c>
      <c r="AA805" s="50">
        <v>1604324.12</v>
      </c>
      <c r="AB805" s="50">
        <v>0</v>
      </c>
      <c r="AC805" s="50">
        <v>0</v>
      </c>
      <c r="AD805" s="50">
        <v>47770.58</v>
      </c>
      <c r="AE805" s="50">
        <v>0</v>
      </c>
      <c r="AF805" s="50">
        <v>0</v>
      </c>
      <c r="AG805" s="49">
        <v>1652094.7</v>
      </c>
      <c r="AH805" s="51" t="s">
        <v>104</v>
      </c>
      <c r="AI805" s="51" t="s">
        <v>74</v>
      </c>
      <c r="AJ805" s="51" t="s">
        <v>74</v>
      </c>
      <c r="AK805" s="51" t="s">
        <v>97</v>
      </c>
      <c r="AL805" s="51" t="s">
        <v>74</v>
      </c>
      <c r="AM805" s="51" t="s">
        <v>74</v>
      </c>
      <c r="AN805" s="52">
        <v>0</v>
      </c>
      <c r="AO805" s="52">
        <v>0</v>
      </c>
      <c r="AP805" s="52">
        <v>0</v>
      </c>
      <c r="AQ805" s="52">
        <v>0</v>
      </c>
      <c r="AR805" s="52">
        <v>0</v>
      </c>
      <c r="AS805" s="52">
        <v>0</v>
      </c>
      <c r="AT805" s="53" t="s">
        <v>74</v>
      </c>
      <c r="AU805" s="52">
        <v>0</v>
      </c>
      <c r="AV805" s="52"/>
      <c r="AW805" s="52">
        <v>0</v>
      </c>
      <c r="AX805" s="52"/>
      <c r="AY805" s="52"/>
      <c r="AZ805" s="52">
        <v>0</v>
      </c>
      <c r="BA805" s="52">
        <v>0</v>
      </c>
      <c r="BB805" s="54" t="s">
        <v>74</v>
      </c>
      <c r="BC805" s="53" t="s">
        <v>74</v>
      </c>
      <c r="BD805" s="55" t="s">
        <v>74</v>
      </c>
      <c r="BE805" s="55" t="s">
        <v>74</v>
      </c>
      <c r="BF805" s="55" t="s">
        <v>74</v>
      </c>
      <c r="BG805" s="55" t="s">
        <v>74</v>
      </c>
      <c r="BH805" s="52">
        <v>0</v>
      </c>
      <c r="BI805" s="52">
        <v>3321178.81</v>
      </c>
      <c r="BJ805" s="52">
        <v>3321178.81</v>
      </c>
      <c r="BK805" s="56">
        <v>43101</v>
      </c>
      <c r="BL805" s="57">
        <v>3321178.81</v>
      </c>
      <c r="BM805" s="47">
        <v>0</v>
      </c>
      <c r="BN805" s="9"/>
      <c r="BO805" s="9"/>
      <c r="BP805" s="9"/>
      <c r="BQ805" s="9"/>
      <c r="BR805" s="9"/>
      <c r="BS805" s="9"/>
      <c r="BT805" s="9"/>
      <c r="BU805" s="9"/>
      <c r="BV805" s="9"/>
      <c r="BW805" s="9"/>
    </row>
    <row r="806" spans="1:75" ht="26.25" hidden="1" outlineLevel="2" x14ac:dyDescent="0.25">
      <c r="A806" s="43" t="s">
        <v>795</v>
      </c>
      <c r="B806" s="110" t="s">
        <v>875</v>
      </c>
      <c r="C806" s="45">
        <v>2018</v>
      </c>
      <c r="D806" s="110" t="s">
        <v>75</v>
      </c>
      <c r="E806" s="47">
        <v>4973273.51</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4973273.51</v>
      </c>
      <c r="Z806" s="58">
        <v>1765272.26</v>
      </c>
      <c r="AA806" s="50">
        <v>1765272.26</v>
      </c>
      <c r="AB806" s="50">
        <v>0</v>
      </c>
      <c r="AC806" s="50">
        <v>0</v>
      </c>
      <c r="AD806" s="50">
        <v>43761.11</v>
      </c>
      <c r="AE806" s="50">
        <v>0</v>
      </c>
      <c r="AF806" s="50">
        <v>0</v>
      </c>
      <c r="AG806" s="49">
        <v>1809033.37</v>
      </c>
      <c r="AH806" s="51" t="s">
        <v>104</v>
      </c>
      <c r="AI806" s="51" t="s">
        <v>74</v>
      </c>
      <c r="AJ806" s="51" t="s">
        <v>74</v>
      </c>
      <c r="AK806" s="51" t="s">
        <v>99</v>
      </c>
      <c r="AL806" s="51" t="s">
        <v>74</v>
      </c>
      <c r="AM806" s="51" t="s">
        <v>74</v>
      </c>
      <c r="AN806" s="52">
        <v>0</v>
      </c>
      <c r="AO806" s="52">
        <v>0</v>
      </c>
      <c r="AP806" s="52">
        <v>0</v>
      </c>
      <c r="AQ806" s="52">
        <v>0</v>
      </c>
      <c r="AR806" s="52">
        <v>0</v>
      </c>
      <c r="AS806" s="52">
        <v>0</v>
      </c>
      <c r="AT806" s="53" t="s">
        <v>74</v>
      </c>
      <c r="AU806" s="52">
        <v>0</v>
      </c>
      <c r="AV806" s="52"/>
      <c r="AW806" s="52">
        <v>0</v>
      </c>
      <c r="AX806" s="52"/>
      <c r="AY806" s="52"/>
      <c r="AZ806" s="52">
        <v>0</v>
      </c>
      <c r="BA806" s="52">
        <v>0</v>
      </c>
      <c r="BB806" s="54" t="s">
        <v>74</v>
      </c>
      <c r="BC806" s="53" t="s">
        <v>74</v>
      </c>
      <c r="BD806" s="55" t="s">
        <v>74</v>
      </c>
      <c r="BE806" s="55" t="s">
        <v>74</v>
      </c>
      <c r="BF806" s="55" t="s">
        <v>74</v>
      </c>
      <c r="BG806" s="55" t="s">
        <v>74</v>
      </c>
      <c r="BH806" s="52">
        <v>0</v>
      </c>
      <c r="BI806" s="52">
        <v>3164240.14</v>
      </c>
      <c r="BJ806" s="52">
        <v>3164240.14</v>
      </c>
      <c r="BK806" s="56">
        <v>43132</v>
      </c>
      <c r="BL806" s="57">
        <v>3164240.14</v>
      </c>
      <c r="BM806" s="47">
        <v>0</v>
      </c>
      <c r="BN806" s="9"/>
      <c r="BO806" s="9"/>
      <c r="BP806" s="9"/>
      <c r="BQ806" s="9"/>
      <c r="BR806" s="9"/>
      <c r="BS806" s="9"/>
      <c r="BT806" s="9"/>
      <c r="BU806" s="9"/>
      <c r="BV806" s="9"/>
      <c r="BW806" s="9"/>
    </row>
    <row r="807" spans="1:75" ht="26.25" hidden="1" outlineLevel="2" x14ac:dyDescent="0.25">
      <c r="A807" s="43" t="s">
        <v>795</v>
      </c>
      <c r="B807" s="110" t="s">
        <v>875</v>
      </c>
      <c r="C807" s="45">
        <v>2018</v>
      </c>
      <c r="D807" s="110" t="s">
        <v>77</v>
      </c>
      <c r="E807" s="47">
        <v>4973273.51</v>
      </c>
      <c r="F807" s="47">
        <v>0</v>
      </c>
      <c r="G807" s="47">
        <v>0</v>
      </c>
      <c r="H807" s="47">
        <v>0</v>
      </c>
      <c r="I807" s="47">
        <v>0</v>
      </c>
      <c r="J807" s="47">
        <v>0</v>
      </c>
      <c r="K807" s="47">
        <v>0</v>
      </c>
      <c r="L807" s="47">
        <v>0</v>
      </c>
      <c r="M807" s="47">
        <v>0</v>
      </c>
      <c r="N807" s="47">
        <v>0</v>
      </c>
      <c r="O807" s="47">
        <v>0</v>
      </c>
      <c r="P807" s="47">
        <v>0</v>
      </c>
      <c r="Q807" s="47">
        <v>0</v>
      </c>
      <c r="R807" s="47">
        <v>0</v>
      </c>
      <c r="S807" s="47">
        <v>0</v>
      </c>
      <c r="T807" s="47">
        <v>0</v>
      </c>
      <c r="U807" s="47">
        <v>0</v>
      </c>
      <c r="V807" s="47">
        <v>0</v>
      </c>
      <c r="W807" s="47">
        <v>0</v>
      </c>
      <c r="X807" s="47">
        <v>0</v>
      </c>
      <c r="Y807" s="48">
        <v>4973273.51</v>
      </c>
      <c r="Z807" s="58">
        <v>1715795.24</v>
      </c>
      <c r="AA807" s="50">
        <v>1715795.24</v>
      </c>
      <c r="AB807" s="50">
        <v>0</v>
      </c>
      <c r="AC807" s="50">
        <v>0</v>
      </c>
      <c r="AD807" s="50">
        <v>42767.51</v>
      </c>
      <c r="AE807" s="50">
        <v>0</v>
      </c>
      <c r="AF807" s="50">
        <v>0</v>
      </c>
      <c r="AG807" s="49">
        <v>1758562.75</v>
      </c>
      <c r="AH807" s="51" t="s">
        <v>104</v>
      </c>
      <c r="AI807" s="51" t="s">
        <v>74</v>
      </c>
      <c r="AJ807" s="51" t="s">
        <v>74</v>
      </c>
      <c r="AK807" s="51" t="s">
        <v>102</v>
      </c>
      <c r="AL807" s="51" t="s">
        <v>74</v>
      </c>
      <c r="AM807" s="51" t="s">
        <v>74</v>
      </c>
      <c r="AN807" s="52">
        <v>0</v>
      </c>
      <c r="AO807" s="52">
        <v>0</v>
      </c>
      <c r="AP807" s="52">
        <v>0</v>
      </c>
      <c r="AQ807" s="52">
        <v>0</v>
      </c>
      <c r="AR807" s="52">
        <v>0</v>
      </c>
      <c r="AS807" s="52">
        <v>0</v>
      </c>
      <c r="AT807" s="53" t="s">
        <v>74</v>
      </c>
      <c r="AU807" s="52">
        <v>0</v>
      </c>
      <c r="AV807" s="52"/>
      <c r="AW807" s="52">
        <v>0</v>
      </c>
      <c r="AX807" s="52"/>
      <c r="AY807" s="52"/>
      <c r="AZ807" s="52">
        <v>0</v>
      </c>
      <c r="BA807" s="52">
        <v>0</v>
      </c>
      <c r="BB807" s="54" t="s">
        <v>74</v>
      </c>
      <c r="BC807" s="53" t="s">
        <v>74</v>
      </c>
      <c r="BD807" s="55" t="s">
        <v>74</v>
      </c>
      <c r="BE807" s="55" t="s">
        <v>74</v>
      </c>
      <c r="BF807" s="55" t="s">
        <v>74</v>
      </c>
      <c r="BG807" s="55" t="s">
        <v>74</v>
      </c>
      <c r="BH807" s="52">
        <v>0</v>
      </c>
      <c r="BI807" s="52">
        <v>3214710.76</v>
      </c>
      <c r="BJ807" s="52">
        <v>3214710.76</v>
      </c>
      <c r="BK807" s="56">
        <v>43160</v>
      </c>
      <c r="BL807" s="57">
        <v>3214710.76</v>
      </c>
      <c r="BM807" s="47">
        <v>0</v>
      </c>
      <c r="BN807" s="9"/>
      <c r="BO807" s="9"/>
      <c r="BP807" s="9"/>
      <c r="BQ807" s="9"/>
      <c r="BR807" s="9"/>
      <c r="BS807" s="9"/>
      <c r="BT807" s="9"/>
      <c r="BU807" s="9"/>
      <c r="BV807" s="9"/>
      <c r="BW807" s="9"/>
    </row>
    <row r="808" spans="1:75" ht="26.25" hidden="1" outlineLevel="2" x14ac:dyDescent="0.25">
      <c r="A808" s="43" t="s">
        <v>795</v>
      </c>
      <c r="B808" s="110" t="s">
        <v>875</v>
      </c>
      <c r="C808" s="45">
        <v>2018</v>
      </c>
      <c r="D808" s="110" t="s">
        <v>79</v>
      </c>
      <c r="E808" s="47">
        <v>4973273.51</v>
      </c>
      <c r="F808" s="47">
        <v>0</v>
      </c>
      <c r="G808" s="47">
        <v>0</v>
      </c>
      <c r="H808" s="47">
        <v>0</v>
      </c>
      <c r="I808" s="47">
        <v>0</v>
      </c>
      <c r="J808" s="47">
        <v>0</v>
      </c>
      <c r="K808" s="47">
        <v>0</v>
      </c>
      <c r="L808" s="47">
        <v>0</v>
      </c>
      <c r="M808" s="47">
        <v>0</v>
      </c>
      <c r="N808" s="47">
        <v>0</v>
      </c>
      <c r="O808" s="47">
        <v>0</v>
      </c>
      <c r="P808" s="47">
        <v>0</v>
      </c>
      <c r="Q808" s="47">
        <v>0</v>
      </c>
      <c r="R808" s="47">
        <v>0</v>
      </c>
      <c r="S808" s="47">
        <v>0</v>
      </c>
      <c r="T808" s="47">
        <v>0</v>
      </c>
      <c r="U808" s="47">
        <v>0</v>
      </c>
      <c r="V808" s="47">
        <v>0</v>
      </c>
      <c r="W808" s="47">
        <v>0</v>
      </c>
      <c r="X808" s="47">
        <v>0</v>
      </c>
      <c r="Y808" s="48">
        <v>4973273.51</v>
      </c>
      <c r="Z808" s="58">
        <v>1679344.13</v>
      </c>
      <c r="AA808" s="50">
        <v>1679344.13</v>
      </c>
      <c r="AB808" s="50">
        <v>0</v>
      </c>
      <c r="AC808" s="50">
        <v>0</v>
      </c>
      <c r="AD808" s="50">
        <v>46302.09</v>
      </c>
      <c r="AE808" s="50">
        <v>0</v>
      </c>
      <c r="AF808" s="50">
        <v>0</v>
      </c>
      <c r="AG808" s="49">
        <v>1725646.22</v>
      </c>
      <c r="AH808" s="51" t="s">
        <v>104</v>
      </c>
      <c r="AI808" s="51" t="s">
        <v>74</v>
      </c>
      <c r="AJ808" s="51" t="s">
        <v>74</v>
      </c>
      <c r="AK808" s="51" t="s">
        <v>106</v>
      </c>
      <c r="AL808" s="51" t="s">
        <v>74</v>
      </c>
      <c r="AM808" s="51" t="s">
        <v>74</v>
      </c>
      <c r="AN808" s="52">
        <v>0</v>
      </c>
      <c r="AO808" s="52">
        <v>0</v>
      </c>
      <c r="AP808" s="52">
        <v>0</v>
      </c>
      <c r="AQ808" s="52">
        <v>0</v>
      </c>
      <c r="AR808" s="52">
        <v>0</v>
      </c>
      <c r="AS808" s="52">
        <v>0</v>
      </c>
      <c r="AT808" s="53" t="s">
        <v>74</v>
      </c>
      <c r="AU808" s="52">
        <v>0</v>
      </c>
      <c r="AV808" s="52"/>
      <c r="AW808" s="52">
        <v>0</v>
      </c>
      <c r="AX808" s="52"/>
      <c r="AY808" s="52"/>
      <c r="AZ808" s="52">
        <v>0</v>
      </c>
      <c r="BA808" s="52">
        <v>0</v>
      </c>
      <c r="BB808" s="54" t="s">
        <v>74</v>
      </c>
      <c r="BC808" s="53" t="s">
        <v>74</v>
      </c>
      <c r="BD808" s="55" t="s">
        <v>74</v>
      </c>
      <c r="BE808" s="55" t="s">
        <v>74</v>
      </c>
      <c r="BF808" s="55" t="s">
        <v>74</v>
      </c>
      <c r="BG808" s="55" t="s">
        <v>74</v>
      </c>
      <c r="BH808" s="52">
        <v>0</v>
      </c>
      <c r="BI808" s="52">
        <v>3247627.29</v>
      </c>
      <c r="BJ808" s="52">
        <v>3247627.29</v>
      </c>
      <c r="BK808" s="56">
        <v>43191</v>
      </c>
      <c r="BL808" s="57">
        <v>3247627.29</v>
      </c>
      <c r="BM808" s="47">
        <v>0</v>
      </c>
      <c r="BN808" s="9"/>
      <c r="BO808" s="9"/>
      <c r="BP808" s="9"/>
      <c r="BQ808" s="9"/>
      <c r="BR808" s="9"/>
      <c r="BS808" s="9"/>
      <c r="BT808" s="9"/>
      <c r="BU808" s="9"/>
      <c r="BV808" s="9"/>
      <c r="BW808" s="9"/>
    </row>
    <row r="809" spans="1:75" ht="26.25" hidden="1" outlineLevel="2" x14ac:dyDescent="0.25">
      <c r="A809" s="43" t="s">
        <v>795</v>
      </c>
      <c r="B809" s="110" t="s">
        <v>875</v>
      </c>
      <c r="C809" s="45">
        <v>2018</v>
      </c>
      <c r="D809" s="110" t="s">
        <v>81</v>
      </c>
      <c r="E809" s="47">
        <v>4973273.51</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4973273.51</v>
      </c>
      <c r="Z809" s="58">
        <v>1789192.73</v>
      </c>
      <c r="AA809" s="50">
        <v>1789192.73</v>
      </c>
      <c r="AB809" s="50">
        <v>0</v>
      </c>
      <c r="AC809" s="50">
        <v>0</v>
      </c>
      <c r="AD809" s="50">
        <v>47069.74</v>
      </c>
      <c r="AE809" s="50">
        <v>0</v>
      </c>
      <c r="AF809" s="50">
        <v>0</v>
      </c>
      <c r="AG809" s="49">
        <v>1836262.47</v>
      </c>
      <c r="AH809" s="51" t="s">
        <v>104</v>
      </c>
      <c r="AI809" s="51" t="s">
        <v>74</v>
      </c>
      <c r="AJ809" s="51" t="s">
        <v>74</v>
      </c>
      <c r="AK809" s="51" t="s">
        <v>197</v>
      </c>
      <c r="AL809" s="51" t="s">
        <v>74</v>
      </c>
      <c r="AM809" s="51" t="s">
        <v>74</v>
      </c>
      <c r="AN809" s="52">
        <v>0</v>
      </c>
      <c r="AO809" s="52">
        <v>0</v>
      </c>
      <c r="AP809" s="52">
        <v>0</v>
      </c>
      <c r="AQ809" s="52">
        <v>0</v>
      </c>
      <c r="AR809" s="52">
        <v>0</v>
      </c>
      <c r="AS809" s="52">
        <v>0</v>
      </c>
      <c r="AT809" s="53" t="s">
        <v>74</v>
      </c>
      <c r="AU809" s="52">
        <v>0</v>
      </c>
      <c r="AV809" s="52"/>
      <c r="AW809" s="52">
        <v>0</v>
      </c>
      <c r="AX809" s="52"/>
      <c r="AY809" s="52"/>
      <c r="AZ809" s="52">
        <v>0</v>
      </c>
      <c r="BA809" s="52">
        <v>0</v>
      </c>
      <c r="BB809" s="54" t="s">
        <v>74</v>
      </c>
      <c r="BC809" s="53" t="s">
        <v>74</v>
      </c>
      <c r="BD809" s="55" t="s">
        <v>74</v>
      </c>
      <c r="BE809" s="55" t="s">
        <v>74</v>
      </c>
      <c r="BF809" s="55" t="s">
        <v>74</v>
      </c>
      <c r="BG809" s="55" t="s">
        <v>74</v>
      </c>
      <c r="BH809" s="52">
        <v>0</v>
      </c>
      <c r="BI809" s="52">
        <v>3137011.04</v>
      </c>
      <c r="BJ809" s="52">
        <v>3137011.04</v>
      </c>
      <c r="BK809" s="56">
        <v>43221</v>
      </c>
      <c r="BL809" s="57">
        <v>3137011.04</v>
      </c>
      <c r="BM809" s="47">
        <v>0</v>
      </c>
      <c r="BN809" s="9"/>
      <c r="BO809" s="9"/>
      <c r="BP809" s="9"/>
      <c r="BQ809" s="9"/>
      <c r="BR809" s="9"/>
      <c r="BS809" s="9"/>
      <c r="BT809" s="9"/>
      <c r="BU809" s="9"/>
      <c r="BV809" s="9"/>
      <c r="BW809" s="9"/>
    </row>
    <row r="810" spans="1:75" ht="26.25" hidden="1" outlineLevel="2" x14ac:dyDescent="0.25">
      <c r="A810" s="43" t="s">
        <v>795</v>
      </c>
      <c r="B810" s="110" t="s">
        <v>875</v>
      </c>
      <c r="C810" s="45">
        <v>2018</v>
      </c>
      <c r="D810" s="110" t="s">
        <v>83</v>
      </c>
      <c r="E810" s="47">
        <v>4973273.51</v>
      </c>
      <c r="F810" s="47">
        <v>0</v>
      </c>
      <c r="G810" s="47">
        <v>0</v>
      </c>
      <c r="H810" s="47">
        <v>0</v>
      </c>
      <c r="I810" s="47">
        <v>0</v>
      </c>
      <c r="J810" s="47">
        <v>0</v>
      </c>
      <c r="K810" s="47">
        <v>0</v>
      </c>
      <c r="L810" s="47">
        <v>0</v>
      </c>
      <c r="M810" s="47">
        <v>0</v>
      </c>
      <c r="N810" s="47">
        <v>0</v>
      </c>
      <c r="O810" s="47">
        <v>0</v>
      </c>
      <c r="P810" s="47">
        <v>0</v>
      </c>
      <c r="Q810" s="47">
        <v>0</v>
      </c>
      <c r="R810" s="47">
        <v>0</v>
      </c>
      <c r="S810" s="47">
        <v>0</v>
      </c>
      <c r="T810" s="47">
        <v>0</v>
      </c>
      <c r="U810" s="47">
        <v>0</v>
      </c>
      <c r="V810" s="47">
        <v>0</v>
      </c>
      <c r="W810" s="47">
        <v>0</v>
      </c>
      <c r="X810" s="47">
        <v>0</v>
      </c>
      <c r="Y810" s="48">
        <v>4973273.51</v>
      </c>
      <c r="Z810" s="58">
        <v>1707466.52</v>
      </c>
      <c r="AA810" s="50">
        <v>1707466.52</v>
      </c>
      <c r="AB810" s="50">
        <v>0</v>
      </c>
      <c r="AC810" s="50">
        <v>0</v>
      </c>
      <c r="AD810" s="50">
        <v>43087.839999999997</v>
      </c>
      <c r="AE810" s="50">
        <v>0</v>
      </c>
      <c r="AF810" s="50">
        <v>0</v>
      </c>
      <c r="AG810" s="49">
        <v>1750554.36</v>
      </c>
      <c r="AH810" s="51" t="s">
        <v>104</v>
      </c>
      <c r="AI810" s="51" t="s">
        <v>74</v>
      </c>
      <c r="AJ810" s="51" t="s">
        <v>74</v>
      </c>
      <c r="AK810" s="51" t="s">
        <v>112</v>
      </c>
      <c r="AL810" s="51" t="s">
        <v>74</v>
      </c>
      <c r="AM810" s="51" t="s">
        <v>74</v>
      </c>
      <c r="AN810" s="52">
        <v>0</v>
      </c>
      <c r="AO810" s="52">
        <v>0</v>
      </c>
      <c r="AP810" s="52">
        <v>0</v>
      </c>
      <c r="AQ810" s="52">
        <v>0</v>
      </c>
      <c r="AR810" s="52">
        <v>0</v>
      </c>
      <c r="AS810" s="52">
        <v>0</v>
      </c>
      <c r="AT810" s="53" t="s">
        <v>74</v>
      </c>
      <c r="AU810" s="52">
        <v>0</v>
      </c>
      <c r="AV810" s="52"/>
      <c r="AW810" s="52">
        <v>0</v>
      </c>
      <c r="AX810" s="52"/>
      <c r="AY810" s="52"/>
      <c r="AZ810" s="52">
        <v>0</v>
      </c>
      <c r="BA810" s="52">
        <v>0</v>
      </c>
      <c r="BB810" s="54" t="s">
        <v>74</v>
      </c>
      <c r="BC810" s="53" t="s">
        <v>74</v>
      </c>
      <c r="BD810" s="55" t="s">
        <v>74</v>
      </c>
      <c r="BE810" s="55" t="s">
        <v>74</v>
      </c>
      <c r="BF810" s="55" t="s">
        <v>74</v>
      </c>
      <c r="BG810" s="55" t="s">
        <v>74</v>
      </c>
      <c r="BH810" s="52">
        <v>0</v>
      </c>
      <c r="BI810" s="52">
        <v>3222719.15</v>
      </c>
      <c r="BJ810" s="52">
        <v>3222719.15</v>
      </c>
      <c r="BK810" s="56">
        <v>43252</v>
      </c>
      <c r="BL810" s="57">
        <v>3222719.15</v>
      </c>
      <c r="BM810" s="47">
        <v>0</v>
      </c>
      <c r="BN810" s="9"/>
      <c r="BO810" s="9"/>
      <c r="BP810" s="9"/>
      <c r="BQ810" s="9"/>
      <c r="BR810" s="9"/>
      <c r="BS810" s="9"/>
      <c r="BT810" s="9"/>
      <c r="BU810" s="9"/>
      <c r="BV810" s="9"/>
      <c r="BW810" s="9"/>
    </row>
    <row r="811" spans="1:75" ht="26.25" hidden="1" outlineLevel="2" x14ac:dyDescent="0.25">
      <c r="A811" s="43" t="s">
        <v>795</v>
      </c>
      <c r="B811" s="110" t="s">
        <v>875</v>
      </c>
      <c r="C811" s="45">
        <v>2018</v>
      </c>
      <c r="D811" s="110" t="s">
        <v>84</v>
      </c>
      <c r="E811" s="47">
        <v>4973273.51</v>
      </c>
      <c r="F811" s="47">
        <v>0</v>
      </c>
      <c r="G811" s="47">
        <v>0</v>
      </c>
      <c r="H811" s="47">
        <v>0</v>
      </c>
      <c r="I811" s="47">
        <v>0</v>
      </c>
      <c r="J811" s="47">
        <v>0</v>
      </c>
      <c r="K811" s="47">
        <v>0</v>
      </c>
      <c r="L811" s="47">
        <v>0</v>
      </c>
      <c r="M811" s="47">
        <v>0</v>
      </c>
      <c r="N811" s="47">
        <v>0</v>
      </c>
      <c r="O811" s="47">
        <v>0</v>
      </c>
      <c r="P811" s="47">
        <v>0</v>
      </c>
      <c r="Q811" s="47">
        <v>0</v>
      </c>
      <c r="R811" s="47">
        <v>0</v>
      </c>
      <c r="S811" s="47">
        <v>0</v>
      </c>
      <c r="T811" s="47">
        <v>0</v>
      </c>
      <c r="U811" s="47">
        <v>0</v>
      </c>
      <c r="V811" s="47">
        <v>0</v>
      </c>
      <c r="W811" s="47">
        <v>0</v>
      </c>
      <c r="X811" s="47">
        <v>0</v>
      </c>
      <c r="Y811" s="48">
        <v>4973273.51</v>
      </c>
      <c r="Z811" s="58">
        <v>1681650.92</v>
      </c>
      <c r="AA811" s="50">
        <v>1681650.92</v>
      </c>
      <c r="AB811" s="50">
        <v>0</v>
      </c>
      <c r="AC811" s="50">
        <v>0</v>
      </c>
      <c r="AD811" s="50">
        <v>38604.11</v>
      </c>
      <c r="AE811" s="50">
        <v>0</v>
      </c>
      <c r="AF811" s="50">
        <v>0</v>
      </c>
      <c r="AG811" s="49">
        <v>1720255.03</v>
      </c>
      <c r="AH811" s="51" t="s">
        <v>104</v>
      </c>
      <c r="AI811" s="51" t="s">
        <v>74</v>
      </c>
      <c r="AJ811" s="51" t="s">
        <v>74</v>
      </c>
      <c r="AK811" s="51" t="s">
        <v>115</v>
      </c>
      <c r="AL811" s="51" t="s">
        <v>74</v>
      </c>
      <c r="AM811" s="51" t="s">
        <v>74</v>
      </c>
      <c r="AN811" s="52">
        <v>0</v>
      </c>
      <c r="AO811" s="52">
        <v>0</v>
      </c>
      <c r="AP811" s="52">
        <v>0</v>
      </c>
      <c r="AQ811" s="52">
        <v>0</v>
      </c>
      <c r="AR811" s="52">
        <v>0</v>
      </c>
      <c r="AS811" s="52">
        <v>0</v>
      </c>
      <c r="AT811" s="53" t="s">
        <v>74</v>
      </c>
      <c r="AU811" s="52">
        <v>0</v>
      </c>
      <c r="AV811" s="52"/>
      <c r="AW811" s="52">
        <v>0</v>
      </c>
      <c r="AX811" s="52"/>
      <c r="AY811" s="52"/>
      <c r="AZ811" s="52">
        <v>0</v>
      </c>
      <c r="BA811" s="52">
        <v>0</v>
      </c>
      <c r="BB811" s="54" t="s">
        <v>74</v>
      </c>
      <c r="BC811" s="53" t="s">
        <v>74</v>
      </c>
      <c r="BD811" s="55" t="s">
        <v>74</v>
      </c>
      <c r="BE811" s="55" t="s">
        <v>74</v>
      </c>
      <c r="BF811" s="55" t="s">
        <v>74</v>
      </c>
      <c r="BG811" s="55" t="s">
        <v>74</v>
      </c>
      <c r="BH811" s="52">
        <v>0</v>
      </c>
      <c r="BI811" s="52">
        <v>3253018.48</v>
      </c>
      <c r="BJ811" s="52">
        <v>3253018.48</v>
      </c>
      <c r="BK811" s="56">
        <v>43282</v>
      </c>
      <c r="BL811" s="57">
        <v>3253018.48</v>
      </c>
      <c r="BM811" s="47">
        <v>0</v>
      </c>
      <c r="BN811" s="9"/>
      <c r="BO811" s="9"/>
      <c r="BP811" s="9"/>
      <c r="BQ811" s="9"/>
      <c r="BR811" s="9"/>
      <c r="BS811" s="9"/>
      <c r="BT811" s="9"/>
      <c r="BU811" s="9"/>
      <c r="BV811" s="9"/>
      <c r="BW811" s="9"/>
    </row>
    <row r="812" spans="1:75" ht="26.25" hidden="1" outlineLevel="2" x14ac:dyDescent="0.25">
      <c r="A812" s="43" t="s">
        <v>795</v>
      </c>
      <c r="B812" s="110" t="s">
        <v>875</v>
      </c>
      <c r="C812" s="45">
        <v>2018</v>
      </c>
      <c r="D812" s="110" t="s">
        <v>86</v>
      </c>
      <c r="E812" s="47">
        <v>4973273.51</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4973273.51</v>
      </c>
      <c r="Z812" s="58">
        <v>1731047.79</v>
      </c>
      <c r="AA812" s="50">
        <v>1731047.79</v>
      </c>
      <c r="AB812" s="50">
        <v>0</v>
      </c>
      <c r="AC812" s="50">
        <v>0</v>
      </c>
      <c r="AD812" s="50">
        <v>37398.9</v>
      </c>
      <c r="AE812" s="50">
        <v>0</v>
      </c>
      <c r="AF812" s="50">
        <v>0</v>
      </c>
      <c r="AG812" s="49">
        <v>1768446.69</v>
      </c>
      <c r="AH812" s="51" t="s">
        <v>104</v>
      </c>
      <c r="AI812" s="51" t="s">
        <v>74</v>
      </c>
      <c r="AJ812" s="51" t="s">
        <v>74</v>
      </c>
      <c r="AK812" s="51" t="s">
        <v>118</v>
      </c>
      <c r="AL812" s="51" t="s">
        <v>74</v>
      </c>
      <c r="AM812" s="51" t="s">
        <v>74</v>
      </c>
      <c r="AN812" s="52">
        <v>0</v>
      </c>
      <c r="AO812" s="52">
        <v>0</v>
      </c>
      <c r="AP812" s="52">
        <v>0</v>
      </c>
      <c r="AQ812" s="52">
        <v>0</v>
      </c>
      <c r="AR812" s="52">
        <v>0</v>
      </c>
      <c r="AS812" s="52">
        <v>0</v>
      </c>
      <c r="AT812" s="53" t="s">
        <v>74</v>
      </c>
      <c r="AU812" s="52">
        <v>0</v>
      </c>
      <c r="AV812" s="52"/>
      <c r="AW812" s="52">
        <v>0</v>
      </c>
      <c r="AX812" s="52"/>
      <c r="AY812" s="52"/>
      <c r="AZ812" s="52">
        <v>0</v>
      </c>
      <c r="BA812" s="52">
        <v>0</v>
      </c>
      <c r="BB812" s="54" t="s">
        <v>74</v>
      </c>
      <c r="BC812" s="53" t="s">
        <v>74</v>
      </c>
      <c r="BD812" s="55" t="s">
        <v>74</v>
      </c>
      <c r="BE812" s="55" t="s">
        <v>74</v>
      </c>
      <c r="BF812" s="55" t="s">
        <v>74</v>
      </c>
      <c r="BG812" s="55" t="s">
        <v>74</v>
      </c>
      <c r="BH812" s="52">
        <v>0</v>
      </c>
      <c r="BI812" s="52">
        <v>3204826.82</v>
      </c>
      <c r="BJ812" s="52">
        <v>3204826.82</v>
      </c>
      <c r="BK812" s="56">
        <v>43313</v>
      </c>
      <c r="BL812" s="57">
        <v>3204826.82</v>
      </c>
      <c r="BM812" s="47">
        <v>0</v>
      </c>
      <c r="BN812" s="9"/>
      <c r="BO812" s="9"/>
      <c r="BP812" s="9"/>
      <c r="BQ812" s="9"/>
      <c r="BR812" s="9"/>
      <c r="BS812" s="9"/>
      <c r="BT812" s="9"/>
      <c r="BU812" s="9"/>
      <c r="BV812" s="9"/>
      <c r="BW812" s="9"/>
    </row>
    <row r="813" spans="1:75" ht="217.5" hidden="1" outlineLevel="2" x14ac:dyDescent="0.25">
      <c r="A813" s="43" t="s">
        <v>795</v>
      </c>
      <c r="B813" s="110" t="s">
        <v>875</v>
      </c>
      <c r="C813" s="45">
        <v>2018</v>
      </c>
      <c r="D813" s="110" t="s">
        <v>88</v>
      </c>
      <c r="E813" s="47">
        <v>4973273.51</v>
      </c>
      <c r="F813" s="47">
        <v>0</v>
      </c>
      <c r="G813" s="47">
        <v>0</v>
      </c>
      <c r="H813" s="47">
        <v>0</v>
      </c>
      <c r="I813" s="47">
        <v>0</v>
      </c>
      <c r="J813" s="47">
        <v>0</v>
      </c>
      <c r="K813" s="47">
        <v>0</v>
      </c>
      <c r="L813" s="47">
        <v>0</v>
      </c>
      <c r="M813" s="47">
        <v>0</v>
      </c>
      <c r="N813" s="47">
        <v>0</v>
      </c>
      <c r="O813" s="47">
        <v>0</v>
      </c>
      <c r="P813" s="47">
        <v>0</v>
      </c>
      <c r="Q813" s="47">
        <v>0</v>
      </c>
      <c r="R813" s="47">
        <v>0</v>
      </c>
      <c r="S813" s="47">
        <v>0</v>
      </c>
      <c r="T813" s="47">
        <v>0</v>
      </c>
      <c r="U813" s="47">
        <v>0</v>
      </c>
      <c r="V813" s="47">
        <v>0</v>
      </c>
      <c r="W813" s="47">
        <v>0</v>
      </c>
      <c r="X813" s="47">
        <v>0</v>
      </c>
      <c r="Y813" s="48">
        <v>4973273.51</v>
      </c>
      <c r="Z813" s="58">
        <v>1648576.15</v>
      </c>
      <c r="AA813" s="50">
        <v>1648576.15</v>
      </c>
      <c r="AB813" s="50">
        <v>0</v>
      </c>
      <c r="AC813" s="50">
        <v>0</v>
      </c>
      <c r="AD813" s="50">
        <v>41402.01</v>
      </c>
      <c r="AE813" s="50">
        <v>0</v>
      </c>
      <c r="AF813" s="50">
        <v>9485.16</v>
      </c>
      <c r="AG813" s="49">
        <v>1699463.32</v>
      </c>
      <c r="AH813" s="51" t="s">
        <v>104</v>
      </c>
      <c r="AI813" s="51" t="s">
        <v>74</v>
      </c>
      <c r="AJ813" s="51" t="s">
        <v>74</v>
      </c>
      <c r="AK813" s="51" t="s">
        <v>121</v>
      </c>
      <c r="AL813" s="51" t="s">
        <v>74</v>
      </c>
      <c r="AM813" s="51" t="s">
        <v>876</v>
      </c>
      <c r="AN813" s="52">
        <v>0</v>
      </c>
      <c r="AO813" s="52">
        <v>0</v>
      </c>
      <c r="AP813" s="52"/>
      <c r="AQ813" s="52"/>
      <c r="AR813" s="52"/>
      <c r="AS813" s="52">
        <v>0</v>
      </c>
      <c r="AT813" s="53" t="s">
        <v>74</v>
      </c>
      <c r="AU813" s="52">
        <v>9485.16</v>
      </c>
      <c r="AV813" s="52"/>
      <c r="AW813" s="52">
        <v>0</v>
      </c>
      <c r="AX813" s="52"/>
      <c r="AY813" s="52"/>
      <c r="AZ813" s="52">
        <v>0</v>
      </c>
      <c r="BA813" s="52">
        <v>9485.16</v>
      </c>
      <c r="BB813" s="55" t="s">
        <v>877</v>
      </c>
      <c r="BC813" s="51" t="s">
        <v>74</v>
      </c>
      <c r="BD813" s="54" t="s">
        <v>74</v>
      </c>
      <c r="BE813" s="54" t="s">
        <v>74</v>
      </c>
      <c r="BF813" s="54" t="s">
        <v>74</v>
      </c>
      <c r="BG813" s="54" t="s">
        <v>74</v>
      </c>
      <c r="BH813" s="52">
        <v>9485.16</v>
      </c>
      <c r="BI813" s="52">
        <v>3283295.35</v>
      </c>
      <c r="BJ813" s="52">
        <v>3283295.35</v>
      </c>
      <c r="BK813" s="56">
        <v>43344</v>
      </c>
      <c r="BL813" s="57">
        <v>3283295.35</v>
      </c>
      <c r="BM813" s="47">
        <v>0</v>
      </c>
      <c r="BN813" s="9"/>
      <c r="BO813" s="9"/>
      <c r="BP813" s="9"/>
      <c r="BQ813" s="9"/>
      <c r="BR813" s="9"/>
      <c r="BS813" s="9"/>
      <c r="BT813" s="9"/>
      <c r="BU813" s="9"/>
      <c r="BV813" s="9"/>
      <c r="BW813" s="9"/>
    </row>
    <row r="814" spans="1:75" ht="26.25" hidden="1" outlineLevel="2" x14ac:dyDescent="0.25">
      <c r="A814" s="43" t="s">
        <v>795</v>
      </c>
      <c r="B814" s="110" t="s">
        <v>875</v>
      </c>
      <c r="C814" s="45">
        <v>2018</v>
      </c>
      <c r="D814" s="110" t="s">
        <v>89</v>
      </c>
      <c r="E814" s="47">
        <v>4973273.51</v>
      </c>
      <c r="F814" s="47">
        <v>0</v>
      </c>
      <c r="G814" s="47">
        <v>0</v>
      </c>
      <c r="H814" s="47">
        <v>0</v>
      </c>
      <c r="I814" s="47">
        <v>0</v>
      </c>
      <c r="J814" s="47">
        <v>0</v>
      </c>
      <c r="K814" s="47">
        <v>0</v>
      </c>
      <c r="L814" s="47">
        <v>0</v>
      </c>
      <c r="M814" s="47">
        <v>0</v>
      </c>
      <c r="N814" s="47">
        <v>0</v>
      </c>
      <c r="O814" s="47">
        <v>0</v>
      </c>
      <c r="P814" s="47">
        <v>0</v>
      </c>
      <c r="Q814" s="47">
        <v>0</v>
      </c>
      <c r="R814" s="47">
        <v>0</v>
      </c>
      <c r="S814" s="47">
        <v>0</v>
      </c>
      <c r="T814" s="47">
        <v>0</v>
      </c>
      <c r="U814" s="47">
        <v>0</v>
      </c>
      <c r="V814" s="47">
        <v>0</v>
      </c>
      <c r="W814" s="47">
        <v>0</v>
      </c>
      <c r="X814" s="47">
        <v>0</v>
      </c>
      <c r="Y814" s="48">
        <v>4973273.51</v>
      </c>
      <c r="Z814" s="58">
        <v>1687344.84</v>
      </c>
      <c r="AA814" s="50">
        <v>1687344.84</v>
      </c>
      <c r="AB814" s="50">
        <v>0</v>
      </c>
      <c r="AC814" s="50">
        <v>0</v>
      </c>
      <c r="AD814" s="50">
        <v>39177.120000000003</v>
      </c>
      <c r="AE814" s="50">
        <v>0</v>
      </c>
      <c r="AF814" s="50">
        <v>0</v>
      </c>
      <c r="AG814" s="49">
        <v>1726521.96</v>
      </c>
      <c r="AH814" s="51" t="s">
        <v>104</v>
      </c>
      <c r="AI814" s="51" t="s">
        <v>74</v>
      </c>
      <c r="AJ814" s="51" t="s">
        <v>74</v>
      </c>
      <c r="AK814" s="51" t="s">
        <v>124</v>
      </c>
      <c r="AL814" s="51" t="s">
        <v>74</v>
      </c>
      <c r="AM814" s="51" t="s">
        <v>74</v>
      </c>
      <c r="AN814" s="52">
        <v>0</v>
      </c>
      <c r="AO814" s="52">
        <v>0</v>
      </c>
      <c r="AP814" s="52">
        <v>0</v>
      </c>
      <c r="AQ814" s="52">
        <v>0</v>
      </c>
      <c r="AR814" s="52">
        <v>0</v>
      </c>
      <c r="AS814" s="52">
        <v>0</v>
      </c>
      <c r="AT814" s="53" t="s">
        <v>74</v>
      </c>
      <c r="AU814" s="52">
        <v>0</v>
      </c>
      <c r="AV814" s="52"/>
      <c r="AW814" s="52">
        <v>0</v>
      </c>
      <c r="AX814" s="52"/>
      <c r="AY814" s="52"/>
      <c r="AZ814" s="52">
        <v>0</v>
      </c>
      <c r="BA814" s="52">
        <v>0</v>
      </c>
      <c r="BB814" s="54" t="s">
        <v>74</v>
      </c>
      <c r="BC814" s="53" t="s">
        <v>74</v>
      </c>
      <c r="BD814" s="55" t="s">
        <v>74</v>
      </c>
      <c r="BE814" s="55" t="s">
        <v>74</v>
      </c>
      <c r="BF814" s="55" t="s">
        <v>74</v>
      </c>
      <c r="BG814" s="55" t="s">
        <v>74</v>
      </c>
      <c r="BH814" s="52">
        <v>0</v>
      </c>
      <c r="BI814" s="52">
        <v>3246751.55</v>
      </c>
      <c r="BJ814" s="52">
        <v>3246751.55</v>
      </c>
      <c r="BK814" s="56">
        <v>43374</v>
      </c>
      <c r="BL814" s="57">
        <v>3246751.55</v>
      </c>
      <c r="BM814" s="47">
        <v>0</v>
      </c>
      <c r="BN814" s="9"/>
      <c r="BO814" s="9"/>
      <c r="BP814" s="9"/>
      <c r="BQ814" s="9"/>
      <c r="BR814" s="9"/>
      <c r="BS814" s="9"/>
      <c r="BT814" s="9"/>
      <c r="BU814" s="9"/>
      <c r="BV814" s="9"/>
      <c r="BW814" s="9"/>
    </row>
    <row r="815" spans="1:75" ht="51.75" hidden="1" outlineLevel="2" x14ac:dyDescent="0.25">
      <c r="A815" s="43" t="s">
        <v>795</v>
      </c>
      <c r="B815" s="110" t="s">
        <v>875</v>
      </c>
      <c r="C815" s="45">
        <v>2018</v>
      </c>
      <c r="D815" s="110" t="s">
        <v>90</v>
      </c>
      <c r="E815" s="47">
        <v>4973273.51</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4973273.51</v>
      </c>
      <c r="Z815" s="58">
        <v>1719794.02</v>
      </c>
      <c r="AA815" s="50">
        <v>1719794.02</v>
      </c>
      <c r="AB815" s="50">
        <v>0</v>
      </c>
      <c r="AC815" s="50">
        <v>0</v>
      </c>
      <c r="AD815" s="50">
        <v>47922.85</v>
      </c>
      <c r="AE815" s="50">
        <v>1230188.31</v>
      </c>
      <c r="AF815" s="50">
        <v>0</v>
      </c>
      <c r="AG815" s="49">
        <v>2997905.18</v>
      </c>
      <c r="AH815" s="51" t="s">
        <v>104</v>
      </c>
      <c r="AI815" s="51" t="s">
        <v>74</v>
      </c>
      <c r="AJ815" s="51" t="s">
        <v>74</v>
      </c>
      <c r="AK815" s="51" t="s">
        <v>126</v>
      </c>
      <c r="AL815" s="51" t="s">
        <v>878</v>
      </c>
      <c r="AM815" s="51" t="s">
        <v>74</v>
      </c>
      <c r="AN815" s="52">
        <v>0</v>
      </c>
      <c r="AO815" s="52">
        <v>0</v>
      </c>
      <c r="AP815" s="52">
        <v>0</v>
      </c>
      <c r="AQ815" s="52">
        <v>0</v>
      </c>
      <c r="AR815" s="52">
        <v>0</v>
      </c>
      <c r="AS815" s="52">
        <v>0</v>
      </c>
      <c r="AT815" s="53" t="s">
        <v>74</v>
      </c>
      <c r="AU815" s="52">
        <v>0</v>
      </c>
      <c r="AV815" s="52"/>
      <c r="AW815" s="52">
        <v>0</v>
      </c>
      <c r="AX815" s="52"/>
      <c r="AY815" s="52"/>
      <c r="AZ815" s="52">
        <v>0</v>
      </c>
      <c r="BA815" s="52">
        <v>0</v>
      </c>
      <c r="BB815" s="54" t="s">
        <v>74</v>
      </c>
      <c r="BC815" s="53" t="s">
        <v>74</v>
      </c>
      <c r="BD815" s="55" t="s">
        <v>74</v>
      </c>
      <c r="BE815" s="55" t="s">
        <v>74</v>
      </c>
      <c r="BF815" s="55" t="s">
        <v>74</v>
      </c>
      <c r="BG815" s="55" t="s">
        <v>74</v>
      </c>
      <c r="BH815" s="52">
        <v>0</v>
      </c>
      <c r="BI815" s="52">
        <v>1975368.33</v>
      </c>
      <c r="BJ815" s="52">
        <v>1975368.33</v>
      </c>
      <c r="BK815" s="56">
        <v>43405</v>
      </c>
      <c r="BL815" s="57">
        <v>1975368.33</v>
      </c>
      <c r="BM815" s="47">
        <v>0</v>
      </c>
      <c r="BN815" s="9"/>
      <c r="BO815" s="9"/>
      <c r="BP815" s="9"/>
      <c r="BQ815" s="9"/>
      <c r="BR815" s="9"/>
      <c r="BS815" s="9"/>
      <c r="BT815" s="9"/>
      <c r="BU815" s="9"/>
      <c r="BV815" s="9"/>
      <c r="BW815" s="9"/>
    </row>
    <row r="816" spans="1:75" ht="90" hidden="1" outlineLevel="2" x14ac:dyDescent="0.25">
      <c r="A816" s="43" t="s">
        <v>795</v>
      </c>
      <c r="B816" s="110" t="s">
        <v>875</v>
      </c>
      <c r="C816" s="45">
        <v>2018</v>
      </c>
      <c r="D816" s="110" t="s">
        <v>93</v>
      </c>
      <c r="E816" s="47">
        <v>4973273.51</v>
      </c>
      <c r="F816" s="47">
        <v>0</v>
      </c>
      <c r="G816" s="47">
        <v>0</v>
      </c>
      <c r="H816" s="47">
        <v>0</v>
      </c>
      <c r="I816" s="47">
        <v>0</v>
      </c>
      <c r="J816" s="47">
        <v>0</v>
      </c>
      <c r="K816" s="47">
        <v>0</v>
      </c>
      <c r="L816" s="47">
        <v>0</v>
      </c>
      <c r="M816" s="47">
        <v>0</v>
      </c>
      <c r="N816" s="47">
        <v>0</v>
      </c>
      <c r="O816" s="47">
        <v>0</v>
      </c>
      <c r="P816" s="47">
        <v>0</v>
      </c>
      <c r="Q816" s="47">
        <v>0</v>
      </c>
      <c r="R816" s="47">
        <v>0</v>
      </c>
      <c r="S816" s="47">
        <v>0</v>
      </c>
      <c r="T816" s="47">
        <v>0</v>
      </c>
      <c r="U816" s="47">
        <v>0</v>
      </c>
      <c r="V816" s="47">
        <v>0</v>
      </c>
      <c r="W816" s="47">
        <v>0</v>
      </c>
      <c r="X816" s="47">
        <v>0</v>
      </c>
      <c r="Y816" s="48">
        <v>4973273.51</v>
      </c>
      <c r="Z816" s="58">
        <v>1609319.18</v>
      </c>
      <c r="AA816" s="50">
        <v>1609319.18</v>
      </c>
      <c r="AB816" s="50">
        <v>0</v>
      </c>
      <c r="AC816" s="50">
        <v>0</v>
      </c>
      <c r="AD816" s="50">
        <v>42833.99</v>
      </c>
      <c r="AE816" s="50">
        <v>1858214.54</v>
      </c>
      <c r="AF816" s="50">
        <v>0</v>
      </c>
      <c r="AG816" s="49">
        <v>3510367.71</v>
      </c>
      <c r="AH816" s="51" t="s">
        <v>104</v>
      </c>
      <c r="AI816" s="51" t="s">
        <v>74</v>
      </c>
      <c r="AJ816" s="51" t="s">
        <v>74</v>
      </c>
      <c r="AK816" s="51" t="s">
        <v>128</v>
      </c>
      <c r="AL816" s="51" t="s">
        <v>879</v>
      </c>
      <c r="AM816" s="51" t="s">
        <v>74</v>
      </c>
      <c r="AN816" s="52">
        <v>0</v>
      </c>
      <c r="AO816" s="52">
        <v>0</v>
      </c>
      <c r="AP816" s="52">
        <v>0</v>
      </c>
      <c r="AQ816" s="52">
        <v>0</v>
      </c>
      <c r="AR816" s="52">
        <v>0</v>
      </c>
      <c r="AS816" s="52">
        <v>0</v>
      </c>
      <c r="AT816" s="53" t="s">
        <v>74</v>
      </c>
      <c r="AU816" s="52">
        <v>0</v>
      </c>
      <c r="AV816" s="52"/>
      <c r="AW816" s="52">
        <v>0</v>
      </c>
      <c r="AX816" s="52"/>
      <c r="AY816" s="52"/>
      <c r="AZ816" s="52">
        <v>0</v>
      </c>
      <c r="BA816" s="52">
        <v>0</v>
      </c>
      <c r="BB816" s="54" t="s">
        <v>74</v>
      </c>
      <c r="BC816" s="53" t="s">
        <v>74</v>
      </c>
      <c r="BD816" s="55" t="s">
        <v>74</v>
      </c>
      <c r="BE816" s="55" t="s">
        <v>74</v>
      </c>
      <c r="BF816" s="55" t="s">
        <v>74</v>
      </c>
      <c r="BG816" s="55" t="s">
        <v>74</v>
      </c>
      <c r="BH816" s="52">
        <v>0</v>
      </c>
      <c r="BI816" s="52">
        <v>1462905.8</v>
      </c>
      <c r="BJ816" s="52">
        <v>1462905.8</v>
      </c>
      <c r="BK816" s="56">
        <v>43435</v>
      </c>
      <c r="BL816" s="57">
        <v>1462905.8</v>
      </c>
      <c r="BM816" s="47">
        <v>0</v>
      </c>
      <c r="BN816" s="9"/>
      <c r="BO816" s="9"/>
      <c r="BP816" s="9"/>
      <c r="BQ816" s="9"/>
      <c r="BR816" s="9"/>
      <c r="BS816" s="9"/>
      <c r="BT816" s="9"/>
      <c r="BU816" s="9"/>
      <c r="BV816" s="9"/>
      <c r="BW816" s="9"/>
    </row>
    <row r="817" spans="1:75" ht="64.5" hidden="1" outlineLevel="2" x14ac:dyDescent="0.25">
      <c r="A817" s="43" t="s">
        <v>795</v>
      </c>
      <c r="B817" s="110" t="s">
        <v>875</v>
      </c>
      <c r="C817" s="45">
        <v>2019</v>
      </c>
      <c r="D817" s="110" t="s">
        <v>73</v>
      </c>
      <c r="E817" s="47">
        <v>4973273.51</v>
      </c>
      <c r="F817" s="47">
        <v>0</v>
      </c>
      <c r="G817" s="47">
        <v>0</v>
      </c>
      <c r="H817" s="47">
        <v>0</v>
      </c>
      <c r="I817" s="47">
        <v>0</v>
      </c>
      <c r="J817" s="47">
        <v>0</v>
      </c>
      <c r="K817" s="47">
        <v>0</v>
      </c>
      <c r="L817" s="47">
        <v>0</v>
      </c>
      <c r="M817" s="47">
        <v>0</v>
      </c>
      <c r="N817" s="47">
        <v>0</v>
      </c>
      <c r="O817" s="47">
        <v>0</v>
      </c>
      <c r="P817" s="47">
        <v>0</v>
      </c>
      <c r="Q817" s="47">
        <v>0</v>
      </c>
      <c r="R817" s="47">
        <v>0</v>
      </c>
      <c r="S817" s="47">
        <v>0</v>
      </c>
      <c r="T817" s="47">
        <v>0</v>
      </c>
      <c r="U817" s="47">
        <v>0</v>
      </c>
      <c r="V817" s="47">
        <v>0</v>
      </c>
      <c r="W817" s="47">
        <v>0</v>
      </c>
      <c r="X817" s="47">
        <v>0</v>
      </c>
      <c r="Y817" s="48">
        <v>4973273.51</v>
      </c>
      <c r="Z817" s="58">
        <v>1616605.61</v>
      </c>
      <c r="AA817" s="50">
        <v>1616605.61</v>
      </c>
      <c r="AB817" s="50">
        <v>0</v>
      </c>
      <c r="AC817" s="50">
        <v>0</v>
      </c>
      <c r="AD817" s="50">
        <v>66428.53</v>
      </c>
      <c r="AE817" s="50">
        <v>0</v>
      </c>
      <c r="AF817" s="50">
        <v>0</v>
      </c>
      <c r="AG817" s="49">
        <v>1683034.14</v>
      </c>
      <c r="AH817" s="51" t="s">
        <v>104</v>
      </c>
      <c r="AI817" s="51" t="s">
        <v>74</v>
      </c>
      <c r="AJ817" s="51" t="s">
        <v>74</v>
      </c>
      <c r="AK817" s="51" t="s">
        <v>880</v>
      </c>
      <c r="AL817" s="51" t="s">
        <v>74</v>
      </c>
      <c r="AM817" s="51" t="s">
        <v>74</v>
      </c>
      <c r="AN817" s="52">
        <v>0</v>
      </c>
      <c r="AO817" s="52">
        <v>0</v>
      </c>
      <c r="AP817" s="52">
        <v>0</v>
      </c>
      <c r="AQ817" s="52">
        <v>0</v>
      </c>
      <c r="AR817" s="52">
        <v>0</v>
      </c>
      <c r="AS817" s="52">
        <v>0</v>
      </c>
      <c r="AT817" s="53" t="s">
        <v>74</v>
      </c>
      <c r="AU817" s="52">
        <v>0</v>
      </c>
      <c r="AV817" s="52"/>
      <c r="AW817" s="52">
        <v>0</v>
      </c>
      <c r="AX817" s="52"/>
      <c r="AY817" s="52"/>
      <c r="AZ817" s="52">
        <v>0</v>
      </c>
      <c r="BA817" s="52">
        <v>0</v>
      </c>
      <c r="BB817" s="54" t="s">
        <v>74</v>
      </c>
      <c r="BC817" s="53" t="s">
        <v>74</v>
      </c>
      <c r="BD817" s="55" t="s">
        <v>74</v>
      </c>
      <c r="BE817" s="55" t="s">
        <v>74</v>
      </c>
      <c r="BF817" s="55" t="s">
        <v>74</v>
      </c>
      <c r="BG817" s="55" t="s">
        <v>74</v>
      </c>
      <c r="BH817" s="52">
        <v>0</v>
      </c>
      <c r="BI817" s="52">
        <v>3290239.37</v>
      </c>
      <c r="BJ817" s="52">
        <v>3290239.37</v>
      </c>
      <c r="BK817" s="56">
        <v>43466</v>
      </c>
      <c r="BL817" s="57">
        <v>3290239.37</v>
      </c>
      <c r="BM817" s="47">
        <v>0</v>
      </c>
      <c r="BN817" s="9"/>
      <c r="BO817" s="9"/>
      <c r="BP817" s="9"/>
      <c r="BQ817" s="9"/>
      <c r="BR817" s="9"/>
      <c r="BS817" s="9"/>
      <c r="BT817" s="9"/>
      <c r="BU817" s="9"/>
      <c r="BV817" s="9"/>
      <c r="BW817" s="9"/>
    </row>
    <row r="818" spans="1:75" ht="26.25" hidden="1" outlineLevel="2" x14ac:dyDescent="0.25">
      <c r="A818" s="43" t="s">
        <v>795</v>
      </c>
      <c r="B818" s="110" t="s">
        <v>875</v>
      </c>
      <c r="C818" s="45">
        <v>2019</v>
      </c>
      <c r="D818" s="110" t="s">
        <v>75</v>
      </c>
      <c r="E818" s="47">
        <v>4973273.51</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4973273.51</v>
      </c>
      <c r="Z818" s="58">
        <v>1629325.16</v>
      </c>
      <c r="AA818" s="50">
        <v>1629325.16</v>
      </c>
      <c r="AB818" s="50">
        <v>0</v>
      </c>
      <c r="AC818" s="50">
        <v>0</v>
      </c>
      <c r="AD818" s="50">
        <v>0</v>
      </c>
      <c r="AE818" s="50">
        <v>0</v>
      </c>
      <c r="AF818" s="50">
        <v>0</v>
      </c>
      <c r="AG818" s="49">
        <v>1629325.16</v>
      </c>
      <c r="AH818" s="51" t="s">
        <v>104</v>
      </c>
      <c r="AI818" s="51" t="s">
        <v>74</v>
      </c>
      <c r="AJ818" s="51" t="s">
        <v>74</v>
      </c>
      <c r="AK818" s="51" t="s">
        <v>74</v>
      </c>
      <c r="AL818" s="51" t="s">
        <v>74</v>
      </c>
      <c r="AM818" s="51" t="s">
        <v>74</v>
      </c>
      <c r="AN818" s="52">
        <v>0</v>
      </c>
      <c r="AO818" s="52">
        <v>0</v>
      </c>
      <c r="AP818" s="52">
        <v>0</v>
      </c>
      <c r="AQ818" s="52">
        <v>0</v>
      </c>
      <c r="AR818" s="52">
        <v>0</v>
      </c>
      <c r="AS818" s="52">
        <v>0</v>
      </c>
      <c r="AT818" s="53" t="s">
        <v>74</v>
      </c>
      <c r="AU818" s="52">
        <v>0</v>
      </c>
      <c r="AV818" s="52"/>
      <c r="AW818" s="52">
        <v>0</v>
      </c>
      <c r="AX818" s="52"/>
      <c r="AY818" s="52"/>
      <c r="AZ818" s="52">
        <v>0</v>
      </c>
      <c r="BA818" s="52">
        <v>0</v>
      </c>
      <c r="BB818" s="54" t="s">
        <v>74</v>
      </c>
      <c r="BC818" s="53" t="s">
        <v>74</v>
      </c>
      <c r="BD818" s="55" t="s">
        <v>74</v>
      </c>
      <c r="BE818" s="55" t="s">
        <v>74</v>
      </c>
      <c r="BF818" s="55" t="s">
        <v>74</v>
      </c>
      <c r="BG818" s="55" t="s">
        <v>74</v>
      </c>
      <c r="BH818" s="52">
        <v>0</v>
      </c>
      <c r="BI818" s="52">
        <v>3343948.35</v>
      </c>
      <c r="BJ818" s="52">
        <v>3343948.35</v>
      </c>
      <c r="BK818" s="56">
        <v>43497</v>
      </c>
      <c r="BL818" s="57">
        <v>3343948.35</v>
      </c>
      <c r="BM818" s="47">
        <v>0</v>
      </c>
      <c r="BN818" s="9"/>
      <c r="BO818" s="9"/>
      <c r="BP818" s="9"/>
      <c r="BQ818" s="9"/>
      <c r="BR818" s="9"/>
      <c r="BS818" s="9"/>
      <c r="BT818" s="9"/>
      <c r="BU818" s="9"/>
      <c r="BV818" s="9"/>
      <c r="BW818" s="9"/>
    </row>
    <row r="819" spans="1:75" ht="26.25" hidden="1" outlineLevel="2" x14ac:dyDescent="0.25">
      <c r="A819" s="43" t="s">
        <v>795</v>
      </c>
      <c r="B819" s="110" t="s">
        <v>875</v>
      </c>
      <c r="C819" s="45">
        <v>2019</v>
      </c>
      <c r="D819" s="110" t="s">
        <v>77</v>
      </c>
      <c r="E819" s="47">
        <v>4973273.51</v>
      </c>
      <c r="F819" s="47">
        <v>0</v>
      </c>
      <c r="G819" s="47">
        <v>0</v>
      </c>
      <c r="H819" s="47">
        <v>0</v>
      </c>
      <c r="I819" s="47">
        <v>0</v>
      </c>
      <c r="J819" s="47">
        <v>0</v>
      </c>
      <c r="K819" s="47">
        <v>0</v>
      </c>
      <c r="L819" s="47">
        <v>0</v>
      </c>
      <c r="M819" s="47">
        <v>0</v>
      </c>
      <c r="N819" s="47">
        <v>0</v>
      </c>
      <c r="O819" s="47">
        <v>0</v>
      </c>
      <c r="P819" s="47">
        <v>0</v>
      </c>
      <c r="Q819" s="47">
        <v>0</v>
      </c>
      <c r="R819" s="47">
        <v>0</v>
      </c>
      <c r="S819" s="47">
        <v>0</v>
      </c>
      <c r="T819" s="47">
        <v>0</v>
      </c>
      <c r="U819" s="47">
        <v>0</v>
      </c>
      <c r="V819" s="47">
        <v>0</v>
      </c>
      <c r="W819" s="47">
        <v>0</v>
      </c>
      <c r="X819" s="47">
        <v>0</v>
      </c>
      <c r="Y819" s="48">
        <v>4973273.51</v>
      </c>
      <c r="Z819" s="58">
        <v>1584522.69</v>
      </c>
      <c r="AA819" s="50">
        <v>1584522.69</v>
      </c>
      <c r="AB819" s="50">
        <v>0</v>
      </c>
      <c r="AC819" s="50">
        <v>0</v>
      </c>
      <c r="AD819" s="50">
        <v>61818.78</v>
      </c>
      <c r="AE819" s="50">
        <v>0</v>
      </c>
      <c r="AF819" s="50">
        <v>0</v>
      </c>
      <c r="AG819" s="49">
        <v>1646341.47</v>
      </c>
      <c r="AH819" s="51" t="s">
        <v>104</v>
      </c>
      <c r="AI819" s="51" t="s">
        <v>74</v>
      </c>
      <c r="AJ819" s="51" t="s">
        <v>74</v>
      </c>
      <c r="AK819" s="51" t="s">
        <v>134</v>
      </c>
      <c r="AL819" s="51" t="s">
        <v>74</v>
      </c>
      <c r="AM819" s="51" t="s">
        <v>74</v>
      </c>
      <c r="AN819" s="52">
        <v>0</v>
      </c>
      <c r="AO819" s="52">
        <v>0</v>
      </c>
      <c r="AP819" s="52">
        <v>0</v>
      </c>
      <c r="AQ819" s="52">
        <v>0</v>
      </c>
      <c r="AR819" s="52">
        <v>0</v>
      </c>
      <c r="AS819" s="52">
        <v>0</v>
      </c>
      <c r="AT819" s="53" t="s">
        <v>74</v>
      </c>
      <c r="AU819" s="52">
        <v>0</v>
      </c>
      <c r="AV819" s="52"/>
      <c r="AW819" s="52">
        <v>0</v>
      </c>
      <c r="AX819" s="52"/>
      <c r="AY819" s="52"/>
      <c r="AZ819" s="52">
        <v>0</v>
      </c>
      <c r="BA819" s="52">
        <v>0</v>
      </c>
      <c r="BB819" s="54" t="s">
        <v>74</v>
      </c>
      <c r="BC819" s="53" t="s">
        <v>74</v>
      </c>
      <c r="BD819" s="55" t="s">
        <v>74</v>
      </c>
      <c r="BE819" s="55" t="s">
        <v>74</v>
      </c>
      <c r="BF819" s="55" t="s">
        <v>74</v>
      </c>
      <c r="BG819" s="55" t="s">
        <v>74</v>
      </c>
      <c r="BH819" s="52">
        <v>0</v>
      </c>
      <c r="BI819" s="52">
        <v>3326932.04</v>
      </c>
      <c r="BJ819" s="52">
        <v>3326932.04</v>
      </c>
      <c r="BK819" s="56">
        <v>43525</v>
      </c>
      <c r="BL819" s="57">
        <v>3326932.04</v>
      </c>
      <c r="BM819" s="47">
        <v>0</v>
      </c>
      <c r="BN819" s="9"/>
      <c r="BO819" s="9"/>
      <c r="BP819" s="9"/>
      <c r="BQ819" s="9"/>
      <c r="BR819" s="9"/>
      <c r="BS819" s="9"/>
      <c r="BT819" s="9"/>
      <c r="BU819" s="9"/>
      <c r="BV819" s="9"/>
      <c r="BW819" s="9"/>
    </row>
    <row r="820" spans="1:75" ht="26.25" hidden="1" outlineLevel="2" x14ac:dyDescent="0.25">
      <c r="A820" s="43" t="s">
        <v>795</v>
      </c>
      <c r="B820" s="110" t="s">
        <v>875</v>
      </c>
      <c r="C820" s="45">
        <v>2019</v>
      </c>
      <c r="D820" s="110" t="s">
        <v>79</v>
      </c>
      <c r="E820" s="47">
        <v>4973273.51</v>
      </c>
      <c r="F820" s="47">
        <v>0</v>
      </c>
      <c r="G820" s="47">
        <v>0</v>
      </c>
      <c r="H820" s="47">
        <v>0</v>
      </c>
      <c r="I820" s="47">
        <v>0</v>
      </c>
      <c r="J820" s="47">
        <v>0</v>
      </c>
      <c r="K820" s="47">
        <v>0</v>
      </c>
      <c r="L820" s="47">
        <v>0</v>
      </c>
      <c r="M820" s="47">
        <v>0</v>
      </c>
      <c r="N820" s="47">
        <v>0</v>
      </c>
      <c r="O820" s="47">
        <v>0</v>
      </c>
      <c r="P820" s="47">
        <v>0</v>
      </c>
      <c r="Q820" s="47">
        <v>0</v>
      </c>
      <c r="R820" s="47">
        <v>0</v>
      </c>
      <c r="S820" s="47">
        <v>0</v>
      </c>
      <c r="T820" s="47">
        <v>0</v>
      </c>
      <c r="U820" s="47">
        <v>0</v>
      </c>
      <c r="V820" s="47">
        <v>0</v>
      </c>
      <c r="W820" s="47">
        <v>0</v>
      </c>
      <c r="X820" s="47">
        <v>0</v>
      </c>
      <c r="Y820" s="48">
        <v>4973273.51</v>
      </c>
      <c r="Z820" s="58">
        <v>1603199.58</v>
      </c>
      <c r="AA820" s="50">
        <v>1603199.58</v>
      </c>
      <c r="AB820" s="50">
        <v>0</v>
      </c>
      <c r="AC820" s="50">
        <v>0</v>
      </c>
      <c r="AD820" s="50">
        <v>60479.89</v>
      </c>
      <c r="AE820" s="50">
        <v>0</v>
      </c>
      <c r="AF820" s="50">
        <v>0</v>
      </c>
      <c r="AG820" s="49">
        <v>1663679.47</v>
      </c>
      <c r="AH820" s="51" t="s">
        <v>104</v>
      </c>
      <c r="AI820" s="51" t="s">
        <v>74</v>
      </c>
      <c r="AJ820" s="51" t="s">
        <v>74</v>
      </c>
      <c r="AK820" s="51" t="s">
        <v>259</v>
      </c>
      <c r="AL820" s="51" t="s">
        <v>74</v>
      </c>
      <c r="AM820" s="51" t="s">
        <v>74</v>
      </c>
      <c r="AN820" s="52">
        <v>0</v>
      </c>
      <c r="AO820" s="52">
        <v>0</v>
      </c>
      <c r="AP820" s="52">
        <v>0</v>
      </c>
      <c r="AQ820" s="52">
        <v>0</v>
      </c>
      <c r="AR820" s="52">
        <v>0</v>
      </c>
      <c r="AS820" s="52">
        <v>0</v>
      </c>
      <c r="AT820" s="53" t="s">
        <v>74</v>
      </c>
      <c r="AU820" s="52">
        <v>0</v>
      </c>
      <c r="AV820" s="52"/>
      <c r="AW820" s="52">
        <v>0</v>
      </c>
      <c r="AX820" s="52"/>
      <c r="AY820" s="52"/>
      <c r="AZ820" s="52">
        <v>0</v>
      </c>
      <c r="BA820" s="52">
        <v>0</v>
      </c>
      <c r="BB820" s="54" t="s">
        <v>74</v>
      </c>
      <c r="BC820" s="53" t="s">
        <v>74</v>
      </c>
      <c r="BD820" s="55" t="s">
        <v>74</v>
      </c>
      <c r="BE820" s="55" t="s">
        <v>74</v>
      </c>
      <c r="BF820" s="55" t="s">
        <v>74</v>
      </c>
      <c r="BG820" s="55" t="s">
        <v>74</v>
      </c>
      <c r="BH820" s="52">
        <v>0</v>
      </c>
      <c r="BI820" s="52">
        <v>3309594.04</v>
      </c>
      <c r="BJ820" s="52">
        <v>3309594.04</v>
      </c>
      <c r="BK820" s="56">
        <v>43556</v>
      </c>
      <c r="BL820" s="57">
        <v>3309594.04</v>
      </c>
      <c r="BM820" s="47">
        <v>0</v>
      </c>
      <c r="BN820" s="9"/>
      <c r="BO820" s="9"/>
      <c r="BP820" s="9"/>
      <c r="BQ820" s="9"/>
      <c r="BR820" s="9"/>
      <c r="BS820" s="9"/>
      <c r="BT820" s="9"/>
      <c r="BU820" s="9"/>
      <c r="BV820" s="9"/>
      <c r="BW820" s="9"/>
    </row>
    <row r="821" spans="1:75" ht="26.25" hidden="1" outlineLevel="2" x14ac:dyDescent="0.25">
      <c r="A821" s="43" t="s">
        <v>795</v>
      </c>
      <c r="B821" s="110" t="s">
        <v>875</v>
      </c>
      <c r="C821" s="45">
        <v>2019</v>
      </c>
      <c r="D821" s="110" t="s">
        <v>81</v>
      </c>
      <c r="E821" s="47">
        <v>4973273.51</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4973273.51</v>
      </c>
      <c r="Z821" s="58">
        <v>1570651.09</v>
      </c>
      <c r="AA821" s="50">
        <v>1570651.09</v>
      </c>
      <c r="AB821" s="50">
        <v>0</v>
      </c>
      <c r="AC821" s="50">
        <v>0</v>
      </c>
      <c r="AD821" s="50">
        <v>60913.34</v>
      </c>
      <c r="AE821" s="50">
        <v>0</v>
      </c>
      <c r="AF821" s="50">
        <v>0</v>
      </c>
      <c r="AG821" s="49">
        <v>1631564.43</v>
      </c>
      <c r="AH821" s="51" t="s">
        <v>104</v>
      </c>
      <c r="AI821" s="51" t="s">
        <v>74</v>
      </c>
      <c r="AJ821" s="51" t="s">
        <v>74</v>
      </c>
      <c r="AK821" s="51" t="s">
        <v>136</v>
      </c>
      <c r="AL821" s="51" t="s">
        <v>74</v>
      </c>
      <c r="AM821" s="51" t="s">
        <v>74</v>
      </c>
      <c r="AN821" s="52">
        <v>0</v>
      </c>
      <c r="AO821" s="52">
        <v>0</v>
      </c>
      <c r="AP821" s="52">
        <v>0</v>
      </c>
      <c r="AQ821" s="52">
        <v>0</v>
      </c>
      <c r="AR821" s="52">
        <v>0</v>
      </c>
      <c r="AS821" s="52">
        <v>0</v>
      </c>
      <c r="AT821" s="53" t="s">
        <v>74</v>
      </c>
      <c r="AU821" s="52">
        <v>0</v>
      </c>
      <c r="AV821" s="52"/>
      <c r="AW821" s="52">
        <v>0</v>
      </c>
      <c r="AX821" s="52"/>
      <c r="AY821" s="52"/>
      <c r="AZ821" s="52">
        <v>0</v>
      </c>
      <c r="BA821" s="52">
        <v>0</v>
      </c>
      <c r="BB821" s="54" t="s">
        <v>74</v>
      </c>
      <c r="BC821" s="53" t="s">
        <v>74</v>
      </c>
      <c r="BD821" s="55" t="s">
        <v>74</v>
      </c>
      <c r="BE821" s="55" t="s">
        <v>74</v>
      </c>
      <c r="BF821" s="55" t="s">
        <v>74</v>
      </c>
      <c r="BG821" s="55" t="s">
        <v>74</v>
      </c>
      <c r="BH821" s="52">
        <v>0</v>
      </c>
      <c r="BI821" s="52">
        <v>3341709.08</v>
      </c>
      <c r="BJ821" s="52">
        <v>3341709.08</v>
      </c>
      <c r="BK821" s="56">
        <v>43586</v>
      </c>
      <c r="BL821" s="57">
        <v>3341709.08</v>
      </c>
      <c r="BM821" s="47">
        <v>0</v>
      </c>
      <c r="BN821" s="9"/>
      <c r="BO821" s="9"/>
      <c r="BP821" s="9"/>
      <c r="BQ821" s="9"/>
      <c r="BR821" s="9"/>
      <c r="BS821" s="9"/>
      <c r="BT821" s="9"/>
      <c r="BU821" s="9"/>
      <c r="BV821" s="9"/>
      <c r="BW821" s="9"/>
    </row>
    <row r="822" spans="1:75" ht="26.25" hidden="1" outlineLevel="2" x14ac:dyDescent="0.25">
      <c r="A822" s="43" t="s">
        <v>795</v>
      </c>
      <c r="B822" s="110" t="s">
        <v>875</v>
      </c>
      <c r="C822" s="45">
        <v>2019</v>
      </c>
      <c r="D822" s="110" t="s">
        <v>83</v>
      </c>
      <c r="E822" s="47">
        <v>4973273.51</v>
      </c>
      <c r="F822" s="47">
        <v>0</v>
      </c>
      <c r="G822" s="47">
        <v>0</v>
      </c>
      <c r="H822" s="47">
        <v>0</v>
      </c>
      <c r="I822" s="47">
        <v>0</v>
      </c>
      <c r="J822" s="47">
        <v>0</v>
      </c>
      <c r="K822" s="47">
        <v>0</v>
      </c>
      <c r="L822" s="47">
        <v>0</v>
      </c>
      <c r="M822" s="47">
        <v>0</v>
      </c>
      <c r="N822" s="47">
        <v>0</v>
      </c>
      <c r="O822" s="47">
        <v>0</v>
      </c>
      <c r="P822" s="47">
        <v>0</v>
      </c>
      <c r="Q822" s="47">
        <v>0</v>
      </c>
      <c r="R822" s="47">
        <v>0</v>
      </c>
      <c r="S822" s="47">
        <v>0</v>
      </c>
      <c r="T822" s="47">
        <v>0</v>
      </c>
      <c r="U822" s="47">
        <v>0</v>
      </c>
      <c r="V822" s="47">
        <v>0</v>
      </c>
      <c r="W822" s="47">
        <v>0</v>
      </c>
      <c r="X822" s="47">
        <v>0</v>
      </c>
      <c r="Y822" s="48">
        <v>4973273.51</v>
      </c>
      <c r="Z822" s="58">
        <v>1656104.53</v>
      </c>
      <c r="AA822" s="50">
        <v>1656104.53</v>
      </c>
      <c r="AB822" s="50">
        <v>0</v>
      </c>
      <c r="AC822" s="50">
        <v>0</v>
      </c>
      <c r="AD822" s="50">
        <v>55108.06</v>
      </c>
      <c r="AE822" s="50">
        <v>0</v>
      </c>
      <c r="AF822" s="50">
        <v>0</v>
      </c>
      <c r="AG822" s="49">
        <v>1711212.59</v>
      </c>
      <c r="AH822" s="51" t="s">
        <v>104</v>
      </c>
      <c r="AI822" s="51" t="s">
        <v>74</v>
      </c>
      <c r="AJ822" s="51" t="s">
        <v>74</v>
      </c>
      <c r="AK822" s="51" t="s">
        <v>138</v>
      </c>
      <c r="AL822" s="51" t="s">
        <v>74</v>
      </c>
      <c r="AM822" s="51" t="s">
        <v>74</v>
      </c>
      <c r="AN822" s="52">
        <v>0</v>
      </c>
      <c r="AO822" s="52">
        <v>0</v>
      </c>
      <c r="AP822" s="52">
        <v>0</v>
      </c>
      <c r="AQ822" s="52">
        <v>0</v>
      </c>
      <c r="AR822" s="52">
        <v>0</v>
      </c>
      <c r="AS822" s="52">
        <v>0</v>
      </c>
      <c r="AT822" s="53" t="s">
        <v>74</v>
      </c>
      <c r="AU822" s="52">
        <v>0</v>
      </c>
      <c r="AV822" s="52"/>
      <c r="AW822" s="52">
        <v>0</v>
      </c>
      <c r="AX822" s="52"/>
      <c r="AY822" s="52"/>
      <c r="AZ822" s="52">
        <v>0</v>
      </c>
      <c r="BA822" s="52">
        <v>0</v>
      </c>
      <c r="BB822" s="54" t="s">
        <v>74</v>
      </c>
      <c r="BC822" s="53" t="s">
        <v>74</v>
      </c>
      <c r="BD822" s="55" t="s">
        <v>74</v>
      </c>
      <c r="BE822" s="55" t="s">
        <v>74</v>
      </c>
      <c r="BF822" s="55" t="s">
        <v>74</v>
      </c>
      <c r="BG822" s="55" t="s">
        <v>74</v>
      </c>
      <c r="BH822" s="52">
        <v>0</v>
      </c>
      <c r="BI822" s="52">
        <v>3262060.92</v>
      </c>
      <c r="BJ822" s="52">
        <v>3262060.92</v>
      </c>
      <c r="BK822" s="56">
        <v>43617</v>
      </c>
      <c r="BL822" s="57">
        <v>3262060.92</v>
      </c>
      <c r="BM822" s="47">
        <v>0</v>
      </c>
      <c r="BN822" s="9"/>
      <c r="BO822" s="9"/>
      <c r="BP822" s="9"/>
      <c r="BQ822" s="9"/>
      <c r="BR822" s="9"/>
      <c r="BS822" s="9"/>
      <c r="BT822" s="9"/>
      <c r="BU822" s="9"/>
      <c r="BV822" s="9"/>
      <c r="BW822" s="9"/>
    </row>
    <row r="823" spans="1:75" ht="26.25" hidden="1" outlineLevel="2" x14ac:dyDescent="0.25">
      <c r="A823" s="43" t="s">
        <v>795</v>
      </c>
      <c r="B823" s="110" t="s">
        <v>875</v>
      </c>
      <c r="C823" s="45">
        <v>2019</v>
      </c>
      <c r="D823" s="110" t="s">
        <v>84</v>
      </c>
      <c r="E823" s="47">
        <v>4973273.51</v>
      </c>
      <c r="F823" s="47">
        <v>0</v>
      </c>
      <c r="G823" s="47">
        <v>0</v>
      </c>
      <c r="H823" s="47">
        <v>0</v>
      </c>
      <c r="I823" s="47">
        <v>0</v>
      </c>
      <c r="J823" s="47">
        <v>0</v>
      </c>
      <c r="K823" s="47">
        <v>0</v>
      </c>
      <c r="L823" s="47">
        <v>0</v>
      </c>
      <c r="M823" s="47">
        <v>0</v>
      </c>
      <c r="N823" s="47">
        <v>0</v>
      </c>
      <c r="O823" s="47">
        <v>0</v>
      </c>
      <c r="P823" s="47">
        <v>0</v>
      </c>
      <c r="Q823" s="47">
        <v>0</v>
      </c>
      <c r="R823" s="47">
        <v>0</v>
      </c>
      <c r="S823" s="47">
        <v>0</v>
      </c>
      <c r="T823" s="47">
        <v>0</v>
      </c>
      <c r="U823" s="47">
        <v>0</v>
      </c>
      <c r="V823" s="47">
        <v>0</v>
      </c>
      <c r="W823" s="47">
        <v>0</v>
      </c>
      <c r="X823" s="47">
        <v>0</v>
      </c>
      <c r="Y823" s="48">
        <v>4973273.51</v>
      </c>
      <c r="Z823" s="58">
        <v>1662609.89</v>
      </c>
      <c r="AA823" s="50">
        <v>1662609.89</v>
      </c>
      <c r="AB823" s="50">
        <v>0</v>
      </c>
      <c r="AC823" s="50">
        <v>0</v>
      </c>
      <c r="AD823" s="50">
        <v>53045.53</v>
      </c>
      <c r="AE823" s="50">
        <v>0</v>
      </c>
      <c r="AF823" s="50">
        <v>0</v>
      </c>
      <c r="AG823" s="49">
        <v>1715655.42</v>
      </c>
      <c r="AH823" s="51" t="s">
        <v>104</v>
      </c>
      <c r="AI823" s="51" t="s">
        <v>74</v>
      </c>
      <c r="AJ823" s="51" t="s">
        <v>74</v>
      </c>
      <c r="AK823" s="51" t="s">
        <v>881</v>
      </c>
      <c r="AL823" s="51" t="s">
        <v>74</v>
      </c>
      <c r="AM823" s="51" t="s">
        <v>74</v>
      </c>
      <c r="AN823" s="52">
        <v>0</v>
      </c>
      <c r="AO823" s="52">
        <v>0</v>
      </c>
      <c r="AP823" s="52">
        <v>0</v>
      </c>
      <c r="AQ823" s="52">
        <v>0</v>
      </c>
      <c r="AR823" s="52">
        <v>0</v>
      </c>
      <c r="AS823" s="52">
        <v>0</v>
      </c>
      <c r="AT823" s="53" t="s">
        <v>74</v>
      </c>
      <c r="AU823" s="52">
        <v>0</v>
      </c>
      <c r="AV823" s="52"/>
      <c r="AW823" s="52">
        <v>0</v>
      </c>
      <c r="AX823" s="52"/>
      <c r="AY823" s="52"/>
      <c r="AZ823" s="52">
        <v>0</v>
      </c>
      <c r="BA823" s="52">
        <v>0</v>
      </c>
      <c r="BB823" s="54" t="s">
        <v>74</v>
      </c>
      <c r="BC823" s="53" t="s">
        <v>74</v>
      </c>
      <c r="BD823" s="55" t="s">
        <v>74</v>
      </c>
      <c r="BE823" s="55" t="s">
        <v>74</v>
      </c>
      <c r="BF823" s="55" t="s">
        <v>74</v>
      </c>
      <c r="BG823" s="55" t="s">
        <v>74</v>
      </c>
      <c r="BH823" s="52">
        <v>0</v>
      </c>
      <c r="BI823" s="52">
        <v>3257618.09</v>
      </c>
      <c r="BJ823" s="52">
        <v>3257618.09</v>
      </c>
      <c r="BK823" s="56">
        <v>43647</v>
      </c>
      <c r="BL823" s="57">
        <v>3257618.09</v>
      </c>
      <c r="BM823" s="47">
        <v>0</v>
      </c>
      <c r="BN823" s="9"/>
      <c r="BO823" s="9"/>
      <c r="BP823" s="9"/>
      <c r="BQ823" s="9"/>
      <c r="BR823" s="9"/>
      <c r="BS823" s="9"/>
      <c r="BT823" s="9"/>
      <c r="BU823" s="9"/>
      <c r="BV823" s="9"/>
      <c r="BW823" s="9"/>
    </row>
    <row r="824" spans="1:75" ht="26.25" hidden="1" outlineLevel="2" x14ac:dyDescent="0.25">
      <c r="A824" s="43" t="s">
        <v>795</v>
      </c>
      <c r="B824" s="110" t="s">
        <v>875</v>
      </c>
      <c r="C824" s="45">
        <v>2019</v>
      </c>
      <c r="D824" s="110" t="s">
        <v>86</v>
      </c>
      <c r="E824" s="47">
        <v>4973273.51</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4973273.51</v>
      </c>
      <c r="Z824" s="58">
        <v>1737640.31</v>
      </c>
      <c r="AA824" s="50">
        <v>1737640.31</v>
      </c>
      <c r="AB824" s="50">
        <v>0</v>
      </c>
      <c r="AC824" s="50">
        <v>0</v>
      </c>
      <c r="AD824" s="50">
        <v>52517.919999999998</v>
      </c>
      <c r="AE824" s="50">
        <v>0</v>
      </c>
      <c r="AF824" s="50">
        <v>0</v>
      </c>
      <c r="AG824" s="49">
        <v>1790158.23</v>
      </c>
      <c r="AH824" s="51" t="s">
        <v>104</v>
      </c>
      <c r="AI824" s="51" t="s">
        <v>74</v>
      </c>
      <c r="AJ824" s="51" t="s">
        <v>74</v>
      </c>
      <c r="AK824" s="51" t="s">
        <v>209</v>
      </c>
      <c r="AL824" s="51" t="s">
        <v>74</v>
      </c>
      <c r="AM824" s="51" t="s">
        <v>74</v>
      </c>
      <c r="AN824" s="52">
        <v>0</v>
      </c>
      <c r="AO824" s="52">
        <v>0</v>
      </c>
      <c r="AP824" s="52">
        <v>0</v>
      </c>
      <c r="AQ824" s="52">
        <v>0</v>
      </c>
      <c r="AR824" s="52">
        <v>0</v>
      </c>
      <c r="AS824" s="52">
        <v>0</v>
      </c>
      <c r="AT824" s="53" t="s">
        <v>74</v>
      </c>
      <c r="AU824" s="52">
        <v>0</v>
      </c>
      <c r="AV824" s="52"/>
      <c r="AW824" s="52">
        <v>0</v>
      </c>
      <c r="AX824" s="52"/>
      <c r="AY824" s="52"/>
      <c r="AZ824" s="52">
        <v>0</v>
      </c>
      <c r="BA824" s="52">
        <v>0</v>
      </c>
      <c r="BB824" s="54" t="s">
        <v>74</v>
      </c>
      <c r="BC824" s="53" t="s">
        <v>74</v>
      </c>
      <c r="BD824" s="55" t="s">
        <v>74</v>
      </c>
      <c r="BE824" s="55" t="s">
        <v>74</v>
      </c>
      <c r="BF824" s="55" t="s">
        <v>74</v>
      </c>
      <c r="BG824" s="55" t="s">
        <v>74</v>
      </c>
      <c r="BH824" s="52">
        <v>0</v>
      </c>
      <c r="BI824" s="52">
        <v>3183115.28</v>
      </c>
      <c r="BJ824" s="52">
        <v>3183115.28</v>
      </c>
      <c r="BK824" s="56">
        <v>43678</v>
      </c>
      <c r="BL824" s="57">
        <v>3183115.28</v>
      </c>
      <c r="BM824" s="47">
        <v>0</v>
      </c>
      <c r="BN824" s="9"/>
      <c r="BO824" s="9"/>
      <c r="BP824" s="9"/>
      <c r="BQ824" s="9"/>
      <c r="BR824" s="9"/>
      <c r="BS824" s="9"/>
      <c r="BT824" s="9"/>
      <c r="BU824" s="9"/>
      <c r="BV824" s="9"/>
      <c r="BW824" s="9"/>
    </row>
    <row r="825" spans="1:75" ht="64.5" hidden="1" outlineLevel="2" x14ac:dyDescent="0.25">
      <c r="A825" s="43" t="s">
        <v>795</v>
      </c>
      <c r="B825" s="110" t="s">
        <v>875</v>
      </c>
      <c r="C825" s="45">
        <v>2019</v>
      </c>
      <c r="D825" s="110" t="s">
        <v>88</v>
      </c>
      <c r="E825" s="47">
        <v>4973273.51</v>
      </c>
      <c r="F825" s="47">
        <v>0</v>
      </c>
      <c r="G825" s="47">
        <v>0</v>
      </c>
      <c r="H825" s="47">
        <v>0</v>
      </c>
      <c r="I825" s="47">
        <v>0</v>
      </c>
      <c r="J825" s="47">
        <v>0</v>
      </c>
      <c r="K825" s="47">
        <v>0</v>
      </c>
      <c r="L825" s="47">
        <v>0</v>
      </c>
      <c r="M825" s="47">
        <v>0</v>
      </c>
      <c r="N825" s="47">
        <v>0</v>
      </c>
      <c r="O825" s="47">
        <v>0</v>
      </c>
      <c r="P825" s="47">
        <v>0</v>
      </c>
      <c r="Q825" s="47">
        <v>0</v>
      </c>
      <c r="R825" s="47">
        <v>0</v>
      </c>
      <c r="S825" s="47">
        <v>0</v>
      </c>
      <c r="T825" s="47">
        <v>0</v>
      </c>
      <c r="U825" s="47">
        <v>0</v>
      </c>
      <c r="V825" s="47">
        <v>0</v>
      </c>
      <c r="W825" s="47">
        <v>0</v>
      </c>
      <c r="X825" s="47">
        <v>0</v>
      </c>
      <c r="Y825" s="48">
        <v>4973273.51</v>
      </c>
      <c r="Z825" s="58">
        <v>1592253.71</v>
      </c>
      <c r="AA825" s="50">
        <v>1592253.71</v>
      </c>
      <c r="AB825" s="50">
        <v>0</v>
      </c>
      <c r="AC825" s="50">
        <v>0</v>
      </c>
      <c r="AD825" s="50">
        <v>87327.92</v>
      </c>
      <c r="AE825" s="50">
        <v>0</v>
      </c>
      <c r="AF825" s="50">
        <v>0</v>
      </c>
      <c r="AG825" s="49">
        <v>1679581.63</v>
      </c>
      <c r="AH825" s="51" t="s">
        <v>104</v>
      </c>
      <c r="AI825" s="51" t="s">
        <v>74</v>
      </c>
      <c r="AJ825" s="51" t="s">
        <v>74</v>
      </c>
      <c r="AK825" s="51" t="s">
        <v>882</v>
      </c>
      <c r="AL825" s="51" t="s">
        <v>74</v>
      </c>
      <c r="AM825" s="51" t="s">
        <v>74</v>
      </c>
      <c r="AN825" s="52">
        <v>0</v>
      </c>
      <c r="AO825" s="52">
        <v>0</v>
      </c>
      <c r="AP825" s="52">
        <v>0</v>
      </c>
      <c r="AQ825" s="52">
        <v>0</v>
      </c>
      <c r="AR825" s="52">
        <v>0</v>
      </c>
      <c r="AS825" s="52">
        <v>0</v>
      </c>
      <c r="AT825" s="53" t="s">
        <v>74</v>
      </c>
      <c r="AU825" s="52">
        <v>0</v>
      </c>
      <c r="AV825" s="52"/>
      <c r="AW825" s="52">
        <v>0</v>
      </c>
      <c r="AX825" s="52"/>
      <c r="AY825" s="52"/>
      <c r="AZ825" s="52">
        <v>0</v>
      </c>
      <c r="BA825" s="52">
        <v>0</v>
      </c>
      <c r="BB825" s="54" t="s">
        <v>74</v>
      </c>
      <c r="BC825" s="53" t="s">
        <v>74</v>
      </c>
      <c r="BD825" s="55" t="s">
        <v>74</v>
      </c>
      <c r="BE825" s="55" t="s">
        <v>74</v>
      </c>
      <c r="BF825" s="55" t="s">
        <v>74</v>
      </c>
      <c r="BG825" s="55" t="s">
        <v>74</v>
      </c>
      <c r="BH825" s="52">
        <v>0</v>
      </c>
      <c r="BI825" s="52">
        <v>3293691.88</v>
      </c>
      <c r="BJ825" s="52">
        <v>3293691.88</v>
      </c>
      <c r="BK825" s="56">
        <v>43709</v>
      </c>
      <c r="BL825" s="57">
        <v>3293691.88</v>
      </c>
      <c r="BM825" s="47">
        <v>0</v>
      </c>
      <c r="BN825" s="9"/>
      <c r="BO825" s="9"/>
      <c r="BP825" s="9"/>
      <c r="BQ825" s="9"/>
      <c r="BR825" s="9"/>
      <c r="BS825" s="9"/>
      <c r="BT825" s="9"/>
      <c r="BU825" s="9"/>
      <c r="BV825" s="9"/>
      <c r="BW825" s="9"/>
    </row>
    <row r="826" spans="1:75" ht="26.25" hidden="1" outlineLevel="2" x14ac:dyDescent="0.25">
      <c r="A826" s="43" t="s">
        <v>795</v>
      </c>
      <c r="B826" s="110" t="s">
        <v>875</v>
      </c>
      <c r="C826" s="45">
        <v>2019</v>
      </c>
      <c r="D826" s="110" t="s">
        <v>89</v>
      </c>
      <c r="E826" s="47">
        <v>4973273.51</v>
      </c>
      <c r="F826" s="47">
        <v>0</v>
      </c>
      <c r="G826" s="47">
        <v>0</v>
      </c>
      <c r="H826" s="47">
        <v>0</v>
      </c>
      <c r="I826" s="47">
        <v>0</v>
      </c>
      <c r="J826" s="47">
        <v>0</v>
      </c>
      <c r="K826" s="47">
        <v>0</v>
      </c>
      <c r="L826" s="47">
        <v>0</v>
      </c>
      <c r="M826" s="47">
        <v>0</v>
      </c>
      <c r="N826" s="47">
        <v>0</v>
      </c>
      <c r="O826" s="47">
        <v>0</v>
      </c>
      <c r="P826" s="47">
        <v>0</v>
      </c>
      <c r="Q826" s="47">
        <v>0</v>
      </c>
      <c r="R826" s="47">
        <v>0</v>
      </c>
      <c r="S826" s="47">
        <v>0</v>
      </c>
      <c r="T826" s="47">
        <v>0</v>
      </c>
      <c r="U826" s="47">
        <v>0</v>
      </c>
      <c r="V826" s="47">
        <v>0</v>
      </c>
      <c r="W826" s="47">
        <v>0</v>
      </c>
      <c r="X826" s="47">
        <v>0</v>
      </c>
      <c r="Y826" s="48">
        <v>4973273.51</v>
      </c>
      <c r="Z826" s="58">
        <v>1523146.95</v>
      </c>
      <c r="AA826" s="50">
        <v>1523146.95</v>
      </c>
      <c r="AB826" s="50">
        <v>0</v>
      </c>
      <c r="AC826" s="50">
        <v>0</v>
      </c>
      <c r="AD826" s="50">
        <v>0</v>
      </c>
      <c r="AE826" s="50">
        <v>0</v>
      </c>
      <c r="AF826" s="50">
        <v>0</v>
      </c>
      <c r="AG826" s="49">
        <v>1523146.95</v>
      </c>
      <c r="AH826" s="51" t="s">
        <v>104</v>
      </c>
      <c r="AI826" s="51" t="s">
        <v>74</v>
      </c>
      <c r="AJ826" s="51" t="s">
        <v>74</v>
      </c>
      <c r="AK826" s="51" t="s">
        <v>74</v>
      </c>
      <c r="AL826" s="51" t="s">
        <v>74</v>
      </c>
      <c r="AM826" s="51" t="s">
        <v>74</v>
      </c>
      <c r="AN826" s="52">
        <v>0</v>
      </c>
      <c r="AO826" s="52">
        <v>0</v>
      </c>
      <c r="AP826" s="52">
        <v>0</v>
      </c>
      <c r="AQ826" s="52">
        <v>0</v>
      </c>
      <c r="AR826" s="52">
        <v>0</v>
      </c>
      <c r="AS826" s="52">
        <v>0</v>
      </c>
      <c r="AT826" s="53" t="s">
        <v>74</v>
      </c>
      <c r="AU826" s="52">
        <v>0</v>
      </c>
      <c r="AV826" s="52"/>
      <c r="AW826" s="52">
        <v>0</v>
      </c>
      <c r="AX826" s="52"/>
      <c r="AY826" s="52"/>
      <c r="AZ826" s="52">
        <v>0</v>
      </c>
      <c r="BA826" s="52">
        <v>0</v>
      </c>
      <c r="BB826" s="54" t="s">
        <v>74</v>
      </c>
      <c r="BC826" s="53" t="s">
        <v>74</v>
      </c>
      <c r="BD826" s="55" t="s">
        <v>74</v>
      </c>
      <c r="BE826" s="55" t="s">
        <v>74</v>
      </c>
      <c r="BF826" s="55" t="s">
        <v>74</v>
      </c>
      <c r="BG826" s="55" t="s">
        <v>74</v>
      </c>
      <c r="BH826" s="52">
        <v>0</v>
      </c>
      <c r="BI826" s="52">
        <v>3450126.56</v>
      </c>
      <c r="BJ826" s="52">
        <v>3450126.56</v>
      </c>
      <c r="BK826" s="56">
        <v>43739</v>
      </c>
      <c r="BL826" s="57">
        <v>3450126.56</v>
      </c>
      <c r="BM826" s="47">
        <v>0</v>
      </c>
      <c r="BN826" s="9"/>
      <c r="BO826" s="9"/>
      <c r="BP826" s="9"/>
      <c r="BQ826" s="9"/>
      <c r="BR826" s="9"/>
      <c r="BS826" s="9"/>
      <c r="BT826" s="9"/>
      <c r="BU826" s="9"/>
      <c r="BV826" s="9"/>
      <c r="BW826" s="9"/>
    </row>
    <row r="827" spans="1:75" ht="26.25" hidden="1" outlineLevel="2" x14ac:dyDescent="0.25">
      <c r="A827" s="43" t="s">
        <v>795</v>
      </c>
      <c r="B827" s="110" t="s">
        <v>875</v>
      </c>
      <c r="C827" s="45">
        <v>2019</v>
      </c>
      <c r="D827" s="110" t="s">
        <v>90</v>
      </c>
      <c r="E827" s="47">
        <v>4973273.51</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4973273.51</v>
      </c>
      <c r="Z827" s="58">
        <v>1456357.11</v>
      </c>
      <c r="AA827" s="50">
        <v>1456357.11</v>
      </c>
      <c r="AB827" s="50">
        <v>0</v>
      </c>
      <c r="AC827" s="50">
        <v>0</v>
      </c>
      <c r="AD827" s="50">
        <v>56928.15</v>
      </c>
      <c r="AE827" s="50">
        <v>0</v>
      </c>
      <c r="AF827" s="50">
        <v>0</v>
      </c>
      <c r="AG827" s="49">
        <v>1513285.26</v>
      </c>
      <c r="AH827" s="51" t="s">
        <v>104</v>
      </c>
      <c r="AI827" s="51" t="s">
        <v>74</v>
      </c>
      <c r="AJ827" s="51" t="s">
        <v>74</v>
      </c>
      <c r="AK827" s="51" t="s">
        <v>150</v>
      </c>
      <c r="AL827" s="51" t="s">
        <v>74</v>
      </c>
      <c r="AM827" s="51" t="s">
        <v>74</v>
      </c>
      <c r="AN827" s="52">
        <v>0</v>
      </c>
      <c r="AO827" s="52">
        <v>0</v>
      </c>
      <c r="AP827" s="52">
        <v>0</v>
      </c>
      <c r="AQ827" s="52">
        <v>0</v>
      </c>
      <c r="AR827" s="52">
        <v>0</v>
      </c>
      <c r="AS827" s="52">
        <v>0</v>
      </c>
      <c r="AT827" s="53" t="s">
        <v>74</v>
      </c>
      <c r="AU827" s="52">
        <v>0</v>
      </c>
      <c r="AV827" s="52"/>
      <c r="AW827" s="52">
        <v>0</v>
      </c>
      <c r="AX827" s="52"/>
      <c r="AY827" s="52"/>
      <c r="AZ827" s="52">
        <v>0</v>
      </c>
      <c r="BA827" s="52">
        <v>0</v>
      </c>
      <c r="BB827" s="54" t="s">
        <v>74</v>
      </c>
      <c r="BC827" s="53" t="s">
        <v>74</v>
      </c>
      <c r="BD827" s="55" t="s">
        <v>74</v>
      </c>
      <c r="BE827" s="55" t="s">
        <v>74</v>
      </c>
      <c r="BF827" s="55" t="s">
        <v>74</v>
      </c>
      <c r="BG827" s="55" t="s">
        <v>74</v>
      </c>
      <c r="BH827" s="52">
        <v>0</v>
      </c>
      <c r="BI827" s="52">
        <v>3459988.25</v>
      </c>
      <c r="BJ827" s="52">
        <v>3459988.25</v>
      </c>
      <c r="BK827" s="56">
        <v>43770</v>
      </c>
      <c r="BL827" s="57">
        <v>3459988.25</v>
      </c>
      <c r="BM827" s="47">
        <v>0</v>
      </c>
      <c r="BN827" s="9"/>
      <c r="BO827" s="9"/>
      <c r="BP827" s="9"/>
      <c r="BQ827" s="9"/>
      <c r="BR827" s="9"/>
      <c r="BS827" s="9"/>
      <c r="BT827" s="9"/>
      <c r="BU827" s="9"/>
      <c r="BV827" s="9"/>
      <c r="BW827" s="9"/>
    </row>
    <row r="828" spans="1:75" ht="64.5" hidden="1" outlineLevel="2" x14ac:dyDescent="0.25">
      <c r="A828" s="43" t="s">
        <v>795</v>
      </c>
      <c r="B828" s="110" t="s">
        <v>875</v>
      </c>
      <c r="C828" s="45">
        <v>2019</v>
      </c>
      <c r="D828" s="110" t="s">
        <v>93</v>
      </c>
      <c r="E828" s="47">
        <v>4973273.51</v>
      </c>
      <c r="F828" s="47">
        <v>0</v>
      </c>
      <c r="G828" s="47">
        <v>0</v>
      </c>
      <c r="H828" s="47">
        <v>0</v>
      </c>
      <c r="I828" s="47">
        <v>0</v>
      </c>
      <c r="J828" s="47">
        <v>0</v>
      </c>
      <c r="K828" s="47">
        <v>0</v>
      </c>
      <c r="L828" s="47">
        <v>0</v>
      </c>
      <c r="M828" s="47">
        <v>0</v>
      </c>
      <c r="N828" s="47">
        <v>0</v>
      </c>
      <c r="O828" s="47">
        <v>0</v>
      </c>
      <c r="P828" s="47">
        <v>0</v>
      </c>
      <c r="Q828" s="47">
        <v>0</v>
      </c>
      <c r="R828" s="47">
        <v>0</v>
      </c>
      <c r="S828" s="47">
        <v>0</v>
      </c>
      <c r="T828" s="47">
        <v>0</v>
      </c>
      <c r="U828" s="47">
        <v>0</v>
      </c>
      <c r="V828" s="47">
        <v>0</v>
      </c>
      <c r="W828" s="47">
        <v>0</v>
      </c>
      <c r="X828" s="47">
        <v>0</v>
      </c>
      <c r="Y828" s="48">
        <v>4973273.51</v>
      </c>
      <c r="Z828" s="58">
        <v>1636800.02</v>
      </c>
      <c r="AA828" s="50">
        <v>1636800.02</v>
      </c>
      <c r="AB828" s="50">
        <v>0</v>
      </c>
      <c r="AC828" s="50">
        <v>0</v>
      </c>
      <c r="AD828" s="50">
        <v>122380.13</v>
      </c>
      <c r="AE828" s="50">
        <v>0</v>
      </c>
      <c r="AF828" s="50">
        <v>0</v>
      </c>
      <c r="AG828" s="49">
        <v>1759180.15</v>
      </c>
      <c r="AH828" s="51" t="s">
        <v>104</v>
      </c>
      <c r="AI828" s="51" t="s">
        <v>74</v>
      </c>
      <c r="AJ828" s="51" t="s">
        <v>74</v>
      </c>
      <c r="AK828" s="51" t="s">
        <v>883</v>
      </c>
      <c r="AL828" s="51" t="s">
        <v>74</v>
      </c>
      <c r="AM828" s="51" t="s">
        <v>74</v>
      </c>
      <c r="AN828" s="52">
        <v>0</v>
      </c>
      <c r="AO828" s="52">
        <v>0</v>
      </c>
      <c r="AP828" s="52">
        <v>0</v>
      </c>
      <c r="AQ828" s="52">
        <v>0</v>
      </c>
      <c r="AR828" s="52">
        <v>0</v>
      </c>
      <c r="AS828" s="52">
        <v>0</v>
      </c>
      <c r="AT828" s="53" t="s">
        <v>74</v>
      </c>
      <c r="AU828" s="52">
        <v>0</v>
      </c>
      <c r="AV828" s="52"/>
      <c r="AW828" s="52">
        <v>0</v>
      </c>
      <c r="AX828" s="52"/>
      <c r="AY828" s="52"/>
      <c r="AZ828" s="52">
        <v>0</v>
      </c>
      <c r="BA828" s="52">
        <v>0</v>
      </c>
      <c r="BB828" s="54" t="s">
        <v>74</v>
      </c>
      <c r="BC828" s="53" t="s">
        <v>74</v>
      </c>
      <c r="BD828" s="55" t="s">
        <v>74</v>
      </c>
      <c r="BE828" s="55" t="s">
        <v>74</v>
      </c>
      <c r="BF828" s="55" t="s">
        <v>74</v>
      </c>
      <c r="BG828" s="55" t="s">
        <v>74</v>
      </c>
      <c r="BH828" s="52">
        <v>0</v>
      </c>
      <c r="BI828" s="52">
        <v>3214093.36</v>
      </c>
      <c r="BJ828" s="52">
        <v>3214093.36</v>
      </c>
      <c r="BK828" s="56">
        <v>43800</v>
      </c>
      <c r="BL828" s="57">
        <v>3214093.36</v>
      </c>
      <c r="BM828" s="47">
        <v>0</v>
      </c>
      <c r="BN828" s="9"/>
      <c r="BO828" s="9"/>
      <c r="BP828" s="9"/>
      <c r="BQ828" s="9"/>
      <c r="BR828" s="9"/>
      <c r="BS828" s="9"/>
      <c r="BT828" s="9"/>
      <c r="BU828" s="9"/>
      <c r="BV828" s="9"/>
      <c r="BW828" s="9"/>
    </row>
    <row r="829" spans="1:75" ht="26.25" hidden="1" outlineLevel="2" x14ac:dyDescent="0.25">
      <c r="A829" s="43" t="s">
        <v>795</v>
      </c>
      <c r="B829" s="110" t="s">
        <v>875</v>
      </c>
      <c r="C829" s="45">
        <v>2020</v>
      </c>
      <c r="D829" s="110" t="s">
        <v>73</v>
      </c>
      <c r="E829" s="47">
        <v>4973273.51</v>
      </c>
      <c r="F829" s="47">
        <v>0</v>
      </c>
      <c r="G829" s="47">
        <v>0</v>
      </c>
      <c r="H829" s="47">
        <v>0</v>
      </c>
      <c r="I829" s="47">
        <v>0</v>
      </c>
      <c r="J829" s="47">
        <v>0</v>
      </c>
      <c r="K829" s="47">
        <v>0</v>
      </c>
      <c r="L829" s="47">
        <v>0</v>
      </c>
      <c r="M829" s="47">
        <v>0</v>
      </c>
      <c r="N829" s="47">
        <v>0</v>
      </c>
      <c r="O829" s="47">
        <v>0</v>
      </c>
      <c r="P829" s="47">
        <v>0</v>
      </c>
      <c r="Q829" s="47">
        <v>0</v>
      </c>
      <c r="R829" s="47">
        <v>0</v>
      </c>
      <c r="S829" s="47">
        <v>0</v>
      </c>
      <c r="T829" s="47">
        <v>0</v>
      </c>
      <c r="U829" s="47">
        <v>0</v>
      </c>
      <c r="V829" s="47">
        <v>0</v>
      </c>
      <c r="W829" s="47">
        <v>0</v>
      </c>
      <c r="X829" s="47">
        <v>0</v>
      </c>
      <c r="Y829" s="48">
        <v>4973273.51</v>
      </c>
      <c r="Z829" s="58">
        <v>1645957</v>
      </c>
      <c r="AA829" s="50">
        <v>1645957</v>
      </c>
      <c r="AB829" s="50">
        <v>0</v>
      </c>
      <c r="AC829" s="50">
        <v>0</v>
      </c>
      <c r="AD829" s="50">
        <v>56784.11</v>
      </c>
      <c r="AE829" s="50">
        <v>0</v>
      </c>
      <c r="AF829" s="50">
        <v>0</v>
      </c>
      <c r="AG829" s="49">
        <v>1702741.11</v>
      </c>
      <c r="AH829" s="51" t="s">
        <v>104</v>
      </c>
      <c r="AI829" s="51" t="s">
        <v>74</v>
      </c>
      <c r="AJ829" s="51" t="s">
        <v>74</v>
      </c>
      <c r="AK829" s="51" t="s">
        <v>157</v>
      </c>
      <c r="AL829" s="51" t="s">
        <v>74</v>
      </c>
      <c r="AM829" s="51" t="s">
        <v>74</v>
      </c>
      <c r="AN829" s="52">
        <v>0</v>
      </c>
      <c r="AO829" s="52">
        <v>0</v>
      </c>
      <c r="AP829" s="52">
        <v>0</v>
      </c>
      <c r="AQ829" s="52">
        <v>0</v>
      </c>
      <c r="AR829" s="52">
        <v>0</v>
      </c>
      <c r="AS829" s="52">
        <v>0</v>
      </c>
      <c r="AT829" s="53" t="s">
        <v>74</v>
      </c>
      <c r="AU829" s="52">
        <v>0</v>
      </c>
      <c r="AV829" s="52"/>
      <c r="AW829" s="52">
        <v>0</v>
      </c>
      <c r="AX829" s="52"/>
      <c r="AY829" s="52"/>
      <c r="AZ829" s="52">
        <v>0</v>
      </c>
      <c r="BA829" s="52">
        <v>0</v>
      </c>
      <c r="BB829" s="54" t="s">
        <v>74</v>
      </c>
      <c r="BC829" s="53" t="s">
        <v>74</v>
      </c>
      <c r="BD829" s="55" t="s">
        <v>74</v>
      </c>
      <c r="BE829" s="55" t="s">
        <v>74</v>
      </c>
      <c r="BF829" s="55" t="s">
        <v>74</v>
      </c>
      <c r="BG829" s="55" t="s">
        <v>74</v>
      </c>
      <c r="BH829" s="52">
        <v>0</v>
      </c>
      <c r="BI829" s="52">
        <v>3270532.4</v>
      </c>
      <c r="BJ829" s="52">
        <v>3270532.4</v>
      </c>
      <c r="BK829" s="56">
        <v>43831</v>
      </c>
      <c r="BL829" s="57">
        <v>3270532.4</v>
      </c>
      <c r="BM829" s="47">
        <v>0</v>
      </c>
      <c r="BN829" s="9"/>
      <c r="BO829" s="9"/>
      <c r="BP829" s="9"/>
      <c r="BQ829" s="9"/>
      <c r="BR829" s="9"/>
      <c r="BS829" s="9"/>
      <c r="BT829" s="9"/>
      <c r="BU829" s="9"/>
      <c r="BV829" s="9"/>
      <c r="BW829" s="9"/>
    </row>
    <row r="830" spans="1:75" ht="26.25" hidden="1" outlineLevel="2" x14ac:dyDescent="0.25">
      <c r="A830" s="43" t="s">
        <v>795</v>
      </c>
      <c r="B830" s="110" t="s">
        <v>875</v>
      </c>
      <c r="C830" s="45">
        <v>2020</v>
      </c>
      <c r="D830" s="110" t="s">
        <v>75</v>
      </c>
      <c r="E830" s="47">
        <v>4973273.51</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4973273.51</v>
      </c>
      <c r="Z830" s="58">
        <v>1606447.09</v>
      </c>
      <c r="AA830" s="50">
        <v>1606447.09</v>
      </c>
      <c r="AB830" s="50">
        <v>0</v>
      </c>
      <c r="AC830" s="50">
        <v>0</v>
      </c>
      <c r="AD830" s="50">
        <v>49441.63</v>
      </c>
      <c r="AE830" s="50">
        <v>0</v>
      </c>
      <c r="AF830" s="50">
        <v>0</v>
      </c>
      <c r="AG830" s="49">
        <v>1655888.72</v>
      </c>
      <c r="AH830" s="51" t="s">
        <v>104</v>
      </c>
      <c r="AI830" s="51" t="s">
        <v>74</v>
      </c>
      <c r="AJ830" s="51" t="s">
        <v>74</v>
      </c>
      <c r="AK830" s="51" t="s">
        <v>219</v>
      </c>
      <c r="AL830" s="51" t="s">
        <v>74</v>
      </c>
      <c r="AM830" s="51" t="s">
        <v>74</v>
      </c>
      <c r="AN830" s="52">
        <v>0</v>
      </c>
      <c r="AO830" s="52">
        <v>0</v>
      </c>
      <c r="AP830" s="52">
        <v>0</v>
      </c>
      <c r="AQ830" s="52">
        <v>0</v>
      </c>
      <c r="AR830" s="52">
        <v>0</v>
      </c>
      <c r="AS830" s="52">
        <v>0</v>
      </c>
      <c r="AT830" s="53" t="s">
        <v>74</v>
      </c>
      <c r="AU830" s="52">
        <v>0</v>
      </c>
      <c r="AV830" s="52"/>
      <c r="AW830" s="52">
        <v>0</v>
      </c>
      <c r="AX830" s="52"/>
      <c r="AY830" s="52"/>
      <c r="AZ830" s="52">
        <v>0</v>
      </c>
      <c r="BA830" s="52">
        <v>0</v>
      </c>
      <c r="BB830" s="54" t="s">
        <v>74</v>
      </c>
      <c r="BC830" s="53" t="s">
        <v>74</v>
      </c>
      <c r="BD830" s="55" t="s">
        <v>74</v>
      </c>
      <c r="BE830" s="55" t="s">
        <v>74</v>
      </c>
      <c r="BF830" s="55" t="s">
        <v>74</v>
      </c>
      <c r="BG830" s="55" t="s">
        <v>74</v>
      </c>
      <c r="BH830" s="52">
        <v>0</v>
      </c>
      <c r="BI830" s="52">
        <v>3317384.79</v>
      </c>
      <c r="BJ830" s="52">
        <v>2506701.86</v>
      </c>
      <c r="BK830" s="56">
        <v>43862</v>
      </c>
      <c r="BL830" s="57">
        <v>3317384.79</v>
      </c>
      <c r="BM830" s="47">
        <v>0</v>
      </c>
      <c r="BN830" s="9"/>
      <c r="BO830" s="9"/>
      <c r="BP830" s="9"/>
      <c r="BQ830" s="9"/>
      <c r="BR830" s="9"/>
      <c r="BS830" s="9"/>
      <c r="BT830" s="9"/>
      <c r="BU830" s="9"/>
      <c r="BV830" s="9"/>
      <c r="BW830" s="9"/>
    </row>
    <row r="831" spans="1:75" ht="128.25" hidden="1" outlineLevel="2" x14ac:dyDescent="0.25">
      <c r="A831" s="43" t="s">
        <v>795</v>
      </c>
      <c r="B831" s="110" t="s">
        <v>875</v>
      </c>
      <c r="C831" s="45">
        <v>2020</v>
      </c>
      <c r="D831" s="110" t="s">
        <v>77</v>
      </c>
      <c r="E831" s="47">
        <v>4973273.51</v>
      </c>
      <c r="F831" s="47">
        <v>0</v>
      </c>
      <c r="G831" s="47">
        <v>0</v>
      </c>
      <c r="H831" s="47">
        <v>0</v>
      </c>
      <c r="I831" s="47">
        <v>0</v>
      </c>
      <c r="J831" s="47">
        <v>0</v>
      </c>
      <c r="K831" s="47">
        <v>0</v>
      </c>
      <c r="L831" s="47">
        <v>0</v>
      </c>
      <c r="M831" s="47">
        <v>0</v>
      </c>
      <c r="N831" s="47">
        <v>0</v>
      </c>
      <c r="O831" s="47">
        <v>0</v>
      </c>
      <c r="P831" s="47">
        <v>0</v>
      </c>
      <c r="Q831" s="47">
        <v>0</v>
      </c>
      <c r="R831" s="47">
        <v>0</v>
      </c>
      <c r="S831" s="47">
        <v>0</v>
      </c>
      <c r="T831" s="47">
        <v>0</v>
      </c>
      <c r="U831" s="47">
        <v>0</v>
      </c>
      <c r="V831" s="47">
        <v>0</v>
      </c>
      <c r="W831" s="47">
        <v>0</v>
      </c>
      <c r="X831" s="47">
        <v>0</v>
      </c>
      <c r="Y831" s="48">
        <v>4973273.51</v>
      </c>
      <c r="Z831" s="58">
        <v>1559360.93</v>
      </c>
      <c r="AA831" s="50">
        <v>1559360.93</v>
      </c>
      <c r="AB831" s="50">
        <v>0</v>
      </c>
      <c r="AC831" s="50">
        <v>0</v>
      </c>
      <c r="AD831" s="50">
        <v>56695.06</v>
      </c>
      <c r="AE831" s="50">
        <v>0</v>
      </c>
      <c r="AF831" s="50">
        <v>0</v>
      </c>
      <c r="AG831" s="49">
        <v>1616055.99</v>
      </c>
      <c r="AH831" s="51" t="s">
        <v>104</v>
      </c>
      <c r="AI831" s="51" t="s">
        <v>74</v>
      </c>
      <c r="AJ831" s="51" t="s">
        <v>74</v>
      </c>
      <c r="AK831" s="51" t="s">
        <v>313</v>
      </c>
      <c r="AL831" s="51" t="s">
        <v>74</v>
      </c>
      <c r="AM831" s="51" t="s">
        <v>74</v>
      </c>
      <c r="AN831" s="52"/>
      <c r="AO831" s="52"/>
      <c r="AP831" s="52"/>
      <c r="AQ831" s="52"/>
      <c r="AR831" s="52"/>
      <c r="AS831" s="52">
        <v>0</v>
      </c>
      <c r="AT831" s="53" t="s">
        <v>74</v>
      </c>
      <c r="AU831" s="52">
        <v>83024.2</v>
      </c>
      <c r="AV831" s="52"/>
      <c r="AW831" s="52">
        <v>160431.67000000001</v>
      </c>
      <c r="AX831" s="52"/>
      <c r="AY831" s="52"/>
      <c r="AZ831" s="52">
        <v>0</v>
      </c>
      <c r="BA831" s="52">
        <v>243455.87</v>
      </c>
      <c r="BB831" s="55" t="s">
        <v>884</v>
      </c>
      <c r="BC831" s="51" t="s">
        <v>74</v>
      </c>
      <c r="BD831" s="55" t="s">
        <v>885</v>
      </c>
      <c r="BE831" s="55" t="s">
        <v>74</v>
      </c>
      <c r="BF831" s="55" t="s">
        <v>74</v>
      </c>
      <c r="BG831" s="55" t="s">
        <v>74</v>
      </c>
      <c r="BH831" s="52">
        <v>243455.87</v>
      </c>
      <c r="BI831" s="52">
        <v>3600673.39</v>
      </c>
      <c r="BJ831" s="52">
        <v>3357217.52</v>
      </c>
      <c r="BK831" s="56">
        <v>43891</v>
      </c>
      <c r="BL831" s="57">
        <v>3600673.39</v>
      </c>
      <c r="BM831" s="47">
        <v>0</v>
      </c>
      <c r="BN831" s="9"/>
      <c r="BO831" s="9"/>
      <c r="BP831" s="9"/>
      <c r="BQ831" s="9"/>
      <c r="BR831" s="9"/>
      <c r="BS831" s="9"/>
      <c r="BT831" s="9"/>
      <c r="BU831" s="9"/>
      <c r="BV831" s="9"/>
      <c r="BW831" s="9"/>
    </row>
    <row r="832" spans="1:75" ht="26.25" hidden="1" outlineLevel="2" x14ac:dyDescent="0.25">
      <c r="A832" s="43" t="s">
        <v>795</v>
      </c>
      <c r="B832" s="110" t="s">
        <v>875</v>
      </c>
      <c r="C832" s="45">
        <v>2020</v>
      </c>
      <c r="D832" s="110" t="s">
        <v>79</v>
      </c>
      <c r="E832" s="47">
        <v>4973273.51</v>
      </c>
      <c r="F832" s="47">
        <v>0</v>
      </c>
      <c r="G832" s="47">
        <v>0</v>
      </c>
      <c r="H832" s="47">
        <v>0</v>
      </c>
      <c r="I832" s="47">
        <v>0</v>
      </c>
      <c r="J832" s="47">
        <v>0</v>
      </c>
      <c r="K832" s="47">
        <v>0</v>
      </c>
      <c r="L832" s="47">
        <v>0</v>
      </c>
      <c r="M832" s="47">
        <v>0</v>
      </c>
      <c r="N832" s="47">
        <v>0</v>
      </c>
      <c r="O832" s="47">
        <v>0</v>
      </c>
      <c r="P832" s="47">
        <v>0</v>
      </c>
      <c r="Q832" s="47">
        <v>0</v>
      </c>
      <c r="R832" s="47">
        <v>0</v>
      </c>
      <c r="S832" s="47">
        <v>0</v>
      </c>
      <c r="T832" s="47">
        <v>0</v>
      </c>
      <c r="U832" s="47">
        <v>0</v>
      </c>
      <c r="V832" s="47">
        <v>0</v>
      </c>
      <c r="W832" s="47">
        <v>0</v>
      </c>
      <c r="X832" s="47">
        <v>0</v>
      </c>
      <c r="Y832" s="48">
        <v>4973273.51</v>
      </c>
      <c r="Z832" s="58">
        <v>1598352.4</v>
      </c>
      <c r="AA832" s="50">
        <v>1598352.4</v>
      </c>
      <c r="AB832" s="50">
        <v>0</v>
      </c>
      <c r="AC832" s="50">
        <v>0</v>
      </c>
      <c r="AD832" s="50">
        <v>50122.69</v>
      </c>
      <c r="AE832" s="50">
        <v>0</v>
      </c>
      <c r="AF832" s="50">
        <v>0</v>
      </c>
      <c r="AG832" s="49">
        <v>1648475.09</v>
      </c>
      <c r="AH832" s="51" t="s">
        <v>104</v>
      </c>
      <c r="AI832" s="51" t="s">
        <v>74</v>
      </c>
      <c r="AJ832" s="51" t="s">
        <v>74</v>
      </c>
      <c r="AK832" s="51" t="s">
        <v>315</v>
      </c>
      <c r="AL832" s="51" t="s">
        <v>74</v>
      </c>
      <c r="AM832" s="51" t="s">
        <v>74</v>
      </c>
      <c r="AN832" s="52">
        <v>0</v>
      </c>
      <c r="AO832" s="52">
        <v>0</v>
      </c>
      <c r="AP832" s="52">
        <v>0</v>
      </c>
      <c r="AQ832" s="52">
        <v>0</v>
      </c>
      <c r="AR832" s="52">
        <v>0</v>
      </c>
      <c r="AS832" s="52">
        <v>0</v>
      </c>
      <c r="AT832" s="53" t="s">
        <v>74</v>
      </c>
      <c r="AU832" s="52">
        <v>0</v>
      </c>
      <c r="AV832" s="52"/>
      <c r="AW832" s="52">
        <v>0</v>
      </c>
      <c r="AX832" s="52"/>
      <c r="AY832" s="52"/>
      <c r="AZ832" s="52">
        <v>0</v>
      </c>
      <c r="BA832" s="52">
        <v>0</v>
      </c>
      <c r="BB832" s="54" t="s">
        <v>74</v>
      </c>
      <c r="BC832" s="53" t="s">
        <v>74</v>
      </c>
      <c r="BD832" s="55" t="s">
        <v>74</v>
      </c>
      <c r="BE832" s="55" t="s">
        <v>74</v>
      </c>
      <c r="BF832" s="55" t="s">
        <v>74</v>
      </c>
      <c r="BG832" s="55" t="s">
        <v>74</v>
      </c>
      <c r="BH832" s="52">
        <v>0</v>
      </c>
      <c r="BI832" s="52">
        <v>3324798.42</v>
      </c>
      <c r="BJ832" s="52">
        <v>3324798.42</v>
      </c>
      <c r="BK832" s="56">
        <v>43922</v>
      </c>
      <c r="BL832" s="57">
        <v>3324798.42</v>
      </c>
      <c r="BM832" s="47">
        <v>0</v>
      </c>
      <c r="BN832" s="9"/>
      <c r="BO832" s="9"/>
      <c r="BP832" s="9"/>
      <c r="BQ832" s="9"/>
      <c r="BR832" s="9"/>
      <c r="BS832" s="9"/>
      <c r="BT832" s="9"/>
      <c r="BU832" s="9"/>
      <c r="BV832" s="9"/>
      <c r="BW832" s="9"/>
    </row>
    <row r="833" spans="1:75" ht="26.25" hidden="1" outlineLevel="2" x14ac:dyDescent="0.25">
      <c r="A833" s="43" t="s">
        <v>795</v>
      </c>
      <c r="B833" s="110" t="s">
        <v>875</v>
      </c>
      <c r="C833" s="45">
        <v>2020</v>
      </c>
      <c r="D833" s="110" t="s">
        <v>81</v>
      </c>
      <c r="E833" s="47">
        <v>4973273.51</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4973273.51</v>
      </c>
      <c r="Z833" s="58">
        <v>1623969.75</v>
      </c>
      <c r="AA833" s="50">
        <v>1623969.75</v>
      </c>
      <c r="AB833" s="50">
        <v>0</v>
      </c>
      <c r="AC833" s="50">
        <v>0</v>
      </c>
      <c r="AD833" s="50">
        <v>61596.68</v>
      </c>
      <c r="AE833" s="50">
        <v>0</v>
      </c>
      <c r="AF833" s="50">
        <v>0</v>
      </c>
      <c r="AG833" s="49">
        <v>1685566.43</v>
      </c>
      <c r="AH833" s="51" t="s">
        <v>104</v>
      </c>
      <c r="AI833" s="51" t="s">
        <v>74</v>
      </c>
      <c r="AJ833" s="51" t="s">
        <v>74</v>
      </c>
      <c r="AK833" s="51" t="s">
        <v>162</v>
      </c>
      <c r="AL833" s="51" t="s">
        <v>74</v>
      </c>
      <c r="AM833" s="51" t="s">
        <v>74</v>
      </c>
      <c r="AN833" s="52">
        <v>0</v>
      </c>
      <c r="AO833" s="52">
        <v>0</v>
      </c>
      <c r="AP833" s="52">
        <v>0</v>
      </c>
      <c r="AQ833" s="52">
        <v>0</v>
      </c>
      <c r="AR833" s="52">
        <v>0</v>
      </c>
      <c r="AS833" s="52">
        <v>0</v>
      </c>
      <c r="AT833" s="53" t="s">
        <v>74</v>
      </c>
      <c r="AU833" s="52">
        <v>0</v>
      </c>
      <c r="AV833" s="52"/>
      <c r="AW833" s="52">
        <v>0</v>
      </c>
      <c r="AX833" s="52"/>
      <c r="AY833" s="52"/>
      <c r="AZ833" s="52">
        <v>0</v>
      </c>
      <c r="BA833" s="52">
        <v>0</v>
      </c>
      <c r="BB833" s="54" t="s">
        <v>74</v>
      </c>
      <c r="BC833" s="53" t="s">
        <v>74</v>
      </c>
      <c r="BD833" s="55" t="s">
        <v>74</v>
      </c>
      <c r="BE833" s="55" t="s">
        <v>74</v>
      </c>
      <c r="BF833" s="55" t="s">
        <v>74</v>
      </c>
      <c r="BG833" s="55" t="s">
        <v>74</v>
      </c>
      <c r="BH833" s="52">
        <v>0</v>
      </c>
      <c r="BI833" s="52">
        <v>3287707.08</v>
      </c>
      <c r="BJ833" s="52">
        <v>3287707.08</v>
      </c>
      <c r="BK833" s="56">
        <v>43952</v>
      </c>
      <c r="BL833" s="57">
        <v>3287707.08</v>
      </c>
      <c r="BM833" s="47">
        <v>0</v>
      </c>
      <c r="BN833" s="9"/>
      <c r="BO833" s="9"/>
      <c r="BP833" s="9"/>
      <c r="BQ833" s="9"/>
      <c r="BR833" s="9"/>
      <c r="BS833" s="9"/>
      <c r="BT833" s="9"/>
      <c r="BU833" s="9"/>
      <c r="BV833" s="9"/>
      <c r="BW833" s="9"/>
    </row>
    <row r="834" spans="1:75" ht="64.5" hidden="1" outlineLevel="2" x14ac:dyDescent="0.25">
      <c r="A834" s="43" t="s">
        <v>795</v>
      </c>
      <c r="B834" s="110" t="s">
        <v>875</v>
      </c>
      <c r="C834" s="45">
        <v>2020</v>
      </c>
      <c r="D834" s="110" t="s">
        <v>83</v>
      </c>
      <c r="E834" s="47">
        <v>4973273.51</v>
      </c>
      <c r="F834" s="47">
        <v>0</v>
      </c>
      <c r="G834" s="47">
        <v>0</v>
      </c>
      <c r="H834" s="47">
        <v>0</v>
      </c>
      <c r="I834" s="47">
        <v>0</v>
      </c>
      <c r="J834" s="47">
        <v>0</v>
      </c>
      <c r="K834" s="47">
        <v>0</v>
      </c>
      <c r="L834" s="47">
        <v>0</v>
      </c>
      <c r="M834" s="47">
        <v>0</v>
      </c>
      <c r="N834" s="47">
        <v>0</v>
      </c>
      <c r="O834" s="47">
        <v>0</v>
      </c>
      <c r="P834" s="47">
        <v>0</v>
      </c>
      <c r="Q834" s="47">
        <v>0</v>
      </c>
      <c r="R834" s="47">
        <v>0</v>
      </c>
      <c r="S834" s="47">
        <v>0</v>
      </c>
      <c r="T834" s="47">
        <v>0</v>
      </c>
      <c r="U834" s="47">
        <v>0</v>
      </c>
      <c r="V834" s="47">
        <v>0</v>
      </c>
      <c r="W834" s="47">
        <v>0</v>
      </c>
      <c r="X834" s="47">
        <v>0</v>
      </c>
      <c r="Y834" s="48">
        <v>4973273.51</v>
      </c>
      <c r="Z834" s="58">
        <v>1629988.48</v>
      </c>
      <c r="AA834" s="50">
        <v>1629988.48</v>
      </c>
      <c r="AB834" s="50">
        <v>0</v>
      </c>
      <c r="AC834" s="50">
        <v>0</v>
      </c>
      <c r="AD834" s="62">
        <v>49175.42</v>
      </c>
      <c r="AE834" s="50">
        <v>0</v>
      </c>
      <c r="AF834" s="50">
        <v>0</v>
      </c>
      <c r="AG834" s="49">
        <v>1679163.9</v>
      </c>
      <c r="AH834" s="51" t="s">
        <v>104</v>
      </c>
      <c r="AI834" s="51" t="s">
        <v>74</v>
      </c>
      <c r="AJ834" s="51" t="s">
        <v>74</v>
      </c>
      <c r="AK834" s="51" t="s">
        <v>163</v>
      </c>
      <c r="AL834" s="51" t="s">
        <v>74</v>
      </c>
      <c r="AM834" s="51" t="s">
        <v>74</v>
      </c>
      <c r="AN834" s="52"/>
      <c r="AO834" s="52"/>
      <c r="AP834" s="52"/>
      <c r="AQ834" s="52"/>
      <c r="AR834" s="52"/>
      <c r="AS834" s="52">
        <v>0</v>
      </c>
      <c r="AT834" s="53" t="s">
        <v>74</v>
      </c>
      <c r="AU834" s="114">
        <v>103777.58</v>
      </c>
      <c r="AV834" s="52"/>
      <c r="AW834" s="52">
        <v>0</v>
      </c>
      <c r="AX834" s="52"/>
      <c r="AY834" s="52"/>
      <c r="AZ834" s="52">
        <v>0</v>
      </c>
      <c r="BA834" s="52">
        <v>103777.58</v>
      </c>
      <c r="BB834" s="55" t="s">
        <v>886</v>
      </c>
      <c r="BC834" s="51" t="s">
        <v>74</v>
      </c>
      <c r="BD834" s="54" t="s">
        <v>74</v>
      </c>
      <c r="BE834" s="54" t="s">
        <v>74</v>
      </c>
      <c r="BF834" s="54" t="s">
        <v>74</v>
      </c>
      <c r="BG834" s="54" t="s">
        <v>74</v>
      </c>
      <c r="BH834" s="52">
        <v>103777.58</v>
      </c>
      <c r="BI834" s="52">
        <v>3397887.19</v>
      </c>
      <c r="BJ834" s="52">
        <v>3294109.61</v>
      </c>
      <c r="BK834" s="56">
        <v>43983</v>
      </c>
      <c r="BL834" s="57">
        <v>3397887.19</v>
      </c>
      <c r="BM834" s="47">
        <v>0</v>
      </c>
      <c r="BN834" s="9"/>
      <c r="BO834" s="9"/>
      <c r="BP834" s="9"/>
      <c r="BQ834" s="9"/>
      <c r="BR834" s="9"/>
      <c r="BS834" s="9"/>
      <c r="BT834" s="9"/>
      <c r="BU834" s="9"/>
      <c r="BV834" s="9"/>
      <c r="BW834" s="9"/>
    </row>
    <row r="835" spans="1:75" ht="115.5" hidden="1" outlineLevel="2" x14ac:dyDescent="0.25">
      <c r="A835" s="43" t="s">
        <v>795</v>
      </c>
      <c r="B835" s="110" t="s">
        <v>875</v>
      </c>
      <c r="C835" s="45">
        <v>2020</v>
      </c>
      <c r="D835" s="110" t="s">
        <v>84</v>
      </c>
      <c r="E835" s="47">
        <v>4973273.51</v>
      </c>
      <c r="F835" s="47">
        <v>0</v>
      </c>
      <c r="G835" s="47">
        <v>0</v>
      </c>
      <c r="H835" s="47">
        <v>0</v>
      </c>
      <c r="I835" s="47">
        <v>0</v>
      </c>
      <c r="J835" s="47">
        <v>0</v>
      </c>
      <c r="K835" s="47">
        <v>0</v>
      </c>
      <c r="L835" s="47">
        <v>0</v>
      </c>
      <c r="M835" s="47">
        <v>0</v>
      </c>
      <c r="N835" s="47">
        <v>0</v>
      </c>
      <c r="O835" s="47">
        <v>0</v>
      </c>
      <c r="P835" s="47">
        <v>0</v>
      </c>
      <c r="Q835" s="47">
        <v>0</v>
      </c>
      <c r="R835" s="47">
        <v>0</v>
      </c>
      <c r="S835" s="47">
        <v>0</v>
      </c>
      <c r="T835" s="47">
        <v>0</v>
      </c>
      <c r="U835" s="47">
        <v>0</v>
      </c>
      <c r="V835" s="47">
        <v>0</v>
      </c>
      <c r="W835" s="47">
        <v>0</v>
      </c>
      <c r="X835" s="47">
        <v>0</v>
      </c>
      <c r="Y835" s="48">
        <v>4973273.51</v>
      </c>
      <c r="Z835" s="58">
        <v>1622167.05</v>
      </c>
      <c r="AA835" s="50">
        <v>1622167.05</v>
      </c>
      <c r="AB835" s="50">
        <v>0</v>
      </c>
      <c r="AC835" s="50">
        <v>0</v>
      </c>
      <c r="AD835" s="62">
        <v>41479.4</v>
      </c>
      <c r="AE835" s="50">
        <v>0</v>
      </c>
      <c r="AF835" s="50">
        <v>0</v>
      </c>
      <c r="AG835" s="49">
        <v>1663646.45</v>
      </c>
      <c r="AH835" s="51" t="s">
        <v>104</v>
      </c>
      <c r="AI835" s="51" t="s">
        <v>74</v>
      </c>
      <c r="AJ835" s="51" t="s">
        <v>74</v>
      </c>
      <c r="AK835" s="51" t="s">
        <v>165</v>
      </c>
      <c r="AL835" s="51" t="s">
        <v>74</v>
      </c>
      <c r="AM835" s="51" t="s">
        <v>74</v>
      </c>
      <c r="AN835" s="52"/>
      <c r="AO835" s="52"/>
      <c r="AP835" s="52"/>
      <c r="AQ835" s="52"/>
      <c r="AR835" s="52"/>
      <c r="AS835" s="52">
        <v>0</v>
      </c>
      <c r="AT835" s="53" t="s">
        <v>74</v>
      </c>
      <c r="AU835" s="59">
        <v>94352.11</v>
      </c>
      <c r="AV835" s="52"/>
      <c r="AW835" s="59">
        <v>17599.86</v>
      </c>
      <c r="AX835" s="52"/>
      <c r="AY835" s="52"/>
      <c r="AZ835" s="52">
        <v>0</v>
      </c>
      <c r="BA835" s="52">
        <v>111951.97</v>
      </c>
      <c r="BB835" s="53" t="s">
        <v>887</v>
      </c>
      <c r="BC835" s="53" t="s">
        <v>74</v>
      </c>
      <c r="BD835" s="55" t="s">
        <v>888</v>
      </c>
      <c r="BE835" s="55" t="s">
        <v>74</v>
      </c>
      <c r="BF835" s="55" t="s">
        <v>74</v>
      </c>
      <c r="BG835" s="55" t="s">
        <v>74</v>
      </c>
      <c r="BH835" s="52">
        <v>111951.97</v>
      </c>
      <c r="BI835" s="52">
        <v>3421579.03</v>
      </c>
      <c r="BJ835" s="52">
        <v>3309627.06</v>
      </c>
      <c r="BK835" s="56">
        <v>44013</v>
      </c>
      <c r="BL835" s="57">
        <v>3421579.03</v>
      </c>
      <c r="BM835" s="47">
        <v>0</v>
      </c>
      <c r="BN835" s="9"/>
      <c r="BO835" s="9"/>
      <c r="BP835" s="9"/>
      <c r="BQ835" s="9"/>
      <c r="BR835" s="9"/>
      <c r="BS835" s="9"/>
      <c r="BT835" s="9"/>
      <c r="BU835" s="9"/>
      <c r="BV835" s="9"/>
      <c r="BW835" s="9"/>
    </row>
    <row r="836" spans="1:75" ht="26.25" hidden="1" outlineLevel="2" x14ac:dyDescent="0.25">
      <c r="A836" s="43" t="s">
        <v>795</v>
      </c>
      <c r="B836" s="110" t="s">
        <v>875</v>
      </c>
      <c r="C836" s="45">
        <v>2020</v>
      </c>
      <c r="D836" s="110" t="s">
        <v>86</v>
      </c>
      <c r="E836" s="47">
        <v>4973273.51</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4973273.51</v>
      </c>
      <c r="Z836" s="65">
        <v>1430062.97</v>
      </c>
      <c r="AA836" s="61">
        <v>1430062.97</v>
      </c>
      <c r="AB836" s="50">
        <v>0</v>
      </c>
      <c r="AC836" s="50">
        <v>0</v>
      </c>
      <c r="AD836" s="62">
        <v>48426.77</v>
      </c>
      <c r="AE836" s="50">
        <v>0</v>
      </c>
      <c r="AF836" s="50">
        <v>0</v>
      </c>
      <c r="AG836" s="49">
        <v>1478489.74</v>
      </c>
      <c r="AH836" s="51" t="s">
        <v>104</v>
      </c>
      <c r="AI836" s="51" t="s">
        <v>74</v>
      </c>
      <c r="AJ836" s="51" t="s">
        <v>74</v>
      </c>
      <c r="AK836" s="51" t="s">
        <v>168</v>
      </c>
      <c r="AL836" s="51" t="s">
        <v>74</v>
      </c>
      <c r="AM836" s="51" t="s">
        <v>74</v>
      </c>
      <c r="AN836" s="52">
        <v>0</v>
      </c>
      <c r="AO836" s="52">
        <v>0</v>
      </c>
      <c r="AP836" s="52">
        <v>0</v>
      </c>
      <c r="AQ836" s="52">
        <v>0</v>
      </c>
      <c r="AR836" s="52">
        <v>0</v>
      </c>
      <c r="AS836" s="52">
        <v>0</v>
      </c>
      <c r="AT836" s="53" t="s">
        <v>74</v>
      </c>
      <c r="AU836" s="52">
        <v>0</v>
      </c>
      <c r="AV836" s="52"/>
      <c r="AW836" s="52">
        <v>0</v>
      </c>
      <c r="AX836" s="52"/>
      <c r="AY836" s="52"/>
      <c r="AZ836" s="52">
        <v>0</v>
      </c>
      <c r="BA836" s="52">
        <v>0</v>
      </c>
      <c r="BB836" s="54" t="s">
        <v>74</v>
      </c>
      <c r="BC836" s="53" t="s">
        <v>74</v>
      </c>
      <c r="BD836" s="55" t="s">
        <v>74</v>
      </c>
      <c r="BE836" s="55" t="s">
        <v>74</v>
      </c>
      <c r="BF836" s="55" t="s">
        <v>74</v>
      </c>
      <c r="BG836" s="55" t="s">
        <v>74</v>
      </c>
      <c r="BH836" s="52">
        <v>0</v>
      </c>
      <c r="BI836" s="52">
        <v>3494783.77</v>
      </c>
      <c r="BJ836" s="52">
        <v>3494783.77</v>
      </c>
      <c r="BK836" s="56">
        <v>44044</v>
      </c>
      <c r="BL836" s="63">
        <v>3494783.77</v>
      </c>
      <c r="BM836" s="47">
        <v>0</v>
      </c>
      <c r="BN836" s="9"/>
      <c r="BO836" s="9"/>
      <c r="BP836" s="9"/>
      <c r="BQ836" s="9"/>
      <c r="BR836" s="9"/>
      <c r="BS836" s="9"/>
      <c r="BT836" s="9"/>
      <c r="BU836" s="9"/>
      <c r="BV836" s="9"/>
      <c r="BW836" s="9"/>
    </row>
    <row r="837" spans="1:75" ht="39" hidden="1" outlineLevel="2" x14ac:dyDescent="0.25">
      <c r="A837" s="43" t="s">
        <v>795</v>
      </c>
      <c r="B837" s="110" t="s">
        <v>875</v>
      </c>
      <c r="C837" s="45">
        <v>2020</v>
      </c>
      <c r="D837" s="110" t="s">
        <v>88</v>
      </c>
      <c r="E837" s="47">
        <v>4973273.51</v>
      </c>
      <c r="F837" s="47">
        <v>0</v>
      </c>
      <c r="G837" s="47">
        <v>0</v>
      </c>
      <c r="H837" s="47">
        <v>0</v>
      </c>
      <c r="I837" s="47">
        <v>0</v>
      </c>
      <c r="J837" s="47">
        <v>0</v>
      </c>
      <c r="K837" s="47">
        <v>0</v>
      </c>
      <c r="L837" s="47">
        <v>0</v>
      </c>
      <c r="M837" s="47">
        <v>0</v>
      </c>
      <c r="N837" s="47">
        <v>0</v>
      </c>
      <c r="O837" s="47">
        <v>0</v>
      </c>
      <c r="P837" s="47">
        <v>0</v>
      </c>
      <c r="Q837" s="47">
        <v>0</v>
      </c>
      <c r="R837" s="47">
        <v>0</v>
      </c>
      <c r="S837" s="47">
        <v>0</v>
      </c>
      <c r="T837" s="47">
        <v>0</v>
      </c>
      <c r="U837" s="47">
        <v>0</v>
      </c>
      <c r="V837" s="47">
        <v>0</v>
      </c>
      <c r="W837" s="47">
        <v>0</v>
      </c>
      <c r="X837" s="47">
        <v>0</v>
      </c>
      <c r="Y837" s="48">
        <v>4973273.51</v>
      </c>
      <c r="Z837" s="66">
        <v>1623943.94</v>
      </c>
      <c r="AA837" s="62">
        <v>1623943.94</v>
      </c>
      <c r="AB837" s="50">
        <v>0</v>
      </c>
      <c r="AC837" s="50">
        <v>0</v>
      </c>
      <c r="AD837" s="62">
        <v>42361.55</v>
      </c>
      <c r="AE837" s="50">
        <v>0</v>
      </c>
      <c r="AF837" s="50">
        <v>0</v>
      </c>
      <c r="AG837" s="49">
        <v>1666305.49</v>
      </c>
      <c r="AH837" s="51" t="s">
        <v>104</v>
      </c>
      <c r="AI837" s="51" t="s">
        <v>74</v>
      </c>
      <c r="AJ837" s="51" t="s">
        <v>74</v>
      </c>
      <c r="AK837" s="51" t="s">
        <v>170</v>
      </c>
      <c r="AL837" s="51" t="s">
        <v>74</v>
      </c>
      <c r="AM837" s="51" t="s">
        <v>74</v>
      </c>
      <c r="AN837" s="52"/>
      <c r="AO837" s="52"/>
      <c r="AP837" s="52"/>
      <c r="AQ837" s="52"/>
      <c r="AR837" s="52"/>
      <c r="AS837" s="52">
        <v>0</v>
      </c>
      <c r="AT837" s="53" t="s">
        <v>74</v>
      </c>
      <c r="AU837" s="52">
        <v>0</v>
      </c>
      <c r="AV837" s="52"/>
      <c r="AW837" s="59">
        <v>15600</v>
      </c>
      <c r="AX837" s="52"/>
      <c r="AY837" s="52"/>
      <c r="AZ837" s="52">
        <v>0</v>
      </c>
      <c r="BA837" s="52">
        <v>15600</v>
      </c>
      <c r="BB837" s="54" t="s">
        <v>74</v>
      </c>
      <c r="BC837" s="53" t="s">
        <v>74</v>
      </c>
      <c r="BD837" s="55" t="s">
        <v>889</v>
      </c>
      <c r="BE837" s="55" t="s">
        <v>74</v>
      </c>
      <c r="BF837" s="55" t="s">
        <v>74</v>
      </c>
      <c r="BG837" s="55" t="s">
        <v>74</v>
      </c>
      <c r="BH837" s="52">
        <v>15600</v>
      </c>
      <c r="BI837" s="52">
        <v>3322568.02</v>
      </c>
      <c r="BJ837" s="52">
        <v>3306968.02</v>
      </c>
      <c r="BK837" s="56">
        <v>44075</v>
      </c>
      <c r="BL837" s="63">
        <v>3322568.02</v>
      </c>
      <c r="BM837" s="47">
        <v>0</v>
      </c>
      <c r="BN837" s="9"/>
      <c r="BO837" s="9"/>
      <c r="BP837" s="9"/>
      <c r="BQ837" s="9"/>
      <c r="BR837" s="9"/>
      <c r="BS837" s="9"/>
      <c r="BT837" s="9"/>
      <c r="BU837" s="9"/>
      <c r="BV837" s="9"/>
      <c r="BW837" s="9"/>
    </row>
    <row r="838" spans="1:75" ht="26.25" hidden="1" outlineLevel="2" x14ac:dyDescent="0.25">
      <c r="A838" s="43" t="s">
        <v>795</v>
      </c>
      <c r="B838" s="110" t="s">
        <v>875</v>
      </c>
      <c r="C838" s="45">
        <v>2020</v>
      </c>
      <c r="D838" s="110" t="s">
        <v>89</v>
      </c>
      <c r="E838" s="47">
        <v>4973273.51</v>
      </c>
      <c r="F838" s="47">
        <v>0</v>
      </c>
      <c r="G838" s="47">
        <v>0</v>
      </c>
      <c r="H838" s="47">
        <v>0</v>
      </c>
      <c r="I838" s="47">
        <v>0</v>
      </c>
      <c r="J838" s="47">
        <v>0</v>
      </c>
      <c r="K838" s="47">
        <v>0</v>
      </c>
      <c r="L838" s="47">
        <v>0</v>
      </c>
      <c r="M838" s="47">
        <v>0</v>
      </c>
      <c r="N838" s="47">
        <v>0</v>
      </c>
      <c r="O838" s="47">
        <v>0</v>
      </c>
      <c r="P838" s="47">
        <v>0</v>
      </c>
      <c r="Q838" s="47">
        <v>0</v>
      </c>
      <c r="R838" s="47">
        <v>0</v>
      </c>
      <c r="S838" s="47">
        <v>0</v>
      </c>
      <c r="T838" s="47">
        <v>0</v>
      </c>
      <c r="U838" s="47">
        <v>0</v>
      </c>
      <c r="V838" s="47">
        <v>0</v>
      </c>
      <c r="W838" s="47">
        <v>0</v>
      </c>
      <c r="X838" s="47">
        <v>0</v>
      </c>
      <c r="Y838" s="48">
        <v>4973273.51</v>
      </c>
      <c r="Z838" s="66">
        <v>1627314.81</v>
      </c>
      <c r="AA838" s="62">
        <v>1627314.81</v>
      </c>
      <c r="AB838" s="50">
        <v>0</v>
      </c>
      <c r="AC838" s="50">
        <v>0</v>
      </c>
      <c r="AD838" s="62">
        <v>49192.13</v>
      </c>
      <c r="AE838" s="50">
        <v>0</v>
      </c>
      <c r="AF838" s="50">
        <v>0</v>
      </c>
      <c r="AG838" s="49">
        <v>1676506.94</v>
      </c>
      <c r="AH838" s="51" t="s">
        <v>104</v>
      </c>
      <c r="AI838" s="51" t="s">
        <v>74</v>
      </c>
      <c r="AJ838" s="51" t="s">
        <v>74</v>
      </c>
      <c r="AK838" s="51" t="s">
        <v>172</v>
      </c>
      <c r="AL838" s="51" t="s">
        <v>74</v>
      </c>
      <c r="AM838" s="51" t="s">
        <v>74</v>
      </c>
      <c r="AN838" s="52">
        <v>0</v>
      </c>
      <c r="AO838" s="52">
        <v>0</v>
      </c>
      <c r="AP838" s="52">
        <v>0</v>
      </c>
      <c r="AQ838" s="52">
        <v>0</v>
      </c>
      <c r="AR838" s="52">
        <v>0</v>
      </c>
      <c r="AS838" s="52">
        <v>0</v>
      </c>
      <c r="AT838" s="53" t="s">
        <v>74</v>
      </c>
      <c r="AU838" s="52">
        <v>0</v>
      </c>
      <c r="AV838" s="52"/>
      <c r="AW838" s="52">
        <v>0</v>
      </c>
      <c r="AX838" s="52"/>
      <c r="AY838" s="52"/>
      <c r="AZ838" s="52">
        <v>0</v>
      </c>
      <c r="BA838" s="52">
        <v>0</v>
      </c>
      <c r="BB838" s="54" t="s">
        <v>74</v>
      </c>
      <c r="BC838" s="53" t="s">
        <v>74</v>
      </c>
      <c r="BD838" s="55" t="s">
        <v>74</v>
      </c>
      <c r="BE838" s="55" t="s">
        <v>74</v>
      </c>
      <c r="BF838" s="55" t="s">
        <v>74</v>
      </c>
      <c r="BG838" s="55" t="s">
        <v>74</v>
      </c>
      <c r="BH838" s="52">
        <v>0</v>
      </c>
      <c r="BI838" s="52">
        <v>3296766.57</v>
      </c>
      <c r="BJ838" s="52">
        <v>3296766.57</v>
      </c>
      <c r="BK838" s="56">
        <v>44105</v>
      </c>
      <c r="BL838" s="63">
        <v>3296766.57</v>
      </c>
      <c r="BM838" s="47">
        <v>0</v>
      </c>
      <c r="BN838" s="9"/>
      <c r="BO838" s="9"/>
      <c r="BP838" s="9"/>
      <c r="BQ838" s="9"/>
      <c r="BR838" s="9"/>
      <c r="BS838" s="9"/>
      <c r="BT838" s="9"/>
      <c r="BU838" s="9"/>
      <c r="BV838" s="9"/>
      <c r="BW838" s="9"/>
    </row>
    <row r="839" spans="1:75" hidden="1" outlineLevel="2" x14ac:dyDescent="0.25">
      <c r="A839" s="43" t="s">
        <v>795</v>
      </c>
      <c r="B839" s="110" t="s">
        <v>875</v>
      </c>
      <c r="C839" s="45">
        <v>2020</v>
      </c>
      <c r="D839" s="110" t="s">
        <v>90</v>
      </c>
      <c r="E839" s="47">
        <v>4973273.51</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4973273.51</v>
      </c>
      <c r="Z839" s="66">
        <v>1629308.05</v>
      </c>
      <c r="AA839" s="62">
        <v>1629308.05</v>
      </c>
      <c r="AB839" s="50">
        <v>0</v>
      </c>
      <c r="AC839" s="50">
        <v>0</v>
      </c>
      <c r="AD839" s="62">
        <v>54182.44</v>
      </c>
      <c r="AE839" s="50">
        <v>0</v>
      </c>
      <c r="AF839" s="50">
        <v>0</v>
      </c>
      <c r="AG839" s="49">
        <v>1683490.49</v>
      </c>
      <c r="AH839" s="51" t="s">
        <v>173</v>
      </c>
      <c r="AI839" s="51" t="s">
        <v>74</v>
      </c>
      <c r="AJ839" s="51" t="s">
        <v>74</v>
      </c>
      <c r="AK839" s="51" t="s">
        <v>175</v>
      </c>
      <c r="AL839" s="51" t="s">
        <v>74</v>
      </c>
      <c r="AM839" s="51" t="s">
        <v>74</v>
      </c>
      <c r="AN839" s="52">
        <v>0</v>
      </c>
      <c r="AO839" s="52">
        <v>0</v>
      </c>
      <c r="AP839" s="52">
        <v>0</v>
      </c>
      <c r="AQ839" s="52">
        <v>0</v>
      </c>
      <c r="AR839" s="52">
        <v>0</v>
      </c>
      <c r="AS839" s="52">
        <v>0</v>
      </c>
      <c r="AT839" s="53" t="s">
        <v>74</v>
      </c>
      <c r="AU839" s="52">
        <v>0</v>
      </c>
      <c r="AV839" s="52"/>
      <c r="AW839" s="52">
        <v>0</v>
      </c>
      <c r="AX839" s="52"/>
      <c r="AY839" s="52"/>
      <c r="AZ839" s="52">
        <v>0</v>
      </c>
      <c r="BA839" s="52">
        <v>0</v>
      </c>
      <c r="BB839" s="54" t="s">
        <v>74</v>
      </c>
      <c r="BC839" s="53" t="s">
        <v>74</v>
      </c>
      <c r="BD839" s="55" t="s">
        <v>74</v>
      </c>
      <c r="BE839" s="55" t="s">
        <v>74</v>
      </c>
      <c r="BF839" s="55" t="s">
        <v>74</v>
      </c>
      <c r="BG839" s="55" t="s">
        <v>74</v>
      </c>
      <c r="BH839" s="52">
        <v>0</v>
      </c>
      <c r="BI839" s="52">
        <v>3289783.02</v>
      </c>
      <c r="BJ839" s="52">
        <v>3289783.02</v>
      </c>
      <c r="BK839" s="56">
        <v>44136</v>
      </c>
      <c r="BL839" s="63">
        <v>3289783.02</v>
      </c>
      <c r="BM839" s="47">
        <v>0</v>
      </c>
      <c r="BN839" s="9"/>
      <c r="BO839" s="9"/>
      <c r="BP839" s="9"/>
      <c r="BQ839" s="9"/>
      <c r="BR839" s="9"/>
      <c r="BS839" s="9"/>
      <c r="BT839" s="9"/>
      <c r="BU839" s="9"/>
      <c r="BV839" s="9"/>
      <c r="BW839" s="9"/>
    </row>
    <row r="840" spans="1:75" ht="102.75" hidden="1" outlineLevel="2" x14ac:dyDescent="0.25">
      <c r="A840" s="43" t="s">
        <v>795</v>
      </c>
      <c r="B840" s="110" t="s">
        <v>875</v>
      </c>
      <c r="C840" s="45">
        <v>2020</v>
      </c>
      <c r="D840" s="110" t="s">
        <v>93</v>
      </c>
      <c r="E840" s="47">
        <v>4973273.51</v>
      </c>
      <c r="F840" s="47">
        <v>0</v>
      </c>
      <c r="G840" s="47">
        <v>0</v>
      </c>
      <c r="H840" s="47">
        <v>0</v>
      </c>
      <c r="I840" s="47">
        <v>0</v>
      </c>
      <c r="J840" s="47">
        <v>0</v>
      </c>
      <c r="K840" s="47">
        <v>0</v>
      </c>
      <c r="L840" s="47">
        <v>0</v>
      </c>
      <c r="M840" s="47">
        <v>0</v>
      </c>
      <c r="N840" s="47">
        <v>0</v>
      </c>
      <c r="O840" s="47">
        <v>0</v>
      </c>
      <c r="P840" s="47">
        <v>0</v>
      </c>
      <c r="Q840" s="47">
        <v>0</v>
      </c>
      <c r="R840" s="47">
        <v>0</v>
      </c>
      <c r="S840" s="47">
        <v>0</v>
      </c>
      <c r="T840" s="47">
        <v>0</v>
      </c>
      <c r="U840" s="47">
        <v>0</v>
      </c>
      <c r="V840" s="47">
        <v>0</v>
      </c>
      <c r="W840" s="47">
        <v>0</v>
      </c>
      <c r="X840" s="47">
        <v>0</v>
      </c>
      <c r="Y840" s="48">
        <v>4973273.51</v>
      </c>
      <c r="Z840" s="67">
        <v>1661771.32</v>
      </c>
      <c r="AA840" s="62">
        <v>1661771.32</v>
      </c>
      <c r="AB840" s="50">
        <v>0</v>
      </c>
      <c r="AC840" s="50">
        <v>0</v>
      </c>
      <c r="AD840" s="62">
        <v>82280.22</v>
      </c>
      <c r="AE840" s="50">
        <v>0</v>
      </c>
      <c r="AF840" s="50">
        <v>0</v>
      </c>
      <c r="AG840" s="49">
        <v>1744051.54</v>
      </c>
      <c r="AH840" s="51" t="s">
        <v>104</v>
      </c>
      <c r="AI840" s="51" t="s">
        <v>74</v>
      </c>
      <c r="AJ840" s="51" t="s">
        <v>74</v>
      </c>
      <c r="AK840" s="51" t="s">
        <v>890</v>
      </c>
      <c r="AL840" s="51" t="s">
        <v>74</v>
      </c>
      <c r="AM840" s="51" t="s">
        <v>74</v>
      </c>
      <c r="AN840" s="52"/>
      <c r="AO840" s="52"/>
      <c r="AP840" s="52"/>
      <c r="AQ840" s="52"/>
      <c r="AR840" s="52"/>
      <c r="AS840" s="52">
        <v>0</v>
      </c>
      <c r="AT840" s="53" t="s">
        <v>74</v>
      </c>
      <c r="AU840" s="52">
        <v>0</v>
      </c>
      <c r="AV840" s="52"/>
      <c r="AW840" s="59">
        <v>54600</v>
      </c>
      <c r="AX840" s="52"/>
      <c r="AY840" s="52"/>
      <c r="AZ840" s="52">
        <v>0</v>
      </c>
      <c r="BA840" s="52">
        <v>54600</v>
      </c>
      <c r="BB840" s="54" t="s">
        <v>74</v>
      </c>
      <c r="BC840" s="53" t="s">
        <v>74</v>
      </c>
      <c r="BD840" s="55" t="s">
        <v>891</v>
      </c>
      <c r="BE840" s="55" t="s">
        <v>74</v>
      </c>
      <c r="BF840" s="55" t="s">
        <v>74</v>
      </c>
      <c r="BG840" s="55" t="s">
        <v>74</v>
      </c>
      <c r="BH840" s="52">
        <v>54600</v>
      </c>
      <c r="BI840" s="52">
        <v>3283821.97</v>
      </c>
      <c r="BJ840" s="52">
        <v>3229221.97</v>
      </c>
      <c r="BK840" s="56">
        <v>44166</v>
      </c>
      <c r="BL840" s="63">
        <v>3283821.97</v>
      </c>
      <c r="BM840" s="47">
        <v>0</v>
      </c>
      <c r="BN840" s="9"/>
      <c r="BO840" s="9"/>
      <c r="BP840" s="9"/>
      <c r="BQ840" s="9"/>
      <c r="BR840" s="9"/>
      <c r="BS840" s="9"/>
      <c r="BT840" s="9"/>
      <c r="BU840" s="9"/>
      <c r="BV840" s="9"/>
      <c r="BW840" s="9"/>
    </row>
    <row r="841" spans="1:75" ht="128.25" hidden="1" outlineLevel="2" x14ac:dyDescent="0.25">
      <c r="A841" s="71" t="s">
        <v>795</v>
      </c>
      <c r="B841" s="116" t="s">
        <v>875</v>
      </c>
      <c r="C841" s="73">
        <v>2021</v>
      </c>
      <c r="D841" s="116" t="s">
        <v>73</v>
      </c>
      <c r="E841" s="75">
        <v>4973273.51</v>
      </c>
      <c r="F841" s="75">
        <v>0</v>
      </c>
      <c r="G841" s="75">
        <v>0</v>
      </c>
      <c r="H841" s="75">
        <v>0</v>
      </c>
      <c r="I841" s="75">
        <v>0</v>
      </c>
      <c r="J841" s="75">
        <v>0</v>
      </c>
      <c r="K841" s="75">
        <v>0</v>
      </c>
      <c r="L841" s="75">
        <v>0</v>
      </c>
      <c r="M841" s="75">
        <v>0</v>
      </c>
      <c r="N841" s="75">
        <v>0</v>
      </c>
      <c r="O841" s="75">
        <v>0</v>
      </c>
      <c r="P841" s="75">
        <v>0</v>
      </c>
      <c r="Q841" s="75">
        <v>0</v>
      </c>
      <c r="R841" s="75">
        <v>0</v>
      </c>
      <c r="S841" s="75">
        <v>0</v>
      </c>
      <c r="T841" s="75">
        <v>0</v>
      </c>
      <c r="U841" s="75">
        <v>0</v>
      </c>
      <c r="V841" s="75">
        <v>0</v>
      </c>
      <c r="W841" s="75">
        <v>0</v>
      </c>
      <c r="X841" s="75">
        <v>0</v>
      </c>
      <c r="Y841" s="76">
        <f>SUM(E841:X841)</f>
        <v>4973273.51</v>
      </c>
      <c r="Z841" s="67">
        <v>1646811.25</v>
      </c>
      <c r="AA841" s="78">
        <v>1646811.25</v>
      </c>
      <c r="AB841" s="79">
        <v>0</v>
      </c>
      <c r="AC841" s="79">
        <v>0</v>
      </c>
      <c r="AD841" s="79">
        <v>0</v>
      </c>
      <c r="AE841" s="79">
        <v>0</v>
      </c>
      <c r="AF841" s="79">
        <v>828878.91833333299</v>
      </c>
      <c r="AG841" s="80">
        <f>SUM(AA841:AF841)</f>
        <v>2475690.168333333</v>
      </c>
      <c r="AH841" s="123" t="s">
        <v>104</v>
      </c>
      <c r="AI841" s="123" t="s">
        <v>74</v>
      </c>
      <c r="AJ841" s="123" t="s">
        <v>74</v>
      </c>
      <c r="AK841" s="123" t="s">
        <v>74</v>
      </c>
      <c r="AL841" s="123" t="s">
        <v>74</v>
      </c>
      <c r="AM841" s="123" t="s">
        <v>892</v>
      </c>
      <c r="AN841" s="82">
        <v>0</v>
      </c>
      <c r="AO841" s="82">
        <v>0</v>
      </c>
      <c r="AP841" s="82">
        <v>0</v>
      </c>
      <c r="AQ841" s="82">
        <v>0</v>
      </c>
      <c r="AR841" s="82">
        <v>0</v>
      </c>
      <c r="AS841" s="82">
        <f>AN841+AO841+AP841+AQ841+AR841</f>
        <v>0</v>
      </c>
      <c r="AT841" s="124" t="s">
        <v>74</v>
      </c>
      <c r="AU841" s="82">
        <v>0</v>
      </c>
      <c r="AV841" s="119">
        <v>168138.98</v>
      </c>
      <c r="AW841" s="82">
        <v>0</v>
      </c>
      <c r="AX841" s="82"/>
      <c r="AY841" s="82"/>
      <c r="AZ841" s="82">
        <v>0</v>
      </c>
      <c r="BA841" s="82">
        <f>AU841+AV841+AW841+AX841+AZ841</f>
        <v>168138.98</v>
      </c>
      <c r="BB841" s="125" t="s">
        <v>74</v>
      </c>
      <c r="BC841" s="124" t="s">
        <v>893</v>
      </c>
      <c r="BD841" s="126" t="s">
        <v>74</v>
      </c>
      <c r="BE841" s="126" t="s">
        <v>74</v>
      </c>
      <c r="BF841" s="126" t="s">
        <v>74</v>
      </c>
      <c r="BG841" s="126" t="s">
        <v>74</v>
      </c>
      <c r="BH841" s="82">
        <f>AS841+BA841</f>
        <v>168138.98</v>
      </c>
      <c r="BI841" s="82">
        <f>Y841-AG841+BH841</f>
        <v>2665722.3216666668</v>
      </c>
      <c r="BJ841" s="52">
        <v>2497583.3416666701</v>
      </c>
      <c r="BK841" s="56">
        <v>44197</v>
      </c>
      <c r="BL841" s="83">
        <f>2407190.59+168138.98</f>
        <v>2575329.5699999998</v>
      </c>
      <c r="BM841" s="75">
        <f>BI841-BL841</f>
        <v>90392.75166666694</v>
      </c>
      <c r="BN841" s="9"/>
      <c r="BO841" s="9"/>
      <c r="BP841" s="9"/>
      <c r="BQ841" s="9"/>
      <c r="BR841" s="9"/>
      <c r="BS841" s="9"/>
      <c r="BT841" s="9"/>
      <c r="BU841" s="9"/>
      <c r="BV841" s="9"/>
      <c r="BW841" s="9"/>
    </row>
    <row r="842" spans="1:75" hidden="1" outlineLevel="1" collapsed="1" x14ac:dyDescent="0.25">
      <c r="A842" s="84"/>
      <c r="B842" s="120" t="s">
        <v>894</v>
      </c>
      <c r="C842" s="86"/>
      <c r="D842" s="120"/>
      <c r="E842" s="88"/>
      <c r="F842" s="88"/>
      <c r="G842" s="88"/>
      <c r="H842" s="88"/>
      <c r="I842" s="88"/>
      <c r="J842" s="88"/>
      <c r="K842" s="88"/>
      <c r="L842" s="88"/>
      <c r="M842" s="88"/>
      <c r="N842" s="88"/>
      <c r="O842" s="88"/>
      <c r="P842" s="88"/>
      <c r="Q842" s="88"/>
      <c r="R842" s="88"/>
      <c r="S842" s="88"/>
      <c r="T842" s="88"/>
      <c r="U842" s="88"/>
      <c r="V842" s="88"/>
      <c r="W842" s="88"/>
      <c r="X842" s="88"/>
      <c r="Y842" s="89">
        <f t="shared" ref="Y842:AG842" si="129">SUBTOTAL(9,Y804:Y841)</f>
        <v>0</v>
      </c>
      <c r="Z842" s="90">
        <f t="shared" si="129"/>
        <v>0</v>
      </c>
      <c r="AA842" s="90">
        <f t="shared" si="129"/>
        <v>0</v>
      </c>
      <c r="AB842" s="89">
        <f t="shared" si="129"/>
        <v>0</v>
      </c>
      <c r="AC842" s="89">
        <f t="shared" si="129"/>
        <v>0</v>
      </c>
      <c r="AD842" s="89">
        <f t="shared" si="129"/>
        <v>0</v>
      </c>
      <c r="AE842" s="89">
        <f t="shared" si="129"/>
        <v>0</v>
      </c>
      <c r="AF842" s="89">
        <f t="shared" si="129"/>
        <v>0</v>
      </c>
      <c r="AG842" s="89">
        <f t="shared" si="129"/>
        <v>0</v>
      </c>
      <c r="AH842" s="129"/>
      <c r="AI842" s="129"/>
      <c r="AJ842" s="129"/>
      <c r="AK842" s="129"/>
      <c r="AL842" s="129"/>
      <c r="AM842" s="129"/>
      <c r="AN842" s="92">
        <f t="shared" ref="AN842:AS842" si="130">SUBTOTAL(9,AN804:AN841)</f>
        <v>0</v>
      </c>
      <c r="AO842" s="92">
        <f t="shared" si="130"/>
        <v>0</v>
      </c>
      <c r="AP842" s="92">
        <f t="shared" si="130"/>
        <v>0</v>
      </c>
      <c r="AQ842" s="92">
        <f t="shared" si="130"/>
        <v>0</v>
      </c>
      <c r="AR842" s="92">
        <f t="shared" si="130"/>
        <v>0</v>
      </c>
      <c r="AS842" s="92">
        <f t="shared" si="130"/>
        <v>0</v>
      </c>
      <c r="AT842" s="130"/>
      <c r="AU842" s="92">
        <f t="shared" ref="AU842:BA842" si="131">SUBTOTAL(9,AU804:AU841)</f>
        <v>0</v>
      </c>
      <c r="AV842" s="122">
        <f t="shared" si="131"/>
        <v>0</v>
      </c>
      <c r="AW842" s="92">
        <f t="shared" si="131"/>
        <v>0</v>
      </c>
      <c r="AX842" s="92">
        <f t="shared" si="131"/>
        <v>0</v>
      </c>
      <c r="AY842" s="92">
        <f t="shared" si="131"/>
        <v>0</v>
      </c>
      <c r="AZ842" s="92">
        <f t="shared" si="131"/>
        <v>0</v>
      </c>
      <c r="BA842" s="92">
        <f t="shared" si="131"/>
        <v>0</v>
      </c>
      <c r="BB842" s="131"/>
      <c r="BC842" s="130"/>
      <c r="BD842" s="132"/>
      <c r="BE842" s="132"/>
      <c r="BF842" s="132"/>
      <c r="BG842" s="132"/>
      <c r="BH842" s="92">
        <f>SUBTOTAL(9,BH804:BH841)</f>
        <v>0</v>
      </c>
      <c r="BI842" s="92">
        <f>SUBTOTAL(9,BI804:BI841)</f>
        <v>0</v>
      </c>
      <c r="BJ842" s="93"/>
      <c r="BK842" s="94"/>
      <c r="BL842" s="95">
        <f>SUBTOTAL(9,BL804:BL841)</f>
        <v>0</v>
      </c>
      <c r="BM842" s="88">
        <f>SUBTOTAL(9,BM804:BM841)</f>
        <v>0</v>
      </c>
      <c r="BN842" s="9"/>
      <c r="BO842" s="9"/>
      <c r="BP842" s="9"/>
      <c r="BQ842" s="9"/>
      <c r="BR842" s="9"/>
      <c r="BS842" s="9"/>
      <c r="BT842" s="9"/>
      <c r="BU842" s="9"/>
      <c r="BV842" s="9"/>
      <c r="BW842" s="9"/>
    </row>
    <row r="843" spans="1:75" ht="102.75" hidden="1" outlineLevel="2" x14ac:dyDescent="0.25">
      <c r="A843" s="96" t="s">
        <v>895</v>
      </c>
      <c r="B843" s="97" t="s">
        <v>896</v>
      </c>
      <c r="C843" s="98">
        <v>2021</v>
      </c>
      <c r="D843" s="97" t="s">
        <v>73</v>
      </c>
      <c r="E843" s="100"/>
      <c r="F843" s="100"/>
      <c r="G843" s="100"/>
      <c r="H843" s="100"/>
      <c r="I843" s="100"/>
      <c r="J843" s="100"/>
      <c r="K843" s="100"/>
      <c r="L843" s="100"/>
      <c r="M843" s="100"/>
      <c r="N843" s="100"/>
      <c r="O843" s="100"/>
      <c r="P843" s="100"/>
      <c r="Q843" s="100"/>
      <c r="R843" s="100"/>
      <c r="S843" s="100"/>
      <c r="T843" s="100"/>
      <c r="U843" s="100"/>
      <c r="V843" s="100"/>
      <c r="W843" s="100">
        <v>0</v>
      </c>
      <c r="X843" s="100">
        <v>0</v>
      </c>
      <c r="Y843" s="101">
        <f t="shared" ref="Y843:Y851" si="132">SUM(E843:X843)</f>
        <v>0</v>
      </c>
      <c r="Z843" s="133"/>
      <c r="AA843" s="103"/>
      <c r="AB843" s="103"/>
      <c r="AC843" s="103"/>
      <c r="AD843" s="103"/>
      <c r="AE843" s="103"/>
      <c r="AF843" s="103"/>
      <c r="AG843" s="102">
        <f t="shared" ref="AG843:AG851" si="133">SUM(AA843:AF843)</f>
        <v>0</v>
      </c>
      <c r="AH843" s="104" t="s">
        <v>74</v>
      </c>
      <c r="AI843" s="104" t="s">
        <v>74</v>
      </c>
      <c r="AJ843" s="104" t="s">
        <v>74</v>
      </c>
      <c r="AK843" s="104" t="s">
        <v>74</v>
      </c>
      <c r="AL843" s="104" t="s">
        <v>74</v>
      </c>
      <c r="AM843" s="104" t="s">
        <v>74</v>
      </c>
      <c r="AN843" s="105"/>
      <c r="AO843" s="105"/>
      <c r="AP843" s="105"/>
      <c r="AQ843" s="105"/>
      <c r="AR843" s="105"/>
      <c r="AS843" s="105">
        <f t="shared" ref="AS843:AS851" si="134">AN843+AO843+AP843+AQ843+AR843</f>
        <v>0</v>
      </c>
      <c r="AT843" s="106" t="s">
        <v>74</v>
      </c>
      <c r="AU843" s="105"/>
      <c r="AV843" s="105"/>
      <c r="AW843" s="105"/>
      <c r="AX843" s="199">
        <v>2486636.7000000002</v>
      </c>
      <c r="AY843" s="199"/>
      <c r="AZ843" s="105"/>
      <c r="BA843" s="105">
        <f t="shared" ref="BA843:BA851" si="135">AU843+AW843+AX843+AZ843</f>
        <v>2486636.7000000002</v>
      </c>
      <c r="BB843" s="107" t="s">
        <v>74</v>
      </c>
      <c r="BC843" s="106" t="s">
        <v>74</v>
      </c>
      <c r="BD843" s="108" t="s">
        <v>74</v>
      </c>
      <c r="BE843" s="104" t="s">
        <v>897</v>
      </c>
      <c r="BF843" s="108" t="s">
        <v>74</v>
      </c>
      <c r="BG843" s="108" t="s">
        <v>74</v>
      </c>
      <c r="BH843" s="105">
        <f t="shared" ref="BH843:BH851" si="136">AS843+BA843</f>
        <v>2486636.7000000002</v>
      </c>
      <c r="BI843" s="105">
        <f t="shared" ref="BI843:BI851" si="137">Y843-AG843+BH843</f>
        <v>2486636.7000000002</v>
      </c>
      <c r="BJ843" s="52">
        <v>2486636.7000000002</v>
      </c>
      <c r="BK843" s="56">
        <v>44197</v>
      </c>
      <c r="BL843" s="200">
        <v>2486636.7000000002</v>
      </c>
      <c r="BM843" s="100">
        <v>0</v>
      </c>
      <c r="BN843" s="9"/>
      <c r="BO843" s="9"/>
      <c r="BP843" s="9"/>
      <c r="BQ843" s="9"/>
      <c r="BR843" s="9"/>
      <c r="BS843" s="9"/>
      <c r="BT843" s="9"/>
      <c r="BU843" s="9"/>
      <c r="BV843" s="9"/>
      <c r="BW843" s="9"/>
    </row>
    <row r="844" spans="1:75" ht="102.75" hidden="1" outlineLevel="2" x14ac:dyDescent="0.25">
      <c r="A844" s="43" t="s">
        <v>895</v>
      </c>
      <c r="B844" s="110" t="s">
        <v>896</v>
      </c>
      <c r="C844" s="45">
        <v>2021</v>
      </c>
      <c r="D844" s="110" t="s">
        <v>75</v>
      </c>
      <c r="E844" s="47"/>
      <c r="F844" s="47"/>
      <c r="G844" s="47"/>
      <c r="H844" s="47"/>
      <c r="I844" s="47"/>
      <c r="J844" s="47"/>
      <c r="K844" s="47"/>
      <c r="L844" s="47"/>
      <c r="M844" s="47"/>
      <c r="N844" s="47"/>
      <c r="O844" s="47"/>
      <c r="P844" s="47"/>
      <c r="Q844" s="47"/>
      <c r="R844" s="47"/>
      <c r="S844" s="47"/>
      <c r="T844" s="47"/>
      <c r="U844" s="47"/>
      <c r="V844" s="47"/>
      <c r="W844" s="47">
        <v>0</v>
      </c>
      <c r="X844" s="47">
        <v>0</v>
      </c>
      <c r="Y844" s="48">
        <f t="shared" si="132"/>
        <v>0</v>
      </c>
      <c r="Z844" s="58"/>
      <c r="AA844" s="50"/>
      <c r="AB844" s="50"/>
      <c r="AC844" s="50"/>
      <c r="AD844" s="50"/>
      <c r="AE844" s="50"/>
      <c r="AF844" s="50"/>
      <c r="AG844" s="49">
        <f t="shared" si="133"/>
        <v>0</v>
      </c>
      <c r="AH844" s="51" t="s">
        <v>74</v>
      </c>
      <c r="AI844" s="51" t="s">
        <v>74</v>
      </c>
      <c r="AJ844" s="51" t="s">
        <v>74</v>
      </c>
      <c r="AK844" s="51" t="s">
        <v>74</v>
      </c>
      <c r="AL844" s="51" t="s">
        <v>74</v>
      </c>
      <c r="AM844" s="51" t="s">
        <v>74</v>
      </c>
      <c r="AN844" s="52"/>
      <c r="AO844" s="52"/>
      <c r="AP844" s="52"/>
      <c r="AQ844" s="52"/>
      <c r="AR844" s="52"/>
      <c r="AS844" s="52">
        <f t="shared" si="134"/>
        <v>0</v>
      </c>
      <c r="AT844" s="53" t="s">
        <v>74</v>
      </c>
      <c r="AU844" s="52"/>
      <c r="AV844" s="52"/>
      <c r="AW844" s="52"/>
      <c r="AX844" s="59">
        <v>2983964.04</v>
      </c>
      <c r="AY844" s="59"/>
      <c r="AZ844" s="52"/>
      <c r="BA844" s="52">
        <f t="shared" si="135"/>
        <v>2983964.04</v>
      </c>
      <c r="BB844" s="54" t="s">
        <v>74</v>
      </c>
      <c r="BC844" s="53" t="s">
        <v>74</v>
      </c>
      <c r="BD844" s="55" t="s">
        <v>74</v>
      </c>
      <c r="BE844" s="51" t="s">
        <v>898</v>
      </c>
      <c r="BF844" s="55" t="s">
        <v>74</v>
      </c>
      <c r="BG844" s="55" t="s">
        <v>74</v>
      </c>
      <c r="BH844" s="52">
        <f t="shared" si="136"/>
        <v>2983964.04</v>
      </c>
      <c r="BI844" s="52">
        <f t="shared" si="137"/>
        <v>2983964.04</v>
      </c>
      <c r="BJ844" s="52">
        <v>2983964.04</v>
      </c>
      <c r="BK844" s="56">
        <v>44228</v>
      </c>
      <c r="BL844" s="63">
        <v>2983964.04</v>
      </c>
      <c r="BM844" s="47">
        <v>0</v>
      </c>
      <c r="BN844" s="9"/>
      <c r="BO844" s="9"/>
      <c r="BP844" s="9"/>
      <c r="BQ844" s="9"/>
      <c r="BR844" s="9"/>
      <c r="BS844" s="9"/>
      <c r="BT844" s="9"/>
      <c r="BU844" s="9"/>
      <c r="BV844" s="9"/>
      <c r="BW844" s="9"/>
    </row>
    <row r="845" spans="1:75" ht="409.6" hidden="1" outlineLevel="2" x14ac:dyDescent="0.25">
      <c r="A845" s="43" t="s">
        <v>895</v>
      </c>
      <c r="B845" s="110" t="s">
        <v>896</v>
      </c>
      <c r="C845" s="45">
        <v>2021</v>
      </c>
      <c r="D845" s="110" t="s">
        <v>77</v>
      </c>
      <c r="E845" s="134">
        <v>1326206.27</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f t="shared" si="132"/>
        <v>1326206.27</v>
      </c>
      <c r="Z845" s="58"/>
      <c r="AA845" s="50"/>
      <c r="AB845" s="50"/>
      <c r="AC845" s="50"/>
      <c r="AD845" s="50"/>
      <c r="AE845" s="50"/>
      <c r="AF845" s="50"/>
      <c r="AG845" s="49">
        <f t="shared" si="133"/>
        <v>0</v>
      </c>
      <c r="AH845" s="51" t="s">
        <v>74</v>
      </c>
      <c r="AI845" s="51" t="s">
        <v>74</v>
      </c>
      <c r="AJ845" s="51" t="s">
        <v>74</v>
      </c>
      <c r="AK845" s="51" t="s">
        <v>74</v>
      </c>
      <c r="AL845" s="51" t="s">
        <v>74</v>
      </c>
      <c r="AM845" s="51" t="s">
        <v>74</v>
      </c>
      <c r="AN845" s="52">
        <v>0</v>
      </c>
      <c r="AO845" s="52">
        <v>0</v>
      </c>
      <c r="AP845" s="52">
        <v>0</v>
      </c>
      <c r="AQ845" s="52">
        <v>0</v>
      </c>
      <c r="AR845" s="52">
        <v>0</v>
      </c>
      <c r="AS845" s="52">
        <f t="shared" si="134"/>
        <v>0</v>
      </c>
      <c r="AT845" s="53" t="s">
        <v>74</v>
      </c>
      <c r="AU845" s="52">
        <v>0</v>
      </c>
      <c r="AV845" s="52"/>
      <c r="AW845" s="52">
        <v>0</v>
      </c>
      <c r="AX845" s="68">
        <f>3647067.16+49216+243278+243278</f>
        <v>4182839.16</v>
      </c>
      <c r="AY845" s="68"/>
      <c r="AZ845" s="52"/>
      <c r="BA845" s="52">
        <f t="shared" si="135"/>
        <v>4182839.16</v>
      </c>
      <c r="BB845" s="54" t="s">
        <v>74</v>
      </c>
      <c r="BC845" s="53" t="s">
        <v>74</v>
      </c>
      <c r="BD845" s="55" t="s">
        <v>74</v>
      </c>
      <c r="BE845" s="51" t="s">
        <v>899</v>
      </c>
      <c r="BF845" s="55" t="s">
        <v>74</v>
      </c>
      <c r="BG845" s="55" t="s">
        <v>74</v>
      </c>
      <c r="BH845" s="52">
        <f t="shared" si="136"/>
        <v>4182839.16</v>
      </c>
      <c r="BI845" s="52">
        <f t="shared" si="137"/>
        <v>5509045.4299999997</v>
      </c>
      <c r="BJ845" s="52">
        <v>4973273.43</v>
      </c>
      <c r="BK845" s="56">
        <v>44256</v>
      </c>
      <c r="BL845" s="57">
        <f>4973273.43+49216+243278+243278</f>
        <v>5509045.4299999997</v>
      </c>
      <c r="BM845" s="47">
        <v>0</v>
      </c>
      <c r="BN845" s="9"/>
      <c r="BO845" s="9"/>
      <c r="BP845" s="9"/>
      <c r="BQ845" s="9"/>
      <c r="BR845" s="9"/>
      <c r="BS845" s="9"/>
      <c r="BT845" s="9"/>
      <c r="BU845" s="9"/>
      <c r="BV845" s="9"/>
      <c r="BW845" s="9"/>
    </row>
    <row r="846" spans="1:75" ht="128.25" hidden="1" outlineLevel="2" x14ac:dyDescent="0.25">
      <c r="A846" s="43" t="s">
        <v>895</v>
      </c>
      <c r="B846" s="110" t="s">
        <v>896</v>
      </c>
      <c r="C846" s="45">
        <v>2021</v>
      </c>
      <c r="D846" s="110" t="s">
        <v>79</v>
      </c>
      <c r="E846" s="134">
        <v>4973273.51</v>
      </c>
      <c r="F846" s="47">
        <v>0</v>
      </c>
      <c r="G846" s="47">
        <v>0</v>
      </c>
      <c r="H846" s="47">
        <v>0</v>
      </c>
      <c r="I846" s="47">
        <v>0</v>
      </c>
      <c r="J846" s="47">
        <v>0</v>
      </c>
      <c r="K846" s="47">
        <v>0</v>
      </c>
      <c r="L846" s="47">
        <v>0</v>
      </c>
      <c r="M846" s="47">
        <v>0</v>
      </c>
      <c r="N846" s="47">
        <v>0</v>
      </c>
      <c r="O846" s="47">
        <v>0</v>
      </c>
      <c r="P846" s="47">
        <v>0</v>
      </c>
      <c r="Q846" s="47">
        <v>0</v>
      </c>
      <c r="R846" s="47">
        <v>0</v>
      </c>
      <c r="S846" s="47">
        <v>0</v>
      </c>
      <c r="T846" s="47">
        <v>0</v>
      </c>
      <c r="U846" s="47">
        <v>0</v>
      </c>
      <c r="V846" s="47">
        <v>0</v>
      </c>
      <c r="W846" s="47">
        <v>0</v>
      </c>
      <c r="X846" s="47">
        <v>0</v>
      </c>
      <c r="Y846" s="48">
        <f t="shared" si="132"/>
        <v>4973273.51</v>
      </c>
      <c r="Z846" s="66">
        <v>1579377.19</v>
      </c>
      <c r="AA846" s="62">
        <v>1579377.19</v>
      </c>
      <c r="AB846" s="50"/>
      <c r="AC846" s="50"/>
      <c r="AD846" s="62">
        <v>47488.42</v>
      </c>
      <c r="AE846" s="50"/>
      <c r="AF846" s="50"/>
      <c r="AG846" s="49">
        <f t="shared" si="133"/>
        <v>1626865.6099999999</v>
      </c>
      <c r="AH846" s="51" t="s">
        <v>104</v>
      </c>
      <c r="AI846" s="51" t="s">
        <v>74</v>
      </c>
      <c r="AJ846" s="51" t="s">
        <v>74</v>
      </c>
      <c r="AK846" s="51" t="s">
        <v>409</v>
      </c>
      <c r="AL846" s="51" t="s">
        <v>74</v>
      </c>
      <c r="AM846" s="51" t="s">
        <v>74</v>
      </c>
      <c r="AN846" s="52">
        <v>0</v>
      </c>
      <c r="AO846" s="52">
        <v>0</v>
      </c>
      <c r="AP846" s="52">
        <v>0</v>
      </c>
      <c r="AQ846" s="52">
        <v>0</v>
      </c>
      <c r="AR846" s="52">
        <v>0</v>
      </c>
      <c r="AS846" s="52">
        <f t="shared" si="134"/>
        <v>0</v>
      </c>
      <c r="AT846" s="53" t="s">
        <v>74</v>
      </c>
      <c r="AU846" s="52">
        <v>0</v>
      </c>
      <c r="AV846" s="52"/>
      <c r="AW846" s="52">
        <v>0</v>
      </c>
      <c r="AX846" s="68">
        <v>797004</v>
      </c>
      <c r="AY846" s="68"/>
      <c r="AZ846" s="52"/>
      <c r="BA846" s="52">
        <f t="shared" si="135"/>
        <v>797004</v>
      </c>
      <c r="BB846" s="54" t="s">
        <v>74</v>
      </c>
      <c r="BC846" s="53" t="s">
        <v>74</v>
      </c>
      <c r="BD846" s="55" t="s">
        <v>74</v>
      </c>
      <c r="BE846" s="51" t="s">
        <v>900</v>
      </c>
      <c r="BF846" s="55" t="s">
        <v>74</v>
      </c>
      <c r="BG846" s="55" t="s">
        <v>74</v>
      </c>
      <c r="BH846" s="52">
        <f t="shared" si="136"/>
        <v>797004</v>
      </c>
      <c r="BI846" s="52">
        <f t="shared" si="137"/>
        <v>4143411.9</v>
      </c>
      <c r="BJ846" s="52">
        <v>3346407.9</v>
      </c>
      <c r="BK846" s="56">
        <v>44287</v>
      </c>
      <c r="BL846" s="63">
        <f>3346407.9+797004</f>
        <v>4143411.9</v>
      </c>
      <c r="BM846" s="47">
        <v>0</v>
      </c>
      <c r="BN846" s="9"/>
      <c r="BO846" s="9"/>
      <c r="BP846" s="9"/>
      <c r="BQ846" s="9"/>
      <c r="BR846" s="9"/>
      <c r="BS846" s="9"/>
      <c r="BT846" s="9"/>
      <c r="BU846" s="9"/>
      <c r="BV846" s="9"/>
      <c r="BW846" s="9"/>
    </row>
    <row r="847" spans="1:75" ht="141" hidden="1" outlineLevel="2" x14ac:dyDescent="0.25">
      <c r="A847" s="43" t="s">
        <v>895</v>
      </c>
      <c r="B847" s="110" t="s">
        <v>896</v>
      </c>
      <c r="C847" s="45">
        <v>2021</v>
      </c>
      <c r="D847" s="110" t="s">
        <v>81</v>
      </c>
      <c r="E847" s="134">
        <v>4973273.51</v>
      </c>
      <c r="F847" s="47">
        <v>0</v>
      </c>
      <c r="G847" s="47">
        <v>0</v>
      </c>
      <c r="H847" s="47">
        <v>0</v>
      </c>
      <c r="I847" s="47">
        <v>0</v>
      </c>
      <c r="J847" s="47">
        <v>0</v>
      </c>
      <c r="K847" s="47">
        <v>0</v>
      </c>
      <c r="L847" s="47">
        <v>0</v>
      </c>
      <c r="M847" s="47">
        <v>0</v>
      </c>
      <c r="N847" s="47">
        <v>0</v>
      </c>
      <c r="O847" s="47">
        <v>0</v>
      </c>
      <c r="P847" s="47">
        <v>0</v>
      </c>
      <c r="Q847" s="47">
        <v>0</v>
      </c>
      <c r="R847" s="47">
        <v>0</v>
      </c>
      <c r="S847" s="47">
        <v>0</v>
      </c>
      <c r="T847" s="47">
        <v>0</v>
      </c>
      <c r="U847" s="47">
        <v>0</v>
      </c>
      <c r="V847" s="47">
        <v>0</v>
      </c>
      <c r="W847" s="47">
        <v>0</v>
      </c>
      <c r="X847" s="47">
        <v>0</v>
      </c>
      <c r="Y847" s="48">
        <f t="shared" si="132"/>
        <v>4973273.51</v>
      </c>
      <c r="Z847" s="58">
        <v>3433284.09</v>
      </c>
      <c r="AA847" s="50">
        <v>3433284.09</v>
      </c>
      <c r="AB847" s="50"/>
      <c r="AC847" s="50"/>
      <c r="AD847" s="50">
        <v>112377.87</v>
      </c>
      <c r="AE847" s="50"/>
      <c r="AF847" s="50"/>
      <c r="AG847" s="49">
        <f t="shared" si="133"/>
        <v>3545661.96</v>
      </c>
      <c r="AH847" s="51" t="s">
        <v>104</v>
      </c>
      <c r="AI847" s="51" t="s">
        <v>74</v>
      </c>
      <c r="AJ847" s="51" t="s">
        <v>74</v>
      </c>
      <c r="AK847" s="51" t="s">
        <v>901</v>
      </c>
      <c r="AL847" s="51" t="s">
        <v>74</v>
      </c>
      <c r="AM847" s="51" t="s">
        <v>74</v>
      </c>
      <c r="AN847" s="52">
        <v>0</v>
      </c>
      <c r="AO847" s="52">
        <v>0</v>
      </c>
      <c r="AP847" s="52">
        <v>0</v>
      </c>
      <c r="AQ847" s="52">
        <v>0</v>
      </c>
      <c r="AR847" s="52">
        <v>0</v>
      </c>
      <c r="AS847" s="52">
        <f t="shared" si="134"/>
        <v>0</v>
      </c>
      <c r="AT847" s="53" t="s">
        <v>74</v>
      </c>
      <c r="AU847" s="52">
        <v>0</v>
      </c>
      <c r="AV847" s="52"/>
      <c r="AW847" s="59">
        <v>1050000</v>
      </c>
      <c r="AX847" s="68">
        <v>797004</v>
      </c>
      <c r="AY847" s="68"/>
      <c r="AZ847" s="52"/>
      <c r="BA847" s="52">
        <f t="shared" si="135"/>
        <v>1847004</v>
      </c>
      <c r="BB847" s="54" t="s">
        <v>74</v>
      </c>
      <c r="BC847" s="53" t="s">
        <v>74</v>
      </c>
      <c r="BD847" s="55" t="s">
        <v>902</v>
      </c>
      <c r="BE847" s="51" t="s">
        <v>903</v>
      </c>
      <c r="BF847" s="55" t="s">
        <v>74</v>
      </c>
      <c r="BG847" s="55" t="s">
        <v>74</v>
      </c>
      <c r="BH847" s="52">
        <f t="shared" si="136"/>
        <v>1847004</v>
      </c>
      <c r="BI847" s="52">
        <f t="shared" si="137"/>
        <v>3274615.55</v>
      </c>
      <c r="BJ847" s="52">
        <v>2477611.5499999998</v>
      </c>
      <c r="BK847" s="56">
        <v>44317</v>
      </c>
      <c r="BL847" s="63">
        <f>2477611.55+797004</f>
        <v>3274615.55</v>
      </c>
      <c r="BM847" s="47">
        <v>0</v>
      </c>
      <c r="BN847" s="9"/>
      <c r="BO847" s="9"/>
      <c r="BP847" s="9"/>
      <c r="BQ847" s="9"/>
      <c r="BR847" s="9"/>
      <c r="BS847" s="9"/>
      <c r="BT847" s="9"/>
      <c r="BU847" s="9"/>
      <c r="BV847" s="9"/>
      <c r="BW847" s="9"/>
    </row>
    <row r="848" spans="1:75" ht="128.25" hidden="1" outlineLevel="2" x14ac:dyDescent="0.25">
      <c r="A848" s="43" t="s">
        <v>895</v>
      </c>
      <c r="B848" s="110" t="s">
        <v>896</v>
      </c>
      <c r="C848" s="45">
        <v>2021</v>
      </c>
      <c r="D848" s="110" t="s">
        <v>83</v>
      </c>
      <c r="E848" s="134">
        <v>4973273.51</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f t="shared" si="132"/>
        <v>4973273.51</v>
      </c>
      <c r="Z848" s="146">
        <v>1633932.85</v>
      </c>
      <c r="AA848" s="147">
        <v>1633932.85</v>
      </c>
      <c r="AB848" s="159"/>
      <c r="AC848" s="159"/>
      <c r="AD848" s="148">
        <v>49793.440000000002</v>
      </c>
      <c r="AE848" s="50"/>
      <c r="AF848" s="50"/>
      <c r="AG848" s="49">
        <f t="shared" si="133"/>
        <v>1683726.29</v>
      </c>
      <c r="AH848" s="51" t="s">
        <v>104</v>
      </c>
      <c r="AI848" s="51" t="s">
        <v>74</v>
      </c>
      <c r="AJ848" s="51" t="s">
        <v>74</v>
      </c>
      <c r="AK848" s="51" t="s">
        <v>413</v>
      </c>
      <c r="AL848" s="51" t="s">
        <v>74</v>
      </c>
      <c r="AM848" s="51" t="s">
        <v>74</v>
      </c>
      <c r="AN848" s="52">
        <v>0</v>
      </c>
      <c r="AO848" s="52">
        <v>0</v>
      </c>
      <c r="AP848" s="52">
        <v>0</v>
      </c>
      <c r="AQ848" s="52">
        <v>0</v>
      </c>
      <c r="AR848" s="52">
        <v>0</v>
      </c>
      <c r="AS848" s="52">
        <f t="shared" si="134"/>
        <v>0</v>
      </c>
      <c r="AT848" s="53" t="s">
        <v>74</v>
      </c>
      <c r="AU848" s="52">
        <v>0</v>
      </c>
      <c r="AV848" s="52"/>
      <c r="AW848" s="52">
        <v>0</v>
      </c>
      <c r="AX848" s="68">
        <v>797004</v>
      </c>
      <c r="AY848" s="68"/>
      <c r="AZ848" s="52"/>
      <c r="BA848" s="52">
        <f t="shared" si="135"/>
        <v>797004</v>
      </c>
      <c r="BB848" s="54" t="s">
        <v>74</v>
      </c>
      <c r="BC848" s="53" t="s">
        <v>74</v>
      </c>
      <c r="BD848" s="55" t="s">
        <v>74</v>
      </c>
      <c r="BE848" s="51" t="s">
        <v>904</v>
      </c>
      <c r="BF848" s="55" t="s">
        <v>74</v>
      </c>
      <c r="BG848" s="55" t="s">
        <v>74</v>
      </c>
      <c r="BH848" s="52">
        <f t="shared" si="136"/>
        <v>797004</v>
      </c>
      <c r="BI848" s="52">
        <f t="shared" si="137"/>
        <v>4086551.2199999997</v>
      </c>
      <c r="BJ848" s="52">
        <f>Y848-AG848+AX848</f>
        <v>4086551.2199999997</v>
      </c>
      <c r="BK848" s="56">
        <v>44348</v>
      </c>
      <c r="BL848" s="63">
        <f>3268273.51+21273.71+797004</f>
        <v>4086551.2199999997</v>
      </c>
      <c r="BM848" s="47">
        <v>0</v>
      </c>
      <c r="BN848" s="9"/>
      <c r="BO848" s="9"/>
      <c r="BP848" s="9"/>
      <c r="BQ848" s="9"/>
      <c r="BR848" s="9"/>
      <c r="BS848" s="9"/>
      <c r="BT848" s="9"/>
      <c r="BU848" s="9"/>
      <c r="BV848" s="9"/>
      <c r="BW848" s="9"/>
    </row>
    <row r="849" spans="1:75" ht="128.25" hidden="1" outlineLevel="2" x14ac:dyDescent="0.25">
      <c r="A849" s="43" t="s">
        <v>895</v>
      </c>
      <c r="B849" s="110" t="s">
        <v>896</v>
      </c>
      <c r="C849" s="45">
        <v>2021</v>
      </c>
      <c r="D849" s="110" t="s">
        <v>84</v>
      </c>
      <c r="E849" s="134">
        <v>4973273.51</v>
      </c>
      <c r="F849" s="47">
        <v>0</v>
      </c>
      <c r="G849" s="47">
        <v>0</v>
      </c>
      <c r="H849" s="47">
        <v>0</v>
      </c>
      <c r="I849" s="47">
        <v>0</v>
      </c>
      <c r="J849" s="47">
        <v>0</v>
      </c>
      <c r="K849" s="47">
        <v>0</v>
      </c>
      <c r="L849" s="47">
        <v>0</v>
      </c>
      <c r="M849" s="47">
        <v>0</v>
      </c>
      <c r="N849" s="47">
        <v>0</v>
      </c>
      <c r="O849" s="47">
        <v>0</v>
      </c>
      <c r="P849" s="47">
        <v>0</v>
      </c>
      <c r="Q849" s="47">
        <v>0</v>
      </c>
      <c r="R849" s="47">
        <v>0</v>
      </c>
      <c r="S849" s="47">
        <v>0</v>
      </c>
      <c r="T849" s="47">
        <v>0</v>
      </c>
      <c r="U849" s="47">
        <v>0</v>
      </c>
      <c r="V849" s="47">
        <v>0</v>
      </c>
      <c r="W849" s="47">
        <v>0</v>
      </c>
      <c r="X849" s="47">
        <v>0</v>
      </c>
      <c r="Y849" s="48">
        <f t="shared" si="132"/>
        <v>4973273.51</v>
      </c>
      <c r="Z849" s="185">
        <v>1626219.25</v>
      </c>
      <c r="AA849" s="147">
        <v>1626219.25</v>
      </c>
      <c r="AB849" s="50"/>
      <c r="AC849" s="50"/>
      <c r="AD849" s="148">
        <v>47546.63</v>
      </c>
      <c r="AE849" s="50"/>
      <c r="AF849" s="50"/>
      <c r="AG849" s="49">
        <f t="shared" si="133"/>
        <v>1673765.88</v>
      </c>
      <c r="AH849" s="51" t="s">
        <v>104</v>
      </c>
      <c r="AI849" s="51" t="s">
        <v>74</v>
      </c>
      <c r="AJ849" s="51" t="s">
        <v>74</v>
      </c>
      <c r="AK849" s="51" t="s">
        <v>590</v>
      </c>
      <c r="AL849" s="51" t="s">
        <v>74</v>
      </c>
      <c r="AM849" s="51" t="s">
        <v>74</v>
      </c>
      <c r="AN849" s="52">
        <v>0</v>
      </c>
      <c r="AO849" s="52">
        <v>0</v>
      </c>
      <c r="AP849" s="52">
        <v>0</v>
      </c>
      <c r="AQ849" s="52">
        <v>0</v>
      </c>
      <c r="AR849" s="52">
        <v>0</v>
      </c>
      <c r="AS849" s="52">
        <f t="shared" si="134"/>
        <v>0</v>
      </c>
      <c r="AT849" s="53" t="s">
        <v>74</v>
      </c>
      <c r="AU849" s="52">
        <v>0</v>
      </c>
      <c r="AV849" s="52"/>
      <c r="AW849" s="52">
        <v>0</v>
      </c>
      <c r="AX849" s="68">
        <v>809944</v>
      </c>
      <c r="AY849" s="52"/>
      <c r="AZ849" s="52"/>
      <c r="BA849" s="52">
        <f t="shared" si="135"/>
        <v>809944</v>
      </c>
      <c r="BB849" s="54" t="s">
        <v>74</v>
      </c>
      <c r="BC849" s="53" t="s">
        <v>74</v>
      </c>
      <c r="BD849" s="55" t="s">
        <v>74</v>
      </c>
      <c r="BE849" s="55" t="s">
        <v>905</v>
      </c>
      <c r="BF849" s="55" t="s">
        <v>74</v>
      </c>
      <c r="BG849" s="55" t="s">
        <v>74</v>
      </c>
      <c r="BH849" s="52">
        <f t="shared" si="136"/>
        <v>809944</v>
      </c>
      <c r="BI849" s="52">
        <f t="shared" si="137"/>
        <v>4109451.63</v>
      </c>
      <c r="BJ849" s="52">
        <f>Y849-AG849+AX849</f>
        <v>4109451.63</v>
      </c>
      <c r="BK849" s="56">
        <v>44378</v>
      </c>
      <c r="BL849" s="63">
        <f>3268273.51+31234.12+809944</f>
        <v>4109451.63</v>
      </c>
      <c r="BM849" s="47">
        <v>0</v>
      </c>
      <c r="BN849" s="9"/>
      <c r="BO849" s="9"/>
      <c r="BP849" s="9"/>
      <c r="BQ849" s="9"/>
      <c r="BR849" s="9"/>
      <c r="BS849" s="9"/>
      <c r="BT849" s="9"/>
      <c r="BU849" s="9"/>
      <c r="BV849" s="9"/>
      <c r="BW849" s="9"/>
    </row>
    <row r="850" spans="1:75" ht="128.25" hidden="1" outlineLevel="2" x14ac:dyDescent="0.25">
      <c r="A850" s="43" t="s">
        <v>895</v>
      </c>
      <c r="B850" s="110" t="s">
        <v>896</v>
      </c>
      <c r="C850" s="45">
        <v>2021</v>
      </c>
      <c r="D850" s="110" t="s">
        <v>86</v>
      </c>
      <c r="E850" s="134">
        <v>4973273.51</v>
      </c>
      <c r="F850" s="47">
        <v>0</v>
      </c>
      <c r="G850" s="47">
        <v>0</v>
      </c>
      <c r="H850" s="47">
        <v>0</v>
      </c>
      <c r="I850" s="47">
        <v>0</v>
      </c>
      <c r="J850" s="47">
        <v>0</v>
      </c>
      <c r="K850" s="47">
        <v>0</v>
      </c>
      <c r="L850" s="47">
        <v>0</v>
      </c>
      <c r="M850" s="47">
        <v>0</v>
      </c>
      <c r="N850" s="47">
        <v>0</v>
      </c>
      <c r="O850" s="47">
        <v>0</v>
      </c>
      <c r="P850" s="47">
        <v>0</v>
      </c>
      <c r="Q850" s="47">
        <v>0</v>
      </c>
      <c r="R850" s="47">
        <v>0</v>
      </c>
      <c r="S850" s="47">
        <v>0</v>
      </c>
      <c r="T850" s="47">
        <v>0</v>
      </c>
      <c r="U850" s="47">
        <v>0</v>
      </c>
      <c r="V850" s="47">
        <v>0</v>
      </c>
      <c r="W850" s="47">
        <v>0</v>
      </c>
      <c r="X850" s="47">
        <v>0</v>
      </c>
      <c r="Y850" s="48">
        <f t="shared" si="132"/>
        <v>4973273.51</v>
      </c>
      <c r="Z850" s="146">
        <v>1633560.67</v>
      </c>
      <c r="AA850" s="147">
        <v>1633560.67</v>
      </c>
      <c r="AB850" s="159"/>
      <c r="AC850" s="159"/>
      <c r="AD850" s="148">
        <v>46641.53</v>
      </c>
      <c r="AE850" s="50"/>
      <c r="AF850" s="50"/>
      <c r="AG850" s="49">
        <f t="shared" si="133"/>
        <v>1680202.2</v>
      </c>
      <c r="AH850" s="51" t="s">
        <v>104</v>
      </c>
      <c r="AI850" s="51" t="s">
        <v>74</v>
      </c>
      <c r="AJ850" s="51" t="s">
        <v>74</v>
      </c>
      <c r="AK850" s="51" t="s">
        <v>593</v>
      </c>
      <c r="AL850" s="51" t="s">
        <v>74</v>
      </c>
      <c r="AM850" s="51" t="s">
        <v>74</v>
      </c>
      <c r="AN850" s="52">
        <v>0</v>
      </c>
      <c r="AO850" s="52">
        <v>0</v>
      </c>
      <c r="AP850" s="52">
        <v>0</v>
      </c>
      <c r="AQ850" s="52">
        <v>0</v>
      </c>
      <c r="AR850" s="52">
        <v>0</v>
      </c>
      <c r="AS850" s="52">
        <f t="shared" si="134"/>
        <v>0</v>
      </c>
      <c r="AT850" s="53" t="s">
        <v>74</v>
      </c>
      <c r="AU850" s="52">
        <v>0</v>
      </c>
      <c r="AV850" s="52"/>
      <c r="AW850" s="52">
        <v>0</v>
      </c>
      <c r="AX850" s="68">
        <v>809944</v>
      </c>
      <c r="AY850" s="52"/>
      <c r="AZ850" s="52"/>
      <c r="BA850" s="52">
        <f t="shared" si="135"/>
        <v>809944</v>
      </c>
      <c r="BB850" s="54" t="s">
        <v>74</v>
      </c>
      <c r="BC850" s="53" t="s">
        <v>74</v>
      </c>
      <c r="BD850" s="55" t="s">
        <v>74</v>
      </c>
      <c r="BE850" s="55" t="s">
        <v>906</v>
      </c>
      <c r="BF850" s="55" t="s">
        <v>74</v>
      </c>
      <c r="BG850" s="55" t="s">
        <v>74</v>
      </c>
      <c r="BH850" s="52">
        <f t="shared" si="136"/>
        <v>809944</v>
      </c>
      <c r="BI850" s="52">
        <f t="shared" si="137"/>
        <v>4103015.3099999996</v>
      </c>
      <c r="BJ850" s="52">
        <f>Y850-AG850+AX850</f>
        <v>4103015.3099999996</v>
      </c>
      <c r="BK850" s="56">
        <v>44409</v>
      </c>
      <c r="BL850" s="63">
        <f>3268273.51+24797.8+809944</f>
        <v>4103015.3099999996</v>
      </c>
      <c r="BM850" s="47">
        <v>0</v>
      </c>
      <c r="BN850" s="9"/>
      <c r="BO850" s="9"/>
      <c r="BP850" s="9"/>
      <c r="BQ850" s="9"/>
      <c r="BR850" s="9"/>
      <c r="BS850" s="9"/>
      <c r="BT850" s="9"/>
      <c r="BU850" s="9"/>
      <c r="BV850" s="9"/>
      <c r="BW850" s="9"/>
    </row>
    <row r="851" spans="1:75" hidden="1" outlineLevel="2" x14ac:dyDescent="0.25">
      <c r="A851" s="71" t="s">
        <v>895</v>
      </c>
      <c r="B851" s="116" t="s">
        <v>896</v>
      </c>
      <c r="C851" s="73">
        <v>2021</v>
      </c>
      <c r="D851" s="116" t="s">
        <v>88</v>
      </c>
      <c r="E851" s="139">
        <v>3647067.2406666698</v>
      </c>
      <c r="F851" s="75">
        <v>0</v>
      </c>
      <c r="G851" s="75">
        <v>0</v>
      </c>
      <c r="H851" s="75">
        <v>0</v>
      </c>
      <c r="I851" s="75">
        <v>0</v>
      </c>
      <c r="J851" s="75">
        <v>0</v>
      </c>
      <c r="K851" s="75">
        <v>0</v>
      </c>
      <c r="L851" s="75">
        <v>0</v>
      </c>
      <c r="M851" s="75">
        <v>0</v>
      </c>
      <c r="N851" s="75">
        <v>0</v>
      </c>
      <c r="O851" s="75">
        <v>0</v>
      </c>
      <c r="P851" s="75">
        <v>0</v>
      </c>
      <c r="Q851" s="75">
        <v>0</v>
      </c>
      <c r="R851" s="75">
        <v>0</v>
      </c>
      <c r="S851" s="75">
        <v>0</v>
      </c>
      <c r="T851" s="75">
        <v>0</v>
      </c>
      <c r="U851" s="75">
        <v>0</v>
      </c>
      <c r="V851" s="75">
        <v>0</v>
      </c>
      <c r="W851" s="75">
        <v>0</v>
      </c>
      <c r="X851" s="75">
        <v>0</v>
      </c>
      <c r="Y851" s="76">
        <f t="shared" si="132"/>
        <v>3647067.2406666698</v>
      </c>
      <c r="Z851" s="201"/>
      <c r="AA851" s="160">
        <v>1655000</v>
      </c>
      <c r="AB851" s="160"/>
      <c r="AC851" s="160"/>
      <c r="AD851" s="160">
        <v>50000</v>
      </c>
      <c r="AE851" s="79"/>
      <c r="AF851" s="79"/>
      <c r="AG851" s="80">
        <f t="shared" si="133"/>
        <v>1705000</v>
      </c>
      <c r="AH851" s="123" t="s">
        <v>595</v>
      </c>
      <c r="AI851" s="123" t="s">
        <v>74</v>
      </c>
      <c r="AJ851" s="123" t="s">
        <v>74</v>
      </c>
      <c r="AK851" s="123" t="s">
        <v>595</v>
      </c>
      <c r="AL851" s="123" t="s">
        <v>74</v>
      </c>
      <c r="AM851" s="123" t="s">
        <v>74</v>
      </c>
      <c r="AN851" s="82">
        <v>0</v>
      </c>
      <c r="AO851" s="82">
        <v>0</v>
      </c>
      <c r="AP851" s="82">
        <v>0</v>
      </c>
      <c r="AQ851" s="82">
        <v>0</v>
      </c>
      <c r="AR851" s="82">
        <v>0</v>
      </c>
      <c r="AS851" s="82">
        <f t="shared" si="134"/>
        <v>0</v>
      </c>
      <c r="AT851" s="124" t="s">
        <v>74</v>
      </c>
      <c r="AU851" s="82">
        <v>0</v>
      </c>
      <c r="AV851" s="82"/>
      <c r="AW851" s="82">
        <v>0</v>
      </c>
      <c r="AX851" s="82"/>
      <c r="AY851" s="82"/>
      <c r="AZ851" s="82"/>
      <c r="BA851" s="82">
        <f t="shared" si="135"/>
        <v>0</v>
      </c>
      <c r="BB851" s="125" t="s">
        <v>74</v>
      </c>
      <c r="BC851" s="124" t="s">
        <v>74</v>
      </c>
      <c r="BD851" s="126" t="s">
        <v>74</v>
      </c>
      <c r="BE851" s="126" t="s">
        <v>74</v>
      </c>
      <c r="BF851" s="126" t="s">
        <v>74</v>
      </c>
      <c r="BG851" s="126" t="s">
        <v>74</v>
      </c>
      <c r="BH851" s="82">
        <f t="shared" si="136"/>
        <v>0</v>
      </c>
      <c r="BI851" s="82">
        <f t="shared" si="137"/>
        <v>1942067.2406666698</v>
      </c>
      <c r="BJ851" s="52">
        <f>BI851-BH851</f>
        <v>1942067.2406666698</v>
      </c>
      <c r="BK851" s="56">
        <v>44440</v>
      </c>
      <c r="BL851" s="83">
        <v>1942067.24</v>
      </c>
      <c r="BM851" s="75">
        <v>0</v>
      </c>
      <c r="BN851" s="9"/>
      <c r="BO851" s="9"/>
      <c r="BP851" s="9"/>
      <c r="BQ851" s="9"/>
      <c r="BR851" s="9"/>
      <c r="BS851" s="9"/>
      <c r="BT851" s="9"/>
      <c r="BU851" s="9"/>
      <c r="BV851" s="9"/>
      <c r="BW851" s="9"/>
    </row>
    <row r="852" spans="1:75" hidden="1" outlineLevel="1" collapsed="1" x14ac:dyDescent="0.25">
      <c r="A852" s="84"/>
      <c r="B852" s="120" t="s">
        <v>907</v>
      </c>
      <c r="C852" s="86"/>
      <c r="D852" s="120"/>
      <c r="E852" s="95"/>
      <c r="F852" s="88"/>
      <c r="G852" s="88"/>
      <c r="H852" s="88"/>
      <c r="I852" s="88"/>
      <c r="J852" s="88"/>
      <c r="K852" s="88"/>
      <c r="L852" s="88"/>
      <c r="M852" s="88"/>
      <c r="N852" s="88"/>
      <c r="O852" s="88"/>
      <c r="P852" s="88"/>
      <c r="Q852" s="88"/>
      <c r="R852" s="88"/>
      <c r="S852" s="88"/>
      <c r="T852" s="88"/>
      <c r="U852" s="88"/>
      <c r="V852" s="88"/>
      <c r="W852" s="88"/>
      <c r="X852" s="88"/>
      <c r="Y852" s="89">
        <f t="shared" ref="Y852:AG852" si="138">SUBTOTAL(9,Y843:Y851)</f>
        <v>0</v>
      </c>
      <c r="Z852" s="128">
        <f t="shared" si="138"/>
        <v>0</v>
      </c>
      <c r="AA852" s="162">
        <f t="shared" si="138"/>
        <v>0</v>
      </c>
      <c r="AB852" s="162">
        <f t="shared" si="138"/>
        <v>0</v>
      </c>
      <c r="AC852" s="162">
        <f t="shared" si="138"/>
        <v>0</v>
      </c>
      <c r="AD852" s="162">
        <f t="shared" si="138"/>
        <v>0</v>
      </c>
      <c r="AE852" s="89">
        <f t="shared" si="138"/>
        <v>0</v>
      </c>
      <c r="AF852" s="89">
        <f t="shared" si="138"/>
        <v>0</v>
      </c>
      <c r="AG852" s="89">
        <f t="shared" si="138"/>
        <v>0</v>
      </c>
      <c r="AH852" s="129"/>
      <c r="AI852" s="129"/>
      <c r="AJ852" s="129"/>
      <c r="AK852" s="129"/>
      <c r="AL852" s="129"/>
      <c r="AM852" s="129"/>
      <c r="AN852" s="92">
        <f t="shared" ref="AN852:AS852" si="139">SUBTOTAL(9,AN843:AN851)</f>
        <v>0</v>
      </c>
      <c r="AO852" s="92">
        <f t="shared" si="139"/>
        <v>0</v>
      </c>
      <c r="AP852" s="92">
        <f t="shared" si="139"/>
        <v>0</v>
      </c>
      <c r="AQ852" s="92">
        <f t="shared" si="139"/>
        <v>0</v>
      </c>
      <c r="AR852" s="92">
        <f t="shared" si="139"/>
        <v>0</v>
      </c>
      <c r="AS852" s="92">
        <f t="shared" si="139"/>
        <v>0</v>
      </c>
      <c r="AT852" s="130"/>
      <c r="AU852" s="92">
        <f t="shared" ref="AU852:BA852" si="140">SUBTOTAL(9,AU843:AU851)</f>
        <v>0</v>
      </c>
      <c r="AV852" s="92">
        <f t="shared" si="140"/>
        <v>0</v>
      </c>
      <c r="AW852" s="92">
        <f t="shared" si="140"/>
        <v>0</v>
      </c>
      <c r="AX852" s="92">
        <f t="shared" si="140"/>
        <v>0</v>
      </c>
      <c r="AY852" s="92">
        <f t="shared" si="140"/>
        <v>0</v>
      </c>
      <c r="AZ852" s="92">
        <f t="shared" si="140"/>
        <v>0</v>
      </c>
      <c r="BA852" s="92">
        <f t="shared" si="140"/>
        <v>0</v>
      </c>
      <c r="BB852" s="131"/>
      <c r="BC852" s="130"/>
      <c r="BD852" s="132"/>
      <c r="BE852" s="132"/>
      <c r="BF852" s="132"/>
      <c r="BG852" s="132"/>
      <c r="BH852" s="92">
        <f>SUBTOTAL(9,BH843:BH851)</f>
        <v>0</v>
      </c>
      <c r="BI852" s="92">
        <f>SUBTOTAL(9,BI843:BI851)</f>
        <v>0</v>
      </c>
      <c r="BJ852" s="93"/>
      <c r="BK852" s="94"/>
      <c r="BL852" s="95">
        <f>SUBTOTAL(9,BL843:BL851)</f>
        <v>0</v>
      </c>
      <c r="BM852" s="88">
        <f>SUBTOTAL(9,BM843:BM851)</f>
        <v>0</v>
      </c>
      <c r="BN852" s="9"/>
      <c r="BO852" s="9"/>
      <c r="BP852" s="9"/>
      <c r="BQ852" s="9"/>
      <c r="BR852" s="9"/>
      <c r="BS852" s="9"/>
      <c r="BT852" s="9"/>
      <c r="BU852" s="9"/>
      <c r="BV852" s="9"/>
      <c r="BW852" s="9"/>
    </row>
    <row r="853" spans="1:75" hidden="1" outlineLevel="2" x14ac:dyDescent="0.25">
      <c r="A853" s="96" t="s">
        <v>795</v>
      </c>
      <c r="B853" s="97" t="s">
        <v>908</v>
      </c>
      <c r="C853" s="98">
        <v>2017</v>
      </c>
      <c r="D853" s="97" t="s">
        <v>90</v>
      </c>
      <c r="E853" s="100">
        <v>1364094.96</v>
      </c>
      <c r="F853" s="100">
        <v>0</v>
      </c>
      <c r="G853" s="100">
        <v>0</v>
      </c>
      <c r="H853" s="100">
        <v>0</v>
      </c>
      <c r="I853" s="100">
        <v>0</v>
      </c>
      <c r="J853" s="100">
        <v>0</v>
      </c>
      <c r="K853" s="100">
        <v>0</v>
      </c>
      <c r="L853" s="100">
        <v>0</v>
      </c>
      <c r="M853" s="100">
        <v>0</v>
      </c>
      <c r="N853" s="100">
        <v>0</v>
      </c>
      <c r="O853" s="100">
        <v>0</v>
      </c>
      <c r="P853" s="100">
        <v>0</v>
      </c>
      <c r="Q853" s="100">
        <v>0</v>
      </c>
      <c r="R853" s="100">
        <v>0</v>
      </c>
      <c r="S853" s="100">
        <v>0</v>
      </c>
      <c r="T853" s="100">
        <v>0</v>
      </c>
      <c r="U853" s="100">
        <v>0</v>
      </c>
      <c r="V853" s="100">
        <v>0</v>
      </c>
      <c r="W853" s="100">
        <v>0</v>
      </c>
      <c r="X853" s="100">
        <v>0</v>
      </c>
      <c r="Y853" s="101">
        <v>1364094.96</v>
      </c>
      <c r="Z853" s="102">
        <v>0</v>
      </c>
      <c r="AA853" s="103">
        <v>0</v>
      </c>
      <c r="AB853" s="103">
        <v>0</v>
      </c>
      <c r="AC853" s="103">
        <v>0</v>
      </c>
      <c r="AD853" s="103">
        <v>0</v>
      </c>
      <c r="AE853" s="103">
        <v>0</v>
      </c>
      <c r="AF853" s="103">
        <v>0</v>
      </c>
      <c r="AG853" s="102">
        <v>0</v>
      </c>
      <c r="AH853" s="104" t="s">
        <v>74</v>
      </c>
      <c r="AI853" s="104" t="s">
        <v>74</v>
      </c>
      <c r="AJ853" s="104" t="s">
        <v>74</v>
      </c>
      <c r="AK853" s="104" t="s">
        <v>74</v>
      </c>
      <c r="AL853" s="104" t="s">
        <v>74</v>
      </c>
      <c r="AM853" s="104" t="s">
        <v>74</v>
      </c>
      <c r="AN853" s="105">
        <v>0</v>
      </c>
      <c r="AO853" s="105">
        <v>0</v>
      </c>
      <c r="AP853" s="105">
        <v>0</v>
      </c>
      <c r="AQ853" s="105">
        <v>0</v>
      </c>
      <c r="AR853" s="105">
        <v>0</v>
      </c>
      <c r="AS853" s="105">
        <v>0</v>
      </c>
      <c r="AT853" s="106" t="s">
        <v>74</v>
      </c>
      <c r="AU853" s="105">
        <v>0</v>
      </c>
      <c r="AV853" s="105"/>
      <c r="AW853" s="105">
        <v>0</v>
      </c>
      <c r="AX853" s="105"/>
      <c r="AY853" s="105"/>
      <c r="AZ853" s="105">
        <v>0</v>
      </c>
      <c r="BA853" s="105">
        <v>0</v>
      </c>
      <c r="BB853" s="107" t="s">
        <v>74</v>
      </c>
      <c r="BC853" s="106" t="s">
        <v>74</v>
      </c>
      <c r="BD853" s="108" t="s">
        <v>74</v>
      </c>
      <c r="BE853" s="108" t="s">
        <v>74</v>
      </c>
      <c r="BF853" s="108" t="s">
        <v>74</v>
      </c>
      <c r="BG853" s="108" t="s">
        <v>74</v>
      </c>
      <c r="BH853" s="105">
        <v>0</v>
      </c>
      <c r="BI853" s="105">
        <v>1364094.96</v>
      </c>
      <c r="BJ853" s="52">
        <v>1364094.96</v>
      </c>
      <c r="BK853" s="56">
        <v>43040</v>
      </c>
      <c r="BL853" s="109">
        <v>1364094.96</v>
      </c>
      <c r="BM853" s="100">
        <v>0</v>
      </c>
      <c r="BN853" s="9"/>
      <c r="BO853" s="9"/>
      <c r="BP853" s="9"/>
      <c r="BQ853" s="9"/>
      <c r="BR853" s="9"/>
      <c r="BS853" s="9"/>
      <c r="BT853" s="9"/>
      <c r="BU853" s="9"/>
      <c r="BV853" s="9"/>
      <c r="BW853" s="9"/>
    </row>
    <row r="854" spans="1:75" hidden="1" outlineLevel="2" x14ac:dyDescent="0.25">
      <c r="A854" s="43" t="s">
        <v>795</v>
      </c>
      <c r="B854" s="110" t="s">
        <v>908</v>
      </c>
      <c r="C854" s="45">
        <v>2017</v>
      </c>
      <c r="D854" s="110" t="s">
        <v>93</v>
      </c>
      <c r="E854" s="47">
        <v>1136745.8</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1136745.8</v>
      </c>
      <c r="Z854" s="49">
        <v>0</v>
      </c>
      <c r="AA854" s="50">
        <v>0</v>
      </c>
      <c r="AB854" s="50">
        <v>0</v>
      </c>
      <c r="AC854" s="50">
        <v>0</v>
      </c>
      <c r="AD854" s="50">
        <v>0</v>
      </c>
      <c r="AE854" s="50">
        <v>0</v>
      </c>
      <c r="AF854" s="50">
        <v>0</v>
      </c>
      <c r="AG854" s="49">
        <v>0</v>
      </c>
      <c r="AH854" s="51" t="s">
        <v>74</v>
      </c>
      <c r="AI854" s="51" t="s">
        <v>74</v>
      </c>
      <c r="AJ854" s="51" t="s">
        <v>74</v>
      </c>
      <c r="AK854" s="51" t="s">
        <v>74</v>
      </c>
      <c r="AL854" s="51" t="s">
        <v>74</v>
      </c>
      <c r="AM854" s="51" t="s">
        <v>74</v>
      </c>
      <c r="AN854" s="52">
        <v>0</v>
      </c>
      <c r="AO854" s="52">
        <v>0</v>
      </c>
      <c r="AP854" s="52">
        <v>0</v>
      </c>
      <c r="AQ854" s="52">
        <v>0</v>
      </c>
      <c r="AR854" s="52">
        <v>0</v>
      </c>
      <c r="AS854" s="52">
        <v>0</v>
      </c>
      <c r="AT854" s="53" t="s">
        <v>74</v>
      </c>
      <c r="AU854" s="52">
        <v>0</v>
      </c>
      <c r="AV854" s="52"/>
      <c r="AW854" s="52">
        <v>0</v>
      </c>
      <c r="AX854" s="52"/>
      <c r="AY854" s="52"/>
      <c r="AZ854" s="52">
        <v>0</v>
      </c>
      <c r="BA854" s="52">
        <v>0</v>
      </c>
      <c r="BB854" s="54" t="s">
        <v>74</v>
      </c>
      <c r="BC854" s="53" t="s">
        <v>74</v>
      </c>
      <c r="BD854" s="55" t="s">
        <v>74</v>
      </c>
      <c r="BE854" s="55" t="s">
        <v>74</v>
      </c>
      <c r="BF854" s="55" t="s">
        <v>74</v>
      </c>
      <c r="BG854" s="55" t="s">
        <v>74</v>
      </c>
      <c r="BH854" s="52">
        <v>0</v>
      </c>
      <c r="BI854" s="52">
        <v>1136745.8</v>
      </c>
      <c r="BJ854" s="52">
        <v>1136745.8</v>
      </c>
      <c r="BK854" s="56">
        <v>43070</v>
      </c>
      <c r="BL854" s="57">
        <v>1136745.8</v>
      </c>
      <c r="BM854" s="47">
        <v>0</v>
      </c>
      <c r="BN854" s="9"/>
      <c r="BO854" s="9"/>
      <c r="BP854" s="9"/>
      <c r="BQ854" s="9"/>
      <c r="BR854" s="9"/>
      <c r="BS854" s="9"/>
      <c r="BT854" s="9"/>
      <c r="BU854" s="9"/>
      <c r="BV854" s="9"/>
      <c r="BW854" s="9"/>
    </row>
    <row r="855" spans="1:75" hidden="1" outlineLevel="2" x14ac:dyDescent="0.25">
      <c r="A855" s="43" t="s">
        <v>795</v>
      </c>
      <c r="B855" s="110" t="s">
        <v>908</v>
      </c>
      <c r="C855" s="45">
        <v>2018</v>
      </c>
      <c r="D855" s="110" t="s">
        <v>73</v>
      </c>
      <c r="E855" s="47">
        <v>1364094.96</v>
      </c>
      <c r="F855" s="47">
        <v>0</v>
      </c>
      <c r="G855" s="47">
        <v>0</v>
      </c>
      <c r="H855" s="47">
        <v>0</v>
      </c>
      <c r="I855" s="47">
        <v>0</v>
      </c>
      <c r="J855" s="47">
        <v>0</v>
      </c>
      <c r="K855" s="47">
        <v>0</v>
      </c>
      <c r="L855" s="47">
        <v>0</v>
      </c>
      <c r="M855" s="47">
        <v>0</v>
      </c>
      <c r="N855" s="47">
        <v>0</v>
      </c>
      <c r="O855" s="47">
        <v>0</v>
      </c>
      <c r="P855" s="47">
        <v>0</v>
      </c>
      <c r="Q855" s="47">
        <v>0</v>
      </c>
      <c r="R855" s="47">
        <v>0</v>
      </c>
      <c r="S855" s="47">
        <v>0</v>
      </c>
      <c r="T855" s="47">
        <v>0</v>
      </c>
      <c r="U855" s="47">
        <v>0</v>
      </c>
      <c r="V855" s="47">
        <v>0</v>
      </c>
      <c r="W855" s="47">
        <v>0</v>
      </c>
      <c r="X855" s="47">
        <v>0</v>
      </c>
      <c r="Y855" s="48">
        <v>1364094.96</v>
      </c>
      <c r="Z855" s="49">
        <v>0</v>
      </c>
      <c r="AA855" s="50">
        <v>0</v>
      </c>
      <c r="AB855" s="50">
        <v>0</v>
      </c>
      <c r="AC855" s="50">
        <v>0</v>
      </c>
      <c r="AD855" s="50">
        <v>0</v>
      </c>
      <c r="AE855" s="50">
        <v>0</v>
      </c>
      <c r="AF855" s="50">
        <v>0</v>
      </c>
      <c r="AG855" s="49">
        <v>0</v>
      </c>
      <c r="AH855" s="51" t="s">
        <v>74</v>
      </c>
      <c r="AI855" s="51" t="s">
        <v>74</v>
      </c>
      <c r="AJ855" s="51" t="s">
        <v>74</v>
      </c>
      <c r="AK855" s="51" t="s">
        <v>74</v>
      </c>
      <c r="AL855" s="51" t="s">
        <v>74</v>
      </c>
      <c r="AM855" s="51" t="s">
        <v>74</v>
      </c>
      <c r="AN855" s="52">
        <v>0</v>
      </c>
      <c r="AO855" s="52">
        <v>0</v>
      </c>
      <c r="AP855" s="52">
        <v>0</v>
      </c>
      <c r="AQ855" s="52">
        <v>0</v>
      </c>
      <c r="AR855" s="52">
        <v>0</v>
      </c>
      <c r="AS855" s="52">
        <v>0</v>
      </c>
      <c r="AT855" s="53" t="s">
        <v>74</v>
      </c>
      <c r="AU855" s="52">
        <v>0</v>
      </c>
      <c r="AV855" s="52"/>
      <c r="AW855" s="52">
        <v>0</v>
      </c>
      <c r="AX855" s="52"/>
      <c r="AY855" s="52"/>
      <c r="AZ855" s="52">
        <v>0</v>
      </c>
      <c r="BA855" s="52">
        <v>0</v>
      </c>
      <c r="BB855" s="54" t="s">
        <v>74</v>
      </c>
      <c r="BC855" s="53" t="s">
        <v>74</v>
      </c>
      <c r="BD855" s="55" t="s">
        <v>74</v>
      </c>
      <c r="BE855" s="55" t="s">
        <v>74</v>
      </c>
      <c r="BF855" s="55" t="s">
        <v>74</v>
      </c>
      <c r="BG855" s="55" t="s">
        <v>74</v>
      </c>
      <c r="BH855" s="52">
        <v>0</v>
      </c>
      <c r="BI855" s="52">
        <v>1364094.96</v>
      </c>
      <c r="BJ855" s="52">
        <v>1364094.96</v>
      </c>
      <c r="BK855" s="56">
        <v>43101</v>
      </c>
      <c r="BL855" s="57">
        <v>1364094.96</v>
      </c>
      <c r="BM855" s="47">
        <v>0</v>
      </c>
      <c r="BN855" s="9"/>
      <c r="BO855" s="9"/>
      <c r="BP855" s="9"/>
      <c r="BQ855" s="9"/>
      <c r="BR855" s="9"/>
      <c r="BS855" s="9"/>
      <c r="BT855" s="9"/>
      <c r="BU855" s="9"/>
      <c r="BV855" s="9"/>
      <c r="BW855" s="9"/>
    </row>
    <row r="856" spans="1:75" hidden="1" outlineLevel="2" x14ac:dyDescent="0.25">
      <c r="A856" s="43" t="s">
        <v>795</v>
      </c>
      <c r="B856" s="110" t="s">
        <v>908</v>
      </c>
      <c r="C856" s="45">
        <v>2018</v>
      </c>
      <c r="D856" s="110" t="s">
        <v>75</v>
      </c>
      <c r="E856" s="47">
        <v>1364094.96</v>
      </c>
      <c r="F856" s="47">
        <v>0</v>
      </c>
      <c r="G856" s="47">
        <v>0</v>
      </c>
      <c r="H856" s="47">
        <v>0</v>
      </c>
      <c r="I856" s="47">
        <v>0</v>
      </c>
      <c r="J856" s="47">
        <v>0</v>
      </c>
      <c r="K856" s="47">
        <v>0</v>
      </c>
      <c r="L856" s="47">
        <v>0</v>
      </c>
      <c r="M856" s="47">
        <v>0</v>
      </c>
      <c r="N856" s="47">
        <v>0</v>
      </c>
      <c r="O856" s="47">
        <v>0</v>
      </c>
      <c r="P856" s="47">
        <v>0</v>
      </c>
      <c r="Q856" s="47">
        <v>0</v>
      </c>
      <c r="R856" s="47">
        <v>0</v>
      </c>
      <c r="S856" s="47">
        <v>0</v>
      </c>
      <c r="T856" s="47">
        <v>0</v>
      </c>
      <c r="U856" s="47">
        <v>0</v>
      </c>
      <c r="V856" s="47">
        <v>0</v>
      </c>
      <c r="W856" s="47">
        <v>0</v>
      </c>
      <c r="X856" s="47">
        <v>0</v>
      </c>
      <c r="Y856" s="48">
        <v>1364094.96</v>
      </c>
      <c r="Z856" s="49">
        <v>0</v>
      </c>
      <c r="AA856" s="50">
        <v>0</v>
      </c>
      <c r="AB856" s="50">
        <v>0</v>
      </c>
      <c r="AC856" s="50">
        <v>0</v>
      </c>
      <c r="AD856" s="50">
        <v>0</v>
      </c>
      <c r="AE856" s="50">
        <v>0</v>
      </c>
      <c r="AF856" s="50">
        <v>0</v>
      </c>
      <c r="AG856" s="49">
        <v>0</v>
      </c>
      <c r="AH856" s="51" t="s">
        <v>74</v>
      </c>
      <c r="AI856" s="51" t="s">
        <v>74</v>
      </c>
      <c r="AJ856" s="51" t="s">
        <v>74</v>
      </c>
      <c r="AK856" s="51" t="s">
        <v>74</v>
      </c>
      <c r="AL856" s="51" t="s">
        <v>74</v>
      </c>
      <c r="AM856" s="51" t="s">
        <v>74</v>
      </c>
      <c r="AN856" s="52">
        <v>0</v>
      </c>
      <c r="AO856" s="52">
        <v>0</v>
      </c>
      <c r="AP856" s="52">
        <v>0</v>
      </c>
      <c r="AQ856" s="52">
        <v>0</v>
      </c>
      <c r="AR856" s="52">
        <v>0</v>
      </c>
      <c r="AS856" s="52">
        <v>0</v>
      </c>
      <c r="AT856" s="53" t="s">
        <v>74</v>
      </c>
      <c r="AU856" s="52">
        <v>0</v>
      </c>
      <c r="AV856" s="52"/>
      <c r="AW856" s="52">
        <v>0</v>
      </c>
      <c r="AX856" s="52"/>
      <c r="AY856" s="52"/>
      <c r="AZ856" s="52">
        <v>0</v>
      </c>
      <c r="BA856" s="52">
        <v>0</v>
      </c>
      <c r="BB856" s="54" t="s">
        <v>74</v>
      </c>
      <c r="BC856" s="53" t="s">
        <v>74</v>
      </c>
      <c r="BD856" s="55" t="s">
        <v>74</v>
      </c>
      <c r="BE856" s="55" t="s">
        <v>74</v>
      </c>
      <c r="BF856" s="55" t="s">
        <v>74</v>
      </c>
      <c r="BG856" s="55" t="s">
        <v>74</v>
      </c>
      <c r="BH856" s="52">
        <v>0</v>
      </c>
      <c r="BI856" s="52">
        <v>1364094.96</v>
      </c>
      <c r="BJ856" s="52">
        <v>1364094.96</v>
      </c>
      <c r="BK856" s="56">
        <v>43132</v>
      </c>
      <c r="BL856" s="57">
        <v>1364094.96</v>
      </c>
      <c r="BM856" s="47">
        <v>0</v>
      </c>
      <c r="BN856" s="9"/>
      <c r="BO856" s="9"/>
      <c r="BP856" s="9"/>
      <c r="BQ856" s="9"/>
      <c r="BR856" s="9"/>
      <c r="BS856" s="9"/>
      <c r="BT856" s="9"/>
      <c r="BU856" s="9"/>
      <c r="BV856" s="9"/>
      <c r="BW856" s="9"/>
    </row>
    <row r="857" spans="1:75" hidden="1" outlineLevel="2" x14ac:dyDescent="0.25">
      <c r="A857" s="43" t="s">
        <v>795</v>
      </c>
      <c r="B857" s="110" t="s">
        <v>908</v>
      </c>
      <c r="C857" s="45">
        <v>2018</v>
      </c>
      <c r="D857" s="110" t="s">
        <v>77</v>
      </c>
      <c r="E857" s="47">
        <v>1364094.96</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1364094.96</v>
      </c>
      <c r="Z857" s="49">
        <v>0</v>
      </c>
      <c r="AA857" s="50">
        <v>0</v>
      </c>
      <c r="AB857" s="50">
        <v>0</v>
      </c>
      <c r="AC857" s="50">
        <v>0</v>
      </c>
      <c r="AD857" s="50">
        <v>0</v>
      </c>
      <c r="AE857" s="50">
        <v>0</v>
      </c>
      <c r="AF857" s="50">
        <v>0</v>
      </c>
      <c r="AG857" s="49">
        <v>0</v>
      </c>
      <c r="AH857" s="51" t="s">
        <v>74</v>
      </c>
      <c r="AI857" s="51" t="s">
        <v>74</v>
      </c>
      <c r="AJ857" s="51" t="s">
        <v>74</v>
      </c>
      <c r="AK857" s="51" t="s">
        <v>74</v>
      </c>
      <c r="AL857" s="51" t="s">
        <v>74</v>
      </c>
      <c r="AM857" s="51" t="s">
        <v>74</v>
      </c>
      <c r="AN857" s="52">
        <v>0</v>
      </c>
      <c r="AO857" s="52">
        <v>0</v>
      </c>
      <c r="AP857" s="52">
        <v>0</v>
      </c>
      <c r="AQ857" s="52">
        <v>0</v>
      </c>
      <c r="AR857" s="52">
        <v>0</v>
      </c>
      <c r="AS857" s="52">
        <v>0</v>
      </c>
      <c r="AT857" s="53" t="s">
        <v>74</v>
      </c>
      <c r="AU857" s="52">
        <v>0</v>
      </c>
      <c r="AV857" s="52"/>
      <c r="AW857" s="52">
        <v>0</v>
      </c>
      <c r="AX857" s="52"/>
      <c r="AY857" s="52"/>
      <c r="AZ857" s="52">
        <v>0</v>
      </c>
      <c r="BA857" s="52">
        <v>0</v>
      </c>
      <c r="BB857" s="54" t="s">
        <v>74</v>
      </c>
      <c r="BC857" s="53" t="s">
        <v>74</v>
      </c>
      <c r="BD857" s="55" t="s">
        <v>74</v>
      </c>
      <c r="BE857" s="55" t="s">
        <v>74</v>
      </c>
      <c r="BF857" s="55" t="s">
        <v>74</v>
      </c>
      <c r="BG857" s="55" t="s">
        <v>74</v>
      </c>
      <c r="BH857" s="52">
        <v>0</v>
      </c>
      <c r="BI857" s="52">
        <v>1364094.96</v>
      </c>
      <c r="BJ857" s="52">
        <v>1364094.96</v>
      </c>
      <c r="BK857" s="56">
        <v>43160</v>
      </c>
      <c r="BL857" s="57">
        <v>1364094.96</v>
      </c>
      <c r="BM857" s="47">
        <v>0</v>
      </c>
      <c r="BN857" s="9"/>
      <c r="BO857" s="9"/>
      <c r="BP857" s="9"/>
      <c r="BQ857" s="9"/>
      <c r="BR857" s="9"/>
      <c r="BS857" s="9"/>
      <c r="BT857" s="9"/>
      <c r="BU857" s="9"/>
      <c r="BV857" s="9"/>
      <c r="BW857" s="9"/>
    </row>
    <row r="858" spans="1:75" hidden="1" outlineLevel="2" x14ac:dyDescent="0.25">
      <c r="A858" s="43" t="s">
        <v>795</v>
      </c>
      <c r="B858" s="110" t="s">
        <v>908</v>
      </c>
      <c r="C858" s="45">
        <v>2018</v>
      </c>
      <c r="D858" s="110" t="s">
        <v>79</v>
      </c>
      <c r="E858" s="47">
        <v>1364094.96</v>
      </c>
      <c r="F858" s="47">
        <v>0</v>
      </c>
      <c r="G858" s="47">
        <v>0</v>
      </c>
      <c r="H858" s="47">
        <v>0</v>
      </c>
      <c r="I858" s="47">
        <v>0</v>
      </c>
      <c r="J858" s="47">
        <v>0</v>
      </c>
      <c r="K858" s="47">
        <v>0</v>
      </c>
      <c r="L858" s="47">
        <v>0</v>
      </c>
      <c r="M858" s="47">
        <v>0</v>
      </c>
      <c r="N858" s="47">
        <v>0</v>
      </c>
      <c r="O858" s="47">
        <v>0</v>
      </c>
      <c r="P858" s="47">
        <v>0</v>
      </c>
      <c r="Q858" s="47">
        <v>0</v>
      </c>
      <c r="R858" s="47">
        <v>0</v>
      </c>
      <c r="S858" s="47">
        <v>0</v>
      </c>
      <c r="T858" s="47">
        <v>0</v>
      </c>
      <c r="U858" s="47">
        <v>0</v>
      </c>
      <c r="V858" s="47">
        <v>0</v>
      </c>
      <c r="W858" s="47">
        <v>0</v>
      </c>
      <c r="X858" s="47">
        <v>0</v>
      </c>
      <c r="Y858" s="48">
        <v>1364094.96</v>
      </c>
      <c r="Z858" s="49">
        <v>0</v>
      </c>
      <c r="AA858" s="50">
        <v>0</v>
      </c>
      <c r="AB858" s="50">
        <v>0</v>
      </c>
      <c r="AC858" s="50">
        <v>0</v>
      </c>
      <c r="AD858" s="50">
        <v>0</v>
      </c>
      <c r="AE858" s="50">
        <v>0</v>
      </c>
      <c r="AF858" s="50">
        <v>0</v>
      </c>
      <c r="AG858" s="49">
        <v>0</v>
      </c>
      <c r="AH858" s="51" t="s">
        <v>74</v>
      </c>
      <c r="AI858" s="51" t="s">
        <v>74</v>
      </c>
      <c r="AJ858" s="51" t="s">
        <v>74</v>
      </c>
      <c r="AK858" s="51" t="s">
        <v>74</v>
      </c>
      <c r="AL858" s="51" t="s">
        <v>74</v>
      </c>
      <c r="AM858" s="51" t="s">
        <v>74</v>
      </c>
      <c r="AN858" s="52">
        <v>0</v>
      </c>
      <c r="AO858" s="52">
        <v>0</v>
      </c>
      <c r="AP858" s="52">
        <v>0</v>
      </c>
      <c r="AQ858" s="52">
        <v>0</v>
      </c>
      <c r="AR858" s="52">
        <v>0</v>
      </c>
      <c r="AS858" s="52">
        <v>0</v>
      </c>
      <c r="AT858" s="53" t="s">
        <v>74</v>
      </c>
      <c r="AU858" s="52">
        <v>0</v>
      </c>
      <c r="AV858" s="52"/>
      <c r="AW858" s="52">
        <v>0</v>
      </c>
      <c r="AX858" s="52"/>
      <c r="AY858" s="52"/>
      <c r="AZ858" s="52">
        <v>0</v>
      </c>
      <c r="BA858" s="52">
        <v>0</v>
      </c>
      <c r="BB858" s="54" t="s">
        <v>74</v>
      </c>
      <c r="BC858" s="53" t="s">
        <v>74</v>
      </c>
      <c r="BD858" s="55" t="s">
        <v>74</v>
      </c>
      <c r="BE858" s="55" t="s">
        <v>74</v>
      </c>
      <c r="BF858" s="55" t="s">
        <v>74</v>
      </c>
      <c r="BG858" s="55" t="s">
        <v>74</v>
      </c>
      <c r="BH858" s="52">
        <v>0</v>
      </c>
      <c r="BI858" s="52">
        <v>1364094.96</v>
      </c>
      <c r="BJ858" s="52">
        <v>1364094.96</v>
      </c>
      <c r="BK858" s="56">
        <v>43191</v>
      </c>
      <c r="BL858" s="57">
        <v>1364094.96</v>
      </c>
      <c r="BM858" s="47">
        <v>0</v>
      </c>
      <c r="BN858" s="9"/>
      <c r="BO858" s="9"/>
      <c r="BP858" s="9"/>
      <c r="BQ858" s="9"/>
      <c r="BR858" s="9"/>
      <c r="BS858" s="9"/>
      <c r="BT858" s="9"/>
      <c r="BU858" s="9"/>
      <c r="BV858" s="9"/>
      <c r="BW858" s="9"/>
    </row>
    <row r="859" spans="1:75" hidden="1" outlineLevel="2" x14ac:dyDescent="0.25">
      <c r="A859" s="43" t="s">
        <v>795</v>
      </c>
      <c r="B859" s="110" t="s">
        <v>908</v>
      </c>
      <c r="C859" s="45">
        <v>2018</v>
      </c>
      <c r="D859" s="110" t="s">
        <v>81</v>
      </c>
      <c r="E859" s="47">
        <v>1364094.96</v>
      </c>
      <c r="F859" s="47">
        <v>0</v>
      </c>
      <c r="G859" s="47">
        <v>0</v>
      </c>
      <c r="H859" s="47">
        <v>0</v>
      </c>
      <c r="I859" s="47">
        <v>0</v>
      </c>
      <c r="J859" s="47">
        <v>0</v>
      </c>
      <c r="K859" s="47">
        <v>0</v>
      </c>
      <c r="L859" s="47">
        <v>0</v>
      </c>
      <c r="M859" s="47">
        <v>0</v>
      </c>
      <c r="N859" s="47">
        <v>0</v>
      </c>
      <c r="O859" s="47">
        <v>0</v>
      </c>
      <c r="P859" s="47">
        <v>0</v>
      </c>
      <c r="Q859" s="47">
        <v>0</v>
      </c>
      <c r="R859" s="47">
        <v>0</v>
      </c>
      <c r="S859" s="47">
        <v>0</v>
      </c>
      <c r="T859" s="47">
        <v>0</v>
      </c>
      <c r="U859" s="47">
        <v>0</v>
      </c>
      <c r="V859" s="47">
        <v>0</v>
      </c>
      <c r="W859" s="47">
        <v>0</v>
      </c>
      <c r="X859" s="47">
        <v>0</v>
      </c>
      <c r="Y859" s="48">
        <v>1364094.96</v>
      </c>
      <c r="Z859" s="49">
        <v>0</v>
      </c>
      <c r="AA859" s="50">
        <v>0</v>
      </c>
      <c r="AB859" s="50">
        <v>0</v>
      </c>
      <c r="AC859" s="50">
        <v>0</v>
      </c>
      <c r="AD859" s="50">
        <v>0</v>
      </c>
      <c r="AE859" s="50">
        <v>0</v>
      </c>
      <c r="AF859" s="50">
        <v>0</v>
      </c>
      <c r="AG859" s="49">
        <v>0</v>
      </c>
      <c r="AH859" s="51" t="s">
        <v>74</v>
      </c>
      <c r="AI859" s="51" t="s">
        <v>74</v>
      </c>
      <c r="AJ859" s="51" t="s">
        <v>74</v>
      </c>
      <c r="AK859" s="51" t="s">
        <v>74</v>
      </c>
      <c r="AL859" s="51" t="s">
        <v>74</v>
      </c>
      <c r="AM859" s="51" t="s">
        <v>74</v>
      </c>
      <c r="AN859" s="52">
        <v>0</v>
      </c>
      <c r="AO859" s="52">
        <v>0</v>
      </c>
      <c r="AP859" s="52">
        <v>0</v>
      </c>
      <c r="AQ859" s="52">
        <v>0</v>
      </c>
      <c r="AR859" s="52">
        <v>0</v>
      </c>
      <c r="AS859" s="52">
        <v>0</v>
      </c>
      <c r="AT859" s="53" t="s">
        <v>74</v>
      </c>
      <c r="AU859" s="52">
        <v>0</v>
      </c>
      <c r="AV859" s="52"/>
      <c r="AW859" s="52">
        <v>0</v>
      </c>
      <c r="AX859" s="52"/>
      <c r="AY859" s="52"/>
      <c r="AZ859" s="52">
        <v>0</v>
      </c>
      <c r="BA859" s="52">
        <v>0</v>
      </c>
      <c r="BB859" s="54" t="s">
        <v>74</v>
      </c>
      <c r="BC859" s="53" t="s">
        <v>74</v>
      </c>
      <c r="BD859" s="55" t="s">
        <v>74</v>
      </c>
      <c r="BE859" s="55" t="s">
        <v>74</v>
      </c>
      <c r="BF859" s="55" t="s">
        <v>74</v>
      </c>
      <c r="BG859" s="55" t="s">
        <v>74</v>
      </c>
      <c r="BH859" s="52">
        <v>0</v>
      </c>
      <c r="BI859" s="52">
        <v>1364094.96</v>
      </c>
      <c r="BJ859" s="52">
        <v>1364094.96</v>
      </c>
      <c r="BK859" s="56">
        <v>43221</v>
      </c>
      <c r="BL859" s="57">
        <v>1364094.96</v>
      </c>
      <c r="BM859" s="47">
        <v>0</v>
      </c>
      <c r="BN859" s="9"/>
      <c r="BO859" s="9"/>
      <c r="BP859" s="9"/>
      <c r="BQ859" s="9"/>
      <c r="BR859" s="9"/>
      <c r="BS859" s="9"/>
      <c r="BT859" s="9"/>
      <c r="BU859" s="9"/>
      <c r="BV859" s="9"/>
      <c r="BW859" s="9"/>
    </row>
    <row r="860" spans="1:75" hidden="1" outlineLevel="2" x14ac:dyDescent="0.25">
      <c r="A860" s="43" t="s">
        <v>795</v>
      </c>
      <c r="B860" s="110" t="s">
        <v>908</v>
      </c>
      <c r="C860" s="45">
        <v>2018</v>
      </c>
      <c r="D860" s="110" t="s">
        <v>83</v>
      </c>
      <c r="E860" s="47">
        <v>1364094.96</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1364094.96</v>
      </c>
      <c r="Z860" s="49">
        <v>0</v>
      </c>
      <c r="AA860" s="50">
        <v>0</v>
      </c>
      <c r="AB860" s="50">
        <v>0</v>
      </c>
      <c r="AC860" s="50">
        <v>0</v>
      </c>
      <c r="AD860" s="50">
        <v>0</v>
      </c>
      <c r="AE860" s="50">
        <v>0</v>
      </c>
      <c r="AF860" s="50">
        <v>0</v>
      </c>
      <c r="AG860" s="49">
        <v>0</v>
      </c>
      <c r="AH860" s="51" t="s">
        <v>74</v>
      </c>
      <c r="AI860" s="51" t="s">
        <v>74</v>
      </c>
      <c r="AJ860" s="51" t="s">
        <v>74</v>
      </c>
      <c r="AK860" s="51" t="s">
        <v>74</v>
      </c>
      <c r="AL860" s="51" t="s">
        <v>74</v>
      </c>
      <c r="AM860" s="51" t="s">
        <v>74</v>
      </c>
      <c r="AN860" s="52">
        <v>0</v>
      </c>
      <c r="AO860" s="52">
        <v>0</v>
      </c>
      <c r="AP860" s="52">
        <v>0</v>
      </c>
      <c r="AQ860" s="52">
        <v>0</v>
      </c>
      <c r="AR860" s="52">
        <v>0</v>
      </c>
      <c r="AS860" s="52">
        <v>0</v>
      </c>
      <c r="AT860" s="53" t="s">
        <v>74</v>
      </c>
      <c r="AU860" s="52">
        <v>0</v>
      </c>
      <c r="AV860" s="52"/>
      <c r="AW860" s="52">
        <v>0</v>
      </c>
      <c r="AX860" s="52"/>
      <c r="AY860" s="52"/>
      <c r="AZ860" s="52">
        <v>0</v>
      </c>
      <c r="BA860" s="52">
        <v>0</v>
      </c>
      <c r="BB860" s="54" t="s">
        <v>74</v>
      </c>
      <c r="BC860" s="53" t="s">
        <v>74</v>
      </c>
      <c r="BD860" s="55" t="s">
        <v>74</v>
      </c>
      <c r="BE860" s="55" t="s">
        <v>74</v>
      </c>
      <c r="BF860" s="55" t="s">
        <v>74</v>
      </c>
      <c r="BG860" s="55" t="s">
        <v>74</v>
      </c>
      <c r="BH860" s="52">
        <v>0</v>
      </c>
      <c r="BI860" s="52">
        <v>1364094.96</v>
      </c>
      <c r="BJ860" s="52">
        <v>1364094.96</v>
      </c>
      <c r="BK860" s="56">
        <v>43252</v>
      </c>
      <c r="BL860" s="57">
        <v>1364094.96</v>
      </c>
      <c r="BM860" s="47">
        <v>0</v>
      </c>
      <c r="BN860" s="9"/>
      <c r="BO860" s="9"/>
      <c r="BP860" s="9"/>
      <c r="BQ860" s="9"/>
      <c r="BR860" s="9"/>
      <c r="BS860" s="9"/>
      <c r="BT860" s="9"/>
      <c r="BU860" s="9"/>
      <c r="BV860" s="9"/>
      <c r="BW860" s="9"/>
    </row>
    <row r="861" spans="1:75" hidden="1" outlineLevel="2" x14ac:dyDescent="0.25">
      <c r="A861" s="43" t="s">
        <v>795</v>
      </c>
      <c r="B861" s="110" t="s">
        <v>908</v>
      </c>
      <c r="C861" s="45">
        <v>2018</v>
      </c>
      <c r="D861" s="110" t="s">
        <v>84</v>
      </c>
      <c r="E861" s="47">
        <v>1364094.96</v>
      </c>
      <c r="F861" s="47">
        <v>0</v>
      </c>
      <c r="G861" s="47">
        <v>0</v>
      </c>
      <c r="H861" s="47">
        <v>0</v>
      </c>
      <c r="I861" s="47">
        <v>0</v>
      </c>
      <c r="J861" s="47">
        <v>0</v>
      </c>
      <c r="K861" s="47">
        <v>0</v>
      </c>
      <c r="L861" s="47">
        <v>0</v>
      </c>
      <c r="M861" s="47">
        <v>0</v>
      </c>
      <c r="N861" s="47">
        <v>0</v>
      </c>
      <c r="O861" s="47">
        <v>0</v>
      </c>
      <c r="P861" s="47">
        <v>0</v>
      </c>
      <c r="Q861" s="47">
        <v>0</v>
      </c>
      <c r="R861" s="47">
        <v>0</v>
      </c>
      <c r="S861" s="47">
        <v>0</v>
      </c>
      <c r="T861" s="47">
        <v>0</v>
      </c>
      <c r="U861" s="47">
        <v>0</v>
      </c>
      <c r="V861" s="47">
        <v>0</v>
      </c>
      <c r="W861" s="47">
        <v>0</v>
      </c>
      <c r="X861" s="47">
        <v>0</v>
      </c>
      <c r="Y861" s="48">
        <v>1364094.96</v>
      </c>
      <c r="Z861" s="49">
        <v>0</v>
      </c>
      <c r="AA861" s="50">
        <v>0</v>
      </c>
      <c r="AB861" s="50">
        <v>0</v>
      </c>
      <c r="AC861" s="50">
        <v>0</v>
      </c>
      <c r="AD861" s="50">
        <v>0</v>
      </c>
      <c r="AE861" s="50">
        <v>0</v>
      </c>
      <c r="AF861" s="50">
        <v>0</v>
      </c>
      <c r="AG861" s="49">
        <v>0</v>
      </c>
      <c r="AH861" s="51" t="s">
        <v>74</v>
      </c>
      <c r="AI861" s="51" t="s">
        <v>74</v>
      </c>
      <c r="AJ861" s="51" t="s">
        <v>74</v>
      </c>
      <c r="AK861" s="51" t="s">
        <v>74</v>
      </c>
      <c r="AL861" s="51" t="s">
        <v>74</v>
      </c>
      <c r="AM861" s="51" t="s">
        <v>74</v>
      </c>
      <c r="AN861" s="52">
        <v>0</v>
      </c>
      <c r="AO861" s="52">
        <v>0</v>
      </c>
      <c r="AP861" s="52">
        <v>0</v>
      </c>
      <c r="AQ861" s="52">
        <v>0</v>
      </c>
      <c r="AR861" s="52">
        <v>0</v>
      </c>
      <c r="AS861" s="52">
        <v>0</v>
      </c>
      <c r="AT861" s="53" t="s">
        <v>74</v>
      </c>
      <c r="AU861" s="52">
        <v>0</v>
      </c>
      <c r="AV861" s="52"/>
      <c r="AW861" s="52">
        <v>0</v>
      </c>
      <c r="AX861" s="52"/>
      <c r="AY861" s="52"/>
      <c r="AZ861" s="52">
        <v>0</v>
      </c>
      <c r="BA861" s="52">
        <v>0</v>
      </c>
      <c r="BB861" s="54" t="s">
        <v>74</v>
      </c>
      <c r="BC861" s="53" t="s">
        <v>74</v>
      </c>
      <c r="BD861" s="55" t="s">
        <v>74</v>
      </c>
      <c r="BE861" s="55" t="s">
        <v>74</v>
      </c>
      <c r="BF861" s="55" t="s">
        <v>74</v>
      </c>
      <c r="BG861" s="55" t="s">
        <v>74</v>
      </c>
      <c r="BH861" s="52">
        <v>0</v>
      </c>
      <c r="BI861" s="52">
        <v>1364094.96</v>
      </c>
      <c r="BJ861" s="52">
        <v>1364094.96</v>
      </c>
      <c r="BK861" s="56">
        <v>43282</v>
      </c>
      <c r="BL861" s="57">
        <v>1364094.96</v>
      </c>
      <c r="BM861" s="47">
        <v>0</v>
      </c>
      <c r="BN861" s="9"/>
      <c r="BO861" s="9"/>
      <c r="BP861" s="9"/>
      <c r="BQ861" s="9"/>
      <c r="BR861" s="9"/>
      <c r="BS861" s="9"/>
      <c r="BT861" s="9"/>
      <c r="BU861" s="9"/>
      <c r="BV861" s="9"/>
      <c r="BW861" s="9"/>
    </row>
    <row r="862" spans="1:75" hidden="1" outlineLevel="2" x14ac:dyDescent="0.25">
      <c r="A862" s="43" t="s">
        <v>795</v>
      </c>
      <c r="B862" s="110" t="s">
        <v>908</v>
      </c>
      <c r="C862" s="45">
        <v>2018</v>
      </c>
      <c r="D862" s="110" t="s">
        <v>86</v>
      </c>
      <c r="E862" s="47">
        <v>1364094.96</v>
      </c>
      <c r="F862" s="47">
        <v>0</v>
      </c>
      <c r="G862" s="47">
        <v>0</v>
      </c>
      <c r="H862" s="47">
        <v>0</v>
      </c>
      <c r="I862" s="47">
        <v>0</v>
      </c>
      <c r="J862" s="47">
        <v>0</v>
      </c>
      <c r="K862" s="47">
        <v>0</v>
      </c>
      <c r="L862" s="47">
        <v>0</v>
      </c>
      <c r="M862" s="47">
        <v>0</v>
      </c>
      <c r="N862" s="47">
        <v>0</v>
      </c>
      <c r="O862" s="47">
        <v>0</v>
      </c>
      <c r="P862" s="47">
        <v>0</v>
      </c>
      <c r="Q862" s="47">
        <v>0</v>
      </c>
      <c r="R862" s="47">
        <v>0</v>
      </c>
      <c r="S862" s="47">
        <v>0</v>
      </c>
      <c r="T862" s="47">
        <v>0</v>
      </c>
      <c r="U862" s="47">
        <v>0</v>
      </c>
      <c r="V862" s="47">
        <v>0</v>
      </c>
      <c r="W862" s="47">
        <v>0</v>
      </c>
      <c r="X862" s="47">
        <v>0</v>
      </c>
      <c r="Y862" s="48">
        <v>1364094.96</v>
      </c>
      <c r="Z862" s="49">
        <v>0</v>
      </c>
      <c r="AA862" s="50">
        <v>0</v>
      </c>
      <c r="AB862" s="50">
        <v>0</v>
      </c>
      <c r="AC862" s="50">
        <v>0</v>
      </c>
      <c r="AD862" s="50">
        <v>0</v>
      </c>
      <c r="AE862" s="50">
        <v>0</v>
      </c>
      <c r="AF862" s="50">
        <v>0</v>
      </c>
      <c r="AG862" s="49">
        <v>0</v>
      </c>
      <c r="AH862" s="51" t="s">
        <v>74</v>
      </c>
      <c r="AI862" s="51" t="s">
        <v>74</v>
      </c>
      <c r="AJ862" s="51" t="s">
        <v>74</v>
      </c>
      <c r="AK862" s="51" t="s">
        <v>74</v>
      </c>
      <c r="AL862" s="51" t="s">
        <v>74</v>
      </c>
      <c r="AM862" s="51" t="s">
        <v>74</v>
      </c>
      <c r="AN862" s="52">
        <v>0</v>
      </c>
      <c r="AO862" s="52">
        <v>0</v>
      </c>
      <c r="AP862" s="52">
        <v>0</v>
      </c>
      <c r="AQ862" s="52">
        <v>0</v>
      </c>
      <c r="AR862" s="52">
        <v>0</v>
      </c>
      <c r="AS862" s="52">
        <v>0</v>
      </c>
      <c r="AT862" s="53" t="s">
        <v>74</v>
      </c>
      <c r="AU862" s="52">
        <v>0</v>
      </c>
      <c r="AV862" s="52"/>
      <c r="AW862" s="52">
        <v>0</v>
      </c>
      <c r="AX862" s="52"/>
      <c r="AY862" s="52"/>
      <c r="AZ862" s="52">
        <v>0</v>
      </c>
      <c r="BA862" s="52">
        <v>0</v>
      </c>
      <c r="BB862" s="54" t="s">
        <v>74</v>
      </c>
      <c r="BC862" s="53" t="s">
        <v>74</v>
      </c>
      <c r="BD862" s="55" t="s">
        <v>74</v>
      </c>
      <c r="BE862" s="55" t="s">
        <v>74</v>
      </c>
      <c r="BF862" s="55" t="s">
        <v>74</v>
      </c>
      <c r="BG862" s="55" t="s">
        <v>74</v>
      </c>
      <c r="BH862" s="52">
        <v>0</v>
      </c>
      <c r="BI862" s="52">
        <v>1364094.96</v>
      </c>
      <c r="BJ862" s="52">
        <v>1364094.96</v>
      </c>
      <c r="BK862" s="56">
        <v>43313</v>
      </c>
      <c r="BL862" s="57">
        <v>1364094.96</v>
      </c>
      <c r="BM862" s="47">
        <v>0</v>
      </c>
      <c r="BN862" s="9"/>
      <c r="BO862" s="9"/>
      <c r="BP862" s="9"/>
      <c r="BQ862" s="9"/>
      <c r="BR862" s="9"/>
      <c r="BS862" s="9"/>
      <c r="BT862" s="9"/>
      <c r="BU862" s="9"/>
      <c r="BV862" s="9"/>
      <c r="BW862" s="9"/>
    </row>
    <row r="863" spans="1:75" hidden="1" outlineLevel="2" x14ac:dyDescent="0.25">
      <c r="A863" s="43" t="s">
        <v>795</v>
      </c>
      <c r="B863" s="110" t="s">
        <v>908</v>
      </c>
      <c r="C863" s="45">
        <v>2018</v>
      </c>
      <c r="D863" s="110" t="s">
        <v>88</v>
      </c>
      <c r="E863" s="47">
        <v>1364094.96</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1364094.96</v>
      </c>
      <c r="Z863" s="49">
        <v>0</v>
      </c>
      <c r="AA863" s="50">
        <v>0</v>
      </c>
      <c r="AB863" s="50">
        <v>0</v>
      </c>
      <c r="AC863" s="50">
        <v>0</v>
      </c>
      <c r="AD863" s="50">
        <v>0</v>
      </c>
      <c r="AE863" s="50">
        <v>0</v>
      </c>
      <c r="AF863" s="50">
        <v>0</v>
      </c>
      <c r="AG863" s="49">
        <v>0</v>
      </c>
      <c r="AH863" s="51" t="s">
        <v>74</v>
      </c>
      <c r="AI863" s="51" t="s">
        <v>74</v>
      </c>
      <c r="AJ863" s="51" t="s">
        <v>74</v>
      </c>
      <c r="AK863" s="51" t="s">
        <v>74</v>
      </c>
      <c r="AL863" s="51" t="s">
        <v>74</v>
      </c>
      <c r="AM863" s="51" t="s">
        <v>74</v>
      </c>
      <c r="AN863" s="52">
        <v>0</v>
      </c>
      <c r="AO863" s="52">
        <v>0</v>
      </c>
      <c r="AP863" s="52">
        <v>0</v>
      </c>
      <c r="AQ863" s="52">
        <v>0</v>
      </c>
      <c r="AR863" s="52">
        <v>0</v>
      </c>
      <c r="AS863" s="52">
        <v>0</v>
      </c>
      <c r="AT863" s="53" t="s">
        <v>74</v>
      </c>
      <c r="AU863" s="52">
        <v>0</v>
      </c>
      <c r="AV863" s="52"/>
      <c r="AW863" s="52">
        <v>0</v>
      </c>
      <c r="AX863" s="52"/>
      <c r="AY863" s="52"/>
      <c r="AZ863" s="52">
        <v>0</v>
      </c>
      <c r="BA863" s="52">
        <v>0</v>
      </c>
      <c r="BB863" s="54" t="s">
        <v>74</v>
      </c>
      <c r="BC863" s="53" t="s">
        <v>74</v>
      </c>
      <c r="BD863" s="55" t="s">
        <v>74</v>
      </c>
      <c r="BE863" s="55" t="s">
        <v>74</v>
      </c>
      <c r="BF863" s="55" t="s">
        <v>74</v>
      </c>
      <c r="BG863" s="55" t="s">
        <v>74</v>
      </c>
      <c r="BH863" s="52">
        <v>0</v>
      </c>
      <c r="BI863" s="52">
        <v>1364094.96</v>
      </c>
      <c r="BJ863" s="52">
        <v>1364094.96</v>
      </c>
      <c r="BK863" s="56">
        <v>43344</v>
      </c>
      <c r="BL863" s="57">
        <v>1364094.96</v>
      </c>
      <c r="BM863" s="47">
        <v>0</v>
      </c>
      <c r="BN863" s="9"/>
      <c r="BO863" s="9"/>
      <c r="BP863" s="9"/>
      <c r="BQ863" s="9"/>
      <c r="BR863" s="9"/>
      <c r="BS863" s="9"/>
      <c r="BT863" s="9"/>
      <c r="BU863" s="9"/>
      <c r="BV863" s="9"/>
      <c r="BW863" s="9"/>
    </row>
    <row r="864" spans="1:75" ht="64.5" hidden="1" outlineLevel="2" x14ac:dyDescent="0.25">
      <c r="A864" s="43" t="s">
        <v>795</v>
      </c>
      <c r="B864" s="110" t="s">
        <v>908</v>
      </c>
      <c r="C864" s="45">
        <v>2018</v>
      </c>
      <c r="D864" s="110" t="s">
        <v>89</v>
      </c>
      <c r="E864" s="47">
        <v>1364094.96</v>
      </c>
      <c r="F864" s="47">
        <v>0</v>
      </c>
      <c r="G864" s="47">
        <v>0</v>
      </c>
      <c r="H864" s="47">
        <v>0</v>
      </c>
      <c r="I864" s="47">
        <v>0</v>
      </c>
      <c r="J864" s="47">
        <v>0</v>
      </c>
      <c r="K864" s="47">
        <v>0</v>
      </c>
      <c r="L864" s="47">
        <v>0</v>
      </c>
      <c r="M864" s="47">
        <v>0</v>
      </c>
      <c r="N864" s="47">
        <v>0</v>
      </c>
      <c r="O864" s="47">
        <v>0</v>
      </c>
      <c r="P864" s="47">
        <v>0</v>
      </c>
      <c r="Q864" s="47">
        <v>0</v>
      </c>
      <c r="R864" s="47">
        <v>0</v>
      </c>
      <c r="S864" s="47">
        <v>0</v>
      </c>
      <c r="T864" s="47">
        <v>0</v>
      </c>
      <c r="U864" s="47">
        <v>0</v>
      </c>
      <c r="V864" s="47">
        <v>0</v>
      </c>
      <c r="W864" s="47">
        <v>0</v>
      </c>
      <c r="X864" s="47">
        <v>0</v>
      </c>
      <c r="Y864" s="48">
        <v>1364094.96</v>
      </c>
      <c r="Z864" s="49">
        <v>0</v>
      </c>
      <c r="AA864" s="50">
        <v>0</v>
      </c>
      <c r="AB864" s="50">
        <v>0</v>
      </c>
      <c r="AC864" s="50">
        <v>0</v>
      </c>
      <c r="AD864" s="50">
        <v>0</v>
      </c>
      <c r="AE864" s="50">
        <v>1164850.29</v>
      </c>
      <c r="AF864" s="50">
        <v>0</v>
      </c>
      <c r="AG864" s="49">
        <v>1164850.29</v>
      </c>
      <c r="AH864" s="51" t="s">
        <v>74</v>
      </c>
      <c r="AI864" s="51" t="s">
        <v>74</v>
      </c>
      <c r="AJ864" s="51" t="s">
        <v>74</v>
      </c>
      <c r="AK864" s="51" t="s">
        <v>74</v>
      </c>
      <c r="AL864" s="51" t="s">
        <v>909</v>
      </c>
      <c r="AM864" s="51" t="s">
        <v>74</v>
      </c>
      <c r="AN864" s="52">
        <v>0</v>
      </c>
      <c r="AO864" s="52">
        <v>0</v>
      </c>
      <c r="AP864" s="52">
        <v>0</v>
      </c>
      <c r="AQ864" s="52">
        <v>0</v>
      </c>
      <c r="AR864" s="52">
        <v>0</v>
      </c>
      <c r="AS864" s="52">
        <v>0</v>
      </c>
      <c r="AT864" s="53" t="s">
        <v>74</v>
      </c>
      <c r="AU864" s="52">
        <v>0</v>
      </c>
      <c r="AV864" s="52"/>
      <c r="AW864" s="52">
        <v>0</v>
      </c>
      <c r="AX864" s="52"/>
      <c r="AY864" s="52"/>
      <c r="AZ864" s="52">
        <v>0</v>
      </c>
      <c r="BA864" s="52">
        <v>0</v>
      </c>
      <c r="BB864" s="54" t="s">
        <v>74</v>
      </c>
      <c r="BC864" s="53" t="s">
        <v>74</v>
      </c>
      <c r="BD864" s="55" t="s">
        <v>74</v>
      </c>
      <c r="BE864" s="55" t="s">
        <v>74</v>
      </c>
      <c r="BF864" s="55" t="s">
        <v>74</v>
      </c>
      <c r="BG864" s="55" t="s">
        <v>74</v>
      </c>
      <c r="BH864" s="52">
        <v>0</v>
      </c>
      <c r="BI864" s="52">
        <v>199244.67</v>
      </c>
      <c r="BJ864" s="52">
        <v>199244.67</v>
      </c>
      <c r="BK864" s="56">
        <v>43374</v>
      </c>
      <c r="BL864" s="57">
        <v>199244.67</v>
      </c>
      <c r="BM864" s="47">
        <v>0</v>
      </c>
      <c r="BN864" s="9"/>
      <c r="BO864" s="9"/>
      <c r="BP864" s="9"/>
      <c r="BQ864" s="9"/>
      <c r="BR864" s="9"/>
      <c r="BS864" s="9"/>
      <c r="BT864" s="9"/>
      <c r="BU864" s="9"/>
      <c r="BV864" s="9"/>
      <c r="BW864" s="9"/>
    </row>
    <row r="865" spans="1:75" ht="153.75" hidden="1" outlineLevel="2" x14ac:dyDescent="0.25">
      <c r="A865" s="43" t="s">
        <v>795</v>
      </c>
      <c r="B865" s="110" t="s">
        <v>908</v>
      </c>
      <c r="C865" s="45">
        <v>2018</v>
      </c>
      <c r="D865" s="110" t="s">
        <v>90</v>
      </c>
      <c r="E865" s="47">
        <v>1364094.96</v>
      </c>
      <c r="F865" s="47">
        <v>0</v>
      </c>
      <c r="G865" s="47">
        <v>0</v>
      </c>
      <c r="H865" s="47">
        <v>0</v>
      </c>
      <c r="I865" s="47">
        <v>0</v>
      </c>
      <c r="J865" s="47">
        <v>0</v>
      </c>
      <c r="K865" s="47">
        <v>0</v>
      </c>
      <c r="L865" s="47">
        <v>0</v>
      </c>
      <c r="M865" s="47">
        <v>0</v>
      </c>
      <c r="N865" s="47">
        <v>0</v>
      </c>
      <c r="O865" s="47">
        <v>0</v>
      </c>
      <c r="P865" s="47">
        <v>0</v>
      </c>
      <c r="Q865" s="47">
        <v>0</v>
      </c>
      <c r="R865" s="47">
        <v>0</v>
      </c>
      <c r="S865" s="47">
        <v>0</v>
      </c>
      <c r="T865" s="47">
        <v>0</v>
      </c>
      <c r="U865" s="47">
        <v>0</v>
      </c>
      <c r="V865" s="47">
        <v>0</v>
      </c>
      <c r="W865" s="47">
        <v>0</v>
      </c>
      <c r="X865" s="47">
        <v>0</v>
      </c>
      <c r="Y865" s="48">
        <v>1364094.96</v>
      </c>
      <c r="Z865" s="49">
        <v>0</v>
      </c>
      <c r="AA865" s="50">
        <v>0</v>
      </c>
      <c r="AB865" s="50">
        <v>0</v>
      </c>
      <c r="AC865" s="50">
        <v>0</v>
      </c>
      <c r="AD865" s="50">
        <v>0</v>
      </c>
      <c r="AE865" s="50">
        <v>1364094.96</v>
      </c>
      <c r="AF865" s="50">
        <v>0</v>
      </c>
      <c r="AG865" s="49">
        <v>1364094.96</v>
      </c>
      <c r="AH865" s="51" t="s">
        <v>74</v>
      </c>
      <c r="AI865" s="51" t="s">
        <v>74</v>
      </c>
      <c r="AJ865" s="51" t="s">
        <v>74</v>
      </c>
      <c r="AK865" s="51" t="s">
        <v>74</v>
      </c>
      <c r="AL865" s="51" t="s">
        <v>910</v>
      </c>
      <c r="AM865" s="51" t="s">
        <v>74</v>
      </c>
      <c r="AN865" s="52">
        <v>0</v>
      </c>
      <c r="AO865" s="52">
        <v>0</v>
      </c>
      <c r="AP865" s="52">
        <v>0</v>
      </c>
      <c r="AQ865" s="52">
        <v>0</v>
      </c>
      <c r="AR865" s="52">
        <v>0</v>
      </c>
      <c r="AS865" s="52">
        <v>0</v>
      </c>
      <c r="AT865" s="53" t="s">
        <v>74</v>
      </c>
      <c r="AU865" s="52">
        <v>0</v>
      </c>
      <c r="AV865" s="52"/>
      <c r="AW865" s="52">
        <v>0</v>
      </c>
      <c r="AX865" s="52"/>
      <c r="AY865" s="52"/>
      <c r="AZ865" s="52">
        <v>0</v>
      </c>
      <c r="BA865" s="52">
        <v>0</v>
      </c>
      <c r="BB865" s="54" t="s">
        <v>74</v>
      </c>
      <c r="BC865" s="53" t="s">
        <v>74</v>
      </c>
      <c r="BD865" s="55" t="s">
        <v>74</v>
      </c>
      <c r="BE865" s="55" t="s">
        <v>74</v>
      </c>
      <c r="BF865" s="55" t="s">
        <v>74</v>
      </c>
      <c r="BG865" s="55" t="s">
        <v>74</v>
      </c>
      <c r="BH865" s="52">
        <v>0</v>
      </c>
      <c r="BI865" s="52">
        <v>0</v>
      </c>
      <c r="BJ865" s="52">
        <v>0</v>
      </c>
      <c r="BK865" s="56">
        <v>43405</v>
      </c>
      <c r="BL865" s="57"/>
      <c r="BM865" s="47">
        <v>0</v>
      </c>
      <c r="BN865" s="9"/>
      <c r="BO865" s="9"/>
      <c r="BP865" s="9"/>
      <c r="BQ865" s="9"/>
      <c r="BR865" s="9"/>
      <c r="BS865" s="9"/>
      <c r="BT865" s="9"/>
      <c r="BU865" s="9"/>
      <c r="BV865" s="9"/>
      <c r="BW865" s="9"/>
    </row>
    <row r="866" spans="1:75" ht="77.25" hidden="1" outlineLevel="2" x14ac:dyDescent="0.25">
      <c r="A866" s="43" t="s">
        <v>795</v>
      </c>
      <c r="B866" s="110" t="s">
        <v>908</v>
      </c>
      <c r="C866" s="45">
        <v>2018</v>
      </c>
      <c r="D866" s="110" t="s">
        <v>93</v>
      </c>
      <c r="E866" s="47">
        <v>1364094.96</v>
      </c>
      <c r="F866" s="47">
        <v>0</v>
      </c>
      <c r="G866" s="47">
        <v>0</v>
      </c>
      <c r="H866" s="47">
        <v>0</v>
      </c>
      <c r="I866" s="47">
        <v>0</v>
      </c>
      <c r="J866" s="47">
        <v>0</v>
      </c>
      <c r="K866" s="47">
        <v>0</v>
      </c>
      <c r="L866" s="47">
        <v>0</v>
      </c>
      <c r="M866" s="47">
        <v>0</v>
      </c>
      <c r="N866" s="47">
        <v>0</v>
      </c>
      <c r="O866" s="47">
        <v>0</v>
      </c>
      <c r="P866" s="47">
        <v>0</v>
      </c>
      <c r="Q866" s="47">
        <v>0</v>
      </c>
      <c r="R866" s="47">
        <v>0</v>
      </c>
      <c r="S866" s="47">
        <v>0</v>
      </c>
      <c r="T866" s="47">
        <v>0</v>
      </c>
      <c r="U866" s="47">
        <v>0</v>
      </c>
      <c r="V866" s="47">
        <v>0</v>
      </c>
      <c r="W866" s="47">
        <v>0</v>
      </c>
      <c r="X866" s="47">
        <v>0</v>
      </c>
      <c r="Y866" s="48">
        <v>1364094.96</v>
      </c>
      <c r="Z866" s="49">
        <v>0</v>
      </c>
      <c r="AA866" s="50">
        <v>0</v>
      </c>
      <c r="AB866" s="50">
        <v>0</v>
      </c>
      <c r="AC866" s="50">
        <v>0</v>
      </c>
      <c r="AD866" s="50">
        <v>0</v>
      </c>
      <c r="AE866" s="50">
        <v>1364094.96</v>
      </c>
      <c r="AF866" s="50">
        <v>0</v>
      </c>
      <c r="AG866" s="49">
        <v>1364094.96</v>
      </c>
      <c r="AH866" s="51" t="s">
        <v>74</v>
      </c>
      <c r="AI866" s="51" t="s">
        <v>74</v>
      </c>
      <c r="AJ866" s="51" t="s">
        <v>74</v>
      </c>
      <c r="AK866" s="51" t="s">
        <v>74</v>
      </c>
      <c r="AL866" s="51" t="s">
        <v>911</v>
      </c>
      <c r="AM866" s="51" t="s">
        <v>74</v>
      </c>
      <c r="AN866" s="52">
        <v>0</v>
      </c>
      <c r="AO866" s="52">
        <v>0</v>
      </c>
      <c r="AP866" s="52">
        <v>0</v>
      </c>
      <c r="AQ866" s="52">
        <v>0</v>
      </c>
      <c r="AR866" s="52">
        <v>0</v>
      </c>
      <c r="AS866" s="52">
        <v>0</v>
      </c>
      <c r="AT866" s="53" t="s">
        <v>74</v>
      </c>
      <c r="AU866" s="52">
        <v>0</v>
      </c>
      <c r="AV866" s="52"/>
      <c r="AW866" s="52">
        <v>0</v>
      </c>
      <c r="AX866" s="52"/>
      <c r="AY866" s="52"/>
      <c r="AZ866" s="52">
        <v>0</v>
      </c>
      <c r="BA866" s="52">
        <v>0</v>
      </c>
      <c r="BB866" s="54" t="s">
        <v>74</v>
      </c>
      <c r="BC866" s="53" t="s">
        <v>74</v>
      </c>
      <c r="BD866" s="55" t="s">
        <v>74</v>
      </c>
      <c r="BE866" s="55" t="s">
        <v>74</v>
      </c>
      <c r="BF866" s="55" t="s">
        <v>74</v>
      </c>
      <c r="BG866" s="55" t="s">
        <v>74</v>
      </c>
      <c r="BH866" s="52">
        <v>0</v>
      </c>
      <c r="BI866" s="52">
        <v>0</v>
      </c>
      <c r="BJ866" s="52">
        <v>0</v>
      </c>
      <c r="BK866" s="56">
        <v>43435</v>
      </c>
      <c r="BL866" s="57"/>
      <c r="BM866" s="47">
        <v>0</v>
      </c>
      <c r="BN866" s="9"/>
      <c r="BO866" s="9"/>
      <c r="BP866" s="9"/>
      <c r="BQ866" s="9"/>
      <c r="BR866" s="9"/>
      <c r="BS866" s="9"/>
      <c r="BT866" s="9"/>
      <c r="BU866" s="9"/>
      <c r="BV866" s="9"/>
      <c r="BW866" s="9"/>
    </row>
    <row r="867" spans="1:75" hidden="1" outlineLevel="2" x14ac:dyDescent="0.25">
      <c r="A867" s="43" t="s">
        <v>795</v>
      </c>
      <c r="B867" s="110" t="s">
        <v>908</v>
      </c>
      <c r="C867" s="45">
        <v>2019</v>
      </c>
      <c r="D867" s="110" t="s">
        <v>73</v>
      </c>
      <c r="E867" s="47">
        <v>1364094.96</v>
      </c>
      <c r="F867" s="47">
        <v>0</v>
      </c>
      <c r="G867" s="47">
        <v>0</v>
      </c>
      <c r="H867" s="47">
        <v>0</v>
      </c>
      <c r="I867" s="47">
        <v>0</v>
      </c>
      <c r="J867" s="47">
        <v>0</v>
      </c>
      <c r="K867" s="47">
        <v>0</v>
      </c>
      <c r="L867" s="47">
        <v>0</v>
      </c>
      <c r="M867" s="47">
        <v>0</v>
      </c>
      <c r="N867" s="47">
        <v>0</v>
      </c>
      <c r="O867" s="47">
        <v>0</v>
      </c>
      <c r="P867" s="47">
        <v>0</v>
      </c>
      <c r="Q867" s="47">
        <v>0</v>
      </c>
      <c r="R867" s="47">
        <v>0</v>
      </c>
      <c r="S867" s="47">
        <v>0</v>
      </c>
      <c r="T867" s="47">
        <v>0</v>
      </c>
      <c r="U867" s="47">
        <v>0</v>
      </c>
      <c r="V867" s="47">
        <v>0</v>
      </c>
      <c r="W867" s="47">
        <v>0</v>
      </c>
      <c r="X867" s="47">
        <v>0</v>
      </c>
      <c r="Y867" s="48">
        <v>1364094.96</v>
      </c>
      <c r="Z867" s="49">
        <v>0</v>
      </c>
      <c r="AA867" s="50">
        <v>0</v>
      </c>
      <c r="AB867" s="50">
        <v>0</v>
      </c>
      <c r="AC867" s="50">
        <v>0</v>
      </c>
      <c r="AD867" s="50">
        <v>0</v>
      </c>
      <c r="AE867" s="50">
        <v>0</v>
      </c>
      <c r="AF867" s="50">
        <v>0</v>
      </c>
      <c r="AG867" s="49">
        <v>0</v>
      </c>
      <c r="AH867" s="51" t="s">
        <v>74</v>
      </c>
      <c r="AI867" s="51" t="s">
        <v>74</v>
      </c>
      <c r="AJ867" s="51" t="s">
        <v>74</v>
      </c>
      <c r="AK867" s="51" t="s">
        <v>74</v>
      </c>
      <c r="AL867" s="51" t="s">
        <v>74</v>
      </c>
      <c r="AM867" s="51" t="s">
        <v>74</v>
      </c>
      <c r="AN867" s="52">
        <v>0</v>
      </c>
      <c r="AO867" s="52">
        <v>0</v>
      </c>
      <c r="AP867" s="52">
        <v>0</v>
      </c>
      <c r="AQ867" s="52">
        <v>0</v>
      </c>
      <c r="AR867" s="52">
        <v>0</v>
      </c>
      <c r="AS867" s="52">
        <v>0</v>
      </c>
      <c r="AT867" s="53" t="s">
        <v>74</v>
      </c>
      <c r="AU867" s="52">
        <v>0</v>
      </c>
      <c r="AV867" s="52"/>
      <c r="AW867" s="52">
        <v>0</v>
      </c>
      <c r="AX867" s="52"/>
      <c r="AY867" s="52"/>
      <c r="AZ867" s="52">
        <v>0</v>
      </c>
      <c r="BA867" s="52">
        <v>0</v>
      </c>
      <c r="BB867" s="54" t="s">
        <v>74</v>
      </c>
      <c r="BC867" s="53" t="s">
        <v>74</v>
      </c>
      <c r="BD867" s="55" t="s">
        <v>74</v>
      </c>
      <c r="BE867" s="55" t="s">
        <v>74</v>
      </c>
      <c r="BF867" s="55" t="s">
        <v>74</v>
      </c>
      <c r="BG867" s="55" t="s">
        <v>74</v>
      </c>
      <c r="BH867" s="52">
        <v>0</v>
      </c>
      <c r="BI867" s="52">
        <v>1364094.96</v>
      </c>
      <c r="BJ867" s="52">
        <v>1364094.96</v>
      </c>
      <c r="BK867" s="56">
        <v>43466</v>
      </c>
      <c r="BL867" s="57">
        <v>1364094.96</v>
      </c>
      <c r="BM867" s="47">
        <v>0</v>
      </c>
      <c r="BN867" s="9"/>
      <c r="BO867" s="9"/>
      <c r="BP867" s="9"/>
      <c r="BQ867" s="9"/>
      <c r="BR867" s="9"/>
      <c r="BS867" s="9"/>
      <c r="BT867" s="9"/>
      <c r="BU867" s="9"/>
      <c r="BV867" s="9"/>
      <c r="BW867" s="9"/>
    </row>
    <row r="868" spans="1:75" hidden="1" outlineLevel="2" x14ac:dyDescent="0.25">
      <c r="A868" s="43" t="s">
        <v>795</v>
      </c>
      <c r="B868" s="110" t="s">
        <v>908</v>
      </c>
      <c r="C868" s="45">
        <v>2019</v>
      </c>
      <c r="D868" s="110" t="s">
        <v>75</v>
      </c>
      <c r="E868" s="47">
        <v>1364094.96</v>
      </c>
      <c r="F868" s="47">
        <v>0</v>
      </c>
      <c r="G868" s="47">
        <v>0</v>
      </c>
      <c r="H868" s="47">
        <v>0</v>
      </c>
      <c r="I868" s="47">
        <v>0</v>
      </c>
      <c r="J868" s="47">
        <v>0</v>
      </c>
      <c r="K868" s="47">
        <v>0</v>
      </c>
      <c r="L868" s="47">
        <v>0</v>
      </c>
      <c r="M868" s="47">
        <v>0</v>
      </c>
      <c r="N868" s="47">
        <v>0</v>
      </c>
      <c r="O868" s="47">
        <v>0</v>
      </c>
      <c r="P868" s="47">
        <v>0</v>
      </c>
      <c r="Q868" s="47">
        <v>0</v>
      </c>
      <c r="R868" s="47">
        <v>0</v>
      </c>
      <c r="S868" s="47">
        <v>0</v>
      </c>
      <c r="T868" s="47">
        <v>0</v>
      </c>
      <c r="U868" s="47">
        <v>0</v>
      </c>
      <c r="V868" s="47">
        <v>0</v>
      </c>
      <c r="W868" s="47">
        <v>0</v>
      </c>
      <c r="X868" s="47">
        <v>0</v>
      </c>
      <c r="Y868" s="48">
        <v>1364094.96</v>
      </c>
      <c r="Z868" s="49">
        <v>0</v>
      </c>
      <c r="AA868" s="50">
        <v>0</v>
      </c>
      <c r="AB868" s="50">
        <v>0</v>
      </c>
      <c r="AC868" s="50">
        <v>0</v>
      </c>
      <c r="AD868" s="50">
        <v>0</v>
      </c>
      <c r="AE868" s="50">
        <v>0</v>
      </c>
      <c r="AF868" s="50">
        <v>0</v>
      </c>
      <c r="AG868" s="49">
        <v>0</v>
      </c>
      <c r="AH868" s="51" t="s">
        <v>74</v>
      </c>
      <c r="AI868" s="51" t="s">
        <v>74</v>
      </c>
      <c r="AJ868" s="51" t="s">
        <v>74</v>
      </c>
      <c r="AK868" s="51" t="s">
        <v>74</v>
      </c>
      <c r="AL868" s="51" t="s">
        <v>74</v>
      </c>
      <c r="AM868" s="51" t="s">
        <v>74</v>
      </c>
      <c r="AN868" s="52">
        <v>0</v>
      </c>
      <c r="AO868" s="52">
        <v>0</v>
      </c>
      <c r="AP868" s="52">
        <v>0</v>
      </c>
      <c r="AQ868" s="52">
        <v>0</v>
      </c>
      <c r="AR868" s="52">
        <v>0</v>
      </c>
      <c r="AS868" s="52">
        <v>0</v>
      </c>
      <c r="AT868" s="53" t="s">
        <v>74</v>
      </c>
      <c r="AU868" s="52">
        <v>0</v>
      </c>
      <c r="AV868" s="52"/>
      <c r="AW868" s="52">
        <v>0</v>
      </c>
      <c r="AX868" s="52"/>
      <c r="AY868" s="52"/>
      <c r="AZ868" s="52">
        <v>0</v>
      </c>
      <c r="BA868" s="52">
        <v>0</v>
      </c>
      <c r="BB868" s="54" t="s">
        <v>74</v>
      </c>
      <c r="BC868" s="53" t="s">
        <v>74</v>
      </c>
      <c r="BD868" s="55" t="s">
        <v>74</v>
      </c>
      <c r="BE868" s="55" t="s">
        <v>74</v>
      </c>
      <c r="BF868" s="55" t="s">
        <v>74</v>
      </c>
      <c r="BG868" s="55" t="s">
        <v>74</v>
      </c>
      <c r="BH868" s="52">
        <v>0</v>
      </c>
      <c r="BI868" s="52">
        <v>1364094.96</v>
      </c>
      <c r="BJ868" s="52">
        <v>1364094.96</v>
      </c>
      <c r="BK868" s="56">
        <v>43497</v>
      </c>
      <c r="BL868" s="57">
        <v>1364094.96</v>
      </c>
      <c r="BM868" s="47">
        <v>0</v>
      </c>
      <c r="BN868" s="9"/>
      <c r="BO868" s="9"/>
      <c r="BP868" s="9"/>
      <c r="BQ868" s="9"/>
      <c r="BR868" s="9"/>
      <c r="BS868" s="9"/>
      <c r="BT868" s="9"/>
      <c r="BU868" s="9"/>
      <c r="BV868" s="9"/>
      <c r="BW868" s="9"/>
    </row>
    <row r="869" spans="1:75" hidden="1" outlineLevel="2" x14ac:dyDescent="0.25">
      <c r="A869" s="43" t="s">
        <v>795</v>
      </c>
      <c r="B869" s="110" t="s">
        <v>908</v>
      </c>
      <c r="C869" s="45">
        <v>2019</v>
      </c>
      <c r="D869" s="110" t="s">
        <v>77</v>
      </c>
      <c r="E869" s="47">
        <v>1364094.96</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1364094.96</v>
      </c>
      <c r="Z869" s="49">
        <v>0</v>
      </c>
      <c r="AA869" s="50">
        <v>0</v>
      </c>
      <c r="AB869" s="50">
        <v>0</v>
      </c>
      <c r="AC869" s="50">
        <v>0</v>
      </c>
      <c r="AD869" s="50">
        <v>0</v>
      </c>
      <c r="AE869" s="50">
        <v>0</v>
      </c>
      <c r="AF869" s="50">
        <v>0</v>
      </c>
      <c r="AG869" s="49">
        <v>0</v>
      </c>
      <c r="AH869" s="51" t="s">
        <v>74</v>
      </c>
      <c r="AI869" s="51" t="s">
        <v>74</v>
      </c>
      <c r="AJ869" s="51" t="s">
        <v>74</v>
      </c>
      <c r="AK869" s="51" t="s">
        <v>74</v>
      </c>
      <c r="AL869" s="51" t="s">
        <v>74</v>
      </c>
      <c r="AM869" s="51" t="s">
        <v>74</v>
      </c>
      <c r="AN869" s="52">
        <v>0</v>
      </c>
      <c r="AO869" s="52">
        <v>0</v>
      </c>
      <c r="AP869" s="52">
        <v>0</v>
      </c>
      <c r="AQ869" s="52">
        <v>0</v>
      </c>
      <c r="AR869" s="52">
        <v>0</v>
      </c>
      <c r="AS869" s="52">
        <v>0</v>
      </c>
      <c r="AT869" s="53" t="s">
        <v>74</v>
      </c>
      <c r="AU869" s="52">
        <v>0</v>
      </c>
      <c r="AV869" s="52"/>
      <c r="AW869" s="52">
        <v>0</v>
      </c>
      <c r="AX869" s="52"/>
      <c r="AY869" s="52"/>
      <c r="AZ869" s="52">
        <v>0</v>
      </c>
      <c r="BA869" s="52">
        <v>0</v>
      </c>
      <c r="BB869" s="54" t="s">
        <v>74</v>
      </c>
      <c r="BC869" s="53" t="s">
        <v>74</v>
      </c>
      <c r="BD869" s="55" t="s">
        <v>74</v>
      </c>
      <c r="BE869" s="55" t="s">
        <v>74</v>
      </c>
      <c r="BF869" s="55" t="s">
        <v>74</v>
      </c>
      <c r="BG869" s="55" t="s">
        <v>74</v>
      </c>
      <c r="BH869" s="52">
        <v>0</v>
      </c>
      <c r="BI869" s="52">
        <v>1364094.96</v>
      </c>
      <c r="BJ869" s="52">
        <v>1364094.96</v>
      </c>
      <c r="BK869" s="56">
        <v>43525</v>
      </c>
      <c r="BL869" s="57">
        <v>1364094.96</v>
      </c>
      <c r="BM869" s="47">
        <v>0</v>
      </c>
      <c r="BN869" s="9"/>
      <c r="BO869" s="9"/>
      <c r="BP869" s="9"/>
      <c r="BQ869" s="9"/>
      <c r="BR869" s="9"/>
      <c r="BS869" s="9"/>
      <c r="BT869" s="9"/>
      <c r="BU869" s="9"/>
      <c r="BV869" s="9"/>
      <c r="BW869" s="9"/>
    </row>
    <row r="870" spans="1:75" hidden="1" outlineLevel="2" x14ac:dyDescent="0.25">
      <c r="A870" s="43" t="s">
        <v>795</v>
      </c>
      <c r="B870" s="110" t="s">
        <v>908</v>
      </c>
      <c r="C870" s="45">
        <v>2019</v>
      </c>
      <c r="D870" s="110" t="s">
        <v>79</v>
      </c>
      <c r="E870" s="47">
        <v>1364094.96</v>
      </c>
      <c r="F870" s="47">
        <v>0</v>
      </c>
      <c r="G870" s="47">
        <v>0</v>
      </c>
      <c r="H870" s="47">
        <v>0</v>
      </c>
      <c r="I870" s="47">
        <v>0</v>
      </c>
      <c r="J870" s="47">
        <v>0</v>
      </c>
      <c r="K870" s="47">
        <v>0</v>
      </c>
      <c r="L870" s="47">
        <v>0</v>
      </c>
      <c r="M870" s="47">
        <v>0</v>
      </c>
      <c r="N870" s="47">
        <v>0</v>
      </c>
      <c r="O870" s="47">
        <v>0</v>
      </c>
      <c r="P870" s="47">
        <v>0</v>
      </c>
      <c r="Q870" s="47">
        <v>0</v>
      </c>
      <c r="R870" s="47">
        <v>0</v>
      </c>
      <c r="S870" s="47">
        <v>0</v>
      </c>
      <c r="T870" s="47">
        <v>0</v>
      </c>
      <c r="U870" s="47">
        <v>0</v>
      </c>
      <c r="V870" s="47">
        <v>0</v>
      </c>
      <c r="W870" s="47">
        <v>0</v>
      </c>
      <c r="X870" s="47">
        <v>0</v>
      </c>
      <c r="Y870" s="48">
        <v>1364094.96</v>
      </c>
      <c r="Z870" s="49">
        <v>0</v>
      </c>
      <c r="AA870" s="50">
        <v>0</v>
      </c>
      <c r="AB870" s="50">
        <v>0</v>
      </c>
      <c r="AC870" s="50">
        <v>0</v>
      </c>
      <c r="AD870" s="50">
        <v>0</v>
      </c>
      <c r="AE870" s="50">
        <v>0</v>
      </c>
      <c r="AF870" s="50">
        <v>0</v>
      </c>
      <c r="AG870" s="49">
        <v>0</v>
      </c>
      <c r="AH870" s="51" t="s">
        <v>74</v>
      </c>
      <c r="AI870" s="51" t="s">
        <v>74</v>
      </c>
      <c r="AJ870" s="51" t="s">
        <v>74</v>
      </c>
      <c r="AK870" s="51" t="s">
        <v>74</v>
      </c>
      <c r="AL870" s="51" t="s">
        <v>74</v>
      </c>
      <c r="AM870" s="51" t="s">
        <v>74</v>
      </c>
      <c r="AN870" s="52">
        <v>0</v>
      </c>
      <c r="AO870" s="52">
        <v>0</v>
      </c>
      <c r="AP870" s="52">
        <v>0</v>
      </c>
      <c r="AQ870" s="52">
        <v>0</v>
      </c>
      <c r="AR870" s="52">
        <v>0</v>
      </c>
      <c r="AS870" s="52">
        <v>0</v>
      </c>
      <c r="AT870" s="53" t="s">
        <v>74</v>
      </c>
      <c r="AU870" s="52">
        <v>0</v>
      </c>
      <c r="AV870" s="52"/>
      <c r="AW870" s="52">
        <v>0</v>
      </c>
      <c r="AX870" s="52"/>
      <c r="AY870" s="52"/>
      <c r="AZ870" s="52">
        <v>0</v>
      </c>
      <c r="BA870" s="52">
        <v>0</v>
      </c>
      <c r="BB870" s="54" t="s">
        <v>74</v>
      </c>
      <c r="BC870" s="53" t="s">
        <v>74</v>
      </c>
      <c r="BD870" s="55" t="s">
        <v>74</v>
      </c>
      <c r="BE870" s="55" t="s">
        <v>74</v>
      </c>
      <c r="BF870" s="55" t="s">
        <v>74</v>
      </c>
      <c r="BG870" s="55" t="s">
        <v>74</v>
      </c>
      <c r="BH870" s="52">
        <v>0</v>
      </c>
      <c r="BI870" s="52">
        <v>1364094.96</v>
      </c>
      <c r="BJ870" s="52">
        <v>1364094.96</v>
      </c>
      <c r="BK870" s="56">
        <v>43556</v>
      </c>
      <c r="BL870" s="57">
        <v>1364094.96</v>
      </c>
      <c r="BM870" s="47">
        <v>0</v>
      </c>
      <c r="BN870" s="9"/>
      <c r="BO870" s="9"/>
      <c r="BP870" s="9"/>
      <c r="BQ870" s="9"/>
      <c r="BR870" s="9"/>
      <c r="BS870" s="9"/>
      <c r="BT870" s="9"/>
      <c r="BU870" s="9"/>
      <c r="BV870" s="9"/>
      <c r="BW870" s="9"/>
    </row>
    <row r="871" spans="1:75" hidden="1" outlineLevel="2" x14ac:dyDescent="0.25">
      <c r="A871" s="43" t="s">
        <v>795</v>
      </c>
      <c r="B871" s="110" t="s">
        <v>908</v>
      </c>
      <c r="C871" s="45">
        <v>2019</v>
      </c>
      <c r="D871" s="110" t="s">
        <v>81</v>
      </c>
      <c r="E871" s="47">
        <v>1364094.96</v>
      </c>
      <c r="F871" s="47">
        <v>0</v>
      </c>
      <c r="G871" s="47">
        <v>0</v>
      </c>
      <c r="H871" s="47">
        <v>0</v>
      </c>
      <c r="I871" s="47">
        <v>0</v>
      </c>
      <c r="J871" s="47">
        <v>0</v>
      </c>
      <c r="K871" s="47">
        <v>0</v>
      </c>
      <c r="L871" s="47">
        <v>0</v>
      </c>
      <c r="M871" s="47">
        <v>0</v>
      </c>
      <c r="N871" s="47">
        <v>0</v>
      </c>
      <c r="O871" s="47">
        <v>0</v>
      </c>
      <c r="P871" s="47">
        <v>0</v>
      </c>
      <c r="Q871" s="47">
        <v>0</v>
      </c>
      <c r="R871" s="47">
        <v>0</v>
      </c>
      <c r="S871" s="47">
        <v>0</v>
      </c>
      <c r="T871" s="47">
        <v>0</v>
      </c>
      <c r="U871" s="47">
        <v>0</v>
      </c>
      <c r="V871" s="47">
        <v>0</v>
      </c>
      <c r="W871" s="47">
        <v>0</v>
      </c>
      <c r="X871" s="47">
        <v>0</v>
      </c>
      <c r="Y871" s="48">
        <v>1364094.96</v>
      </c>
      <c r="Z871" s="49">
        <v>0</v>
      </c>
      <c r="AA871" s="50">
        <v>0</v>
      </c>
      <c r="AB871" s="50">
        <v>0</v>
      </c>
      <c r="AC871" s="50">
        <v>0</v>
      </c>
      <c r="AD871" s="50">
        <v>0</v>
      </c>
      <c r="AE871" s="50">
        <v>0</v>
      </c>
      <c r="AF871" s="50">
        <v>0</v>
      </c>
      <c r="AG871" s="49">
        <v>0</v>
      </c>
      <c r="AH871" s="51" t="s">
        <v>74</v>
      </c>
      <c r="AI871" s="51" t="s">
        <v>74</v>
      </c>
      <c r="AJ871" s="51" t="s">
        <v>74</v>
      </c>
      <c r="AK871" s="51" t="s">
        <v>74</v>
      </c>
      <c r="AL871" s="51" t="s">
        <v>74</v>
      </c>
      <c r="AM871" s="51" t="s">
        <v>74</v>
      </c>
      <c r="AN871" s="52">
        <v>0</v>
      </c>
      <c r="AO871" s="52">
        <v>0</v>
      </c>
      <c r="AP871" s="52">
        <v>0</v>
      </c>
      <c r="AQ871" s="52">
        <v>0</v>
      </c>
      <c r="AR871" s="52">
        <v>0</v>
      </c>
      <c r="AS871" s="52">
        <v>0</v>
      </c>
      <c r="AT871" s="53" t="s">
        <v>74</v>
      </c>
      <c r="AU871" s="52">
        <v>0</v>
      </c>
      <c r="AV871" s="52"/>
      <c r="AW871" s="52">
        <v>0</v>
      </c>
      <c r="AX871" s="52"/>
      <c r="AY871" s="52"/>
      <c r="AZ871" s="52">
        <v>0</v>
      </c>
      <c r="BA871" s="52">
        <v>0</v>
      </c>
      <c r="BB871" s="54" t="s">
        <v>74</v>
      </c>
      <c r="BC871" s="53" t="s">
        <v>74</v>
      </c>
      <c r="BD871" s="55" t="s">
        <v>74</v>
      </c>
      <c r="BE871" s="55" t="s">
        <v>74</v>
      </c>
      <c r="BF871" s="55" t="s">
        <v>74</v>
      </c>
      <c r="BG871" s="55" t="s">
        <v>74</v>
      </c>
      <c r="BH871" s="52">
        <v>0</v>
      </c>
      <c r="BI871" s="52">
        <v>1364094.96</v>
      </c>
      <c r="BJ871" s="52">
        <v>1364094.96</v>
      </c>
      <c r="BK871" s="56">
        <v>43586</v>
      </c>
      <c r="BL871" s="57">
        <v>1364094.96</v>
      </c>
      <c r="BM871" s="47">
        <v>0</v>
      </c>
      <c r="BN871" s="9"/>
      <c r="BO871" s="9"/>
      <c r="BP871" s="9"/>
      <c r="BQ871" s="9"/>
      <c r="BR871" s="9"/>
      <c r="BS871" s="9"/>
      <c r="BT871" s="9"/>
      <c r="BU871" s="9"/>
      <c r="BV871" s="9"/>
      <c r="BW871" s="9"/>
    </row>
    <row r="872" spans="1:75" hidden="1" outlineLevel="2" x14ac:dyDescent="0.25">
      <c r="A872" s="43" t="s">
        <v>795</v>
      </c>
      <c r="B872" s="110" t="s">
        <v>908</v>
      </c>
      <c r="C872" s="45">
        <v>2019</v>
      </c>
      <c r="D872" s="110" t="s">
        <v>83</v>
      </c>
      <c r="E872" s="47">
        <v>1364094.96</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1364094.96</v>
      </c>
      <c r="Z872" s="49">
        <v>0</v>
      </c>
      <c r="AA872" s="50">
        <v>0</v>
      </c>
      <c r="AB872" s="50">
        <v>0</v>
      </c>
      <c r="AC872" s="50">
        <v>0</v>
      </c>
      <c r="AD872" s="50">
        <v>0</v>
      </c>
      <c r="AE872" s="50">
        <v>0</v>
      </c>
      <c r="AF872" s="50">
        <v>0</v>
      </c>
      <c r="AG872" s="49">
        <v>0</v>
      </c>
      <c r="AH872" s="51" t="s">
        <v>74</v>
      </c>
      <c r="AI872" s="51" t="s">
        <v>74</v>
      </c>
      <c r="AJ872" s="51" t="s">
        <v>74</v>
      </c>
      <c r="AK872" s="51" t="s">
        <v>74</v>
      </c>
      <c r="AL872" s="51" t="s">
        <v>74</v>
      </c>
      <c r="AM872" s="51" t="s">
        <v>74</v>
      </c>
      <c r="AN872" s="52">
        <v>0</v>
      </c>
      <c r="AO872" s="52">
        <v>0</v>
      </c>
      <c r="AP872" s="52">
        <v>0</v>
      </c>
      <c r="AQ872" s="52">
        <v>0</v>
      </c>
      <c r="AR872" s="52">
        <v>0</v>
      </c>
      <c r="AS872" s="52">
        <v>0</v>
      </c>
      <c r="AT872" s="53" t="s">
        <v>74</v>
      </c>
      <c r="AU872" s="52">
        <v>0</v>
      </c>
      <c r="AV872" s="52"/>
      <c r="AW872" s="52">
        <v>0</v>
      </c>
      <c r="AX872" s="52"/>
      <c r="AY872" s="52"/>
      <c r="AZ872" s="52">
        <v>0</v>
      </c>
      <c r="BA872" s="52">
        <v>0</v>
      </c>
      <c r="BB872" s="54" t="s">
        <v>74</v>
      </c>
      <c r="BC872" s="53" t="s">
        <v>74</v>
      </c>
      <c r="BD872" s="55" t="s">
        <v>74</v>
      </c>
      <c r="BE872" s="55" t="s">
        <v>74</v>
      </c>
      <c r="BF872" s="55" t="s">
        <v>74</v>
      </c>
      <c r="BG872" s="55" t="s">
        <v>74</v>
      </c>
      <c r="BH872" s="52">
        <v>0</v>
      </c>
      <c r="BI872" s="52">
        <v>1364094.96</v>
      </c>
      <c r="BJ872" s="52">
        <v>1364094.96</v>
      </c>
      <c r="BK872" s="56">
        <v>43617</v>
      </c>
      <c r="BL872" s="57">
        <v>1364094.96</v>
      </c>
      <c r="BM872" s="47">
        <v>0</v>
      </c>
      <c r="BN872" s="9"/>
      <c r="BO872" s="9"/>
      <c r="BP872" s="9"/>
      <c r="BQ872" s="9"/>
      <c r="BR872" s="9"/>
      <c r="BS872" s="9"/>
      <c r="BT872" s="9"/>
      <c r="BU872" s="9"/>
      <c r="BV872" s="9"/>
      <c r="BW872" s="9"/>
    </row>
    <row r="873" spans="1:75" hidden="1" outlineLevel="2" x14ac:dyDescent="0.25">
      <c r="A873" s="43" t="s">
        <v>795</v>
      </c>
      <c r="B873" s="110" t="s">
        <v>908</v>
      </c>
      <c r="C873" s="45">
        <v>2019</v>
      </c>
      <c r="D873" s="110" t="s">
        <v>84</v>
      </c>
      <c r="E873" s="47">
        <v>1364094.96</v>
      </c>
      <c r="F873" s="47">
        <v>0</v>
      </c>
      <c r="G873" s="47">
        <v>0</v>
      </c>
      <c r="H873" s="47">
        <v>0</v>
      </c>
      <c r="I873" s="47">
        <v>0</v>
      </c>
      <c r="J873" s="47">
        <v>0</v>
      </c>
      <c r="K873" s="47">
        <v>0</v>
      </c>
      <c r="L873" s="47">
        <v>0</v>
      </c>
      <c r="M873" s="47">
        <v>0</v>
      </c>
      <c r="N873" s="47">
        <v>0</v>
      </c>
      <c r="O873" s="47">
        <v>0</v>
      </c>
      <c r="P873" s="47">
        <v>0</v>
      </c>
      <c r="Q873" s="47">
        <v>0</v>
      </c>
      <c r="R873" s="47">
        <v>0</v>
      </c>
      <c r="S873" s="47">
        <v>0</v>
      </c>
      <c r="T873" s="47">
        <v>0</v>
      </c>
      <c r="U873" s="47">
        <v>0</v>
      </c>
      <c r="V873" s="47">
        <v>0</v>
      </c>
      <c r="W873" s="47">
        <v>0</v>
      </c>
      <c r="X873" s="47">
        <v>0</v>
      </c>
      <c r="Y873" s="48">
        <v>1364094.96</v>
      </c>
      <c r="Z873" s="49">
        <v>0</v>
      </c>
      <c r="AA873" s="50">
        <v>0</v>
      </c>
      <c r="AB873" s="50">
        <v>0</v>
      </c>
      <c r="AC873" s="50">
        <v>0</v>
      </c>
      <c r="AD873" s="50">
        <v>0</v>
      </c>
      <c r="AE873" s="50">
        <v>0</v>
      </c>
      <c r="AF873" s="50">
        <v>0</v>
      </c>
      <c r="AG873" s="49">
        <v>0</v>
      </c>
      <c r="AH873" s="51" t="s">
        <v>74</v>
      </c>
      <c r="AI873" s="51" t="s">
        <v>74</v>
      </c>
      <c r="AJ873" s="51" t="s">
        <v>74</v>
      </c>
      <c r="AK873" s="51" t="s">
        <v>74</v>
      </c>
      <c r="AL873" s="51" t="s">
        <v>74</v>
      </c>
      <c r="AM873" s="51" t="s">
        <v>74</v>
      </c>
      <c r="AN873" s="52">
        <v>0</v>
      </c>
      <c r="AO873" s="52">
        <v>0</v>
      </c>
      <c r="AP873" s="52">
        <v>0</v>
      </c>
      <c r="AQ873" s="52">
        <v>0</v>
      </c>
      <c r="AR873" s="52">
        <v>0</v>
      </c>
      <c r="AS873" s="52">
        <v>0</v>
      </c>
      <c r="AT873" s="53" t="s">
        <v>74</v>
      </c>
      <c r="AU873" s="52">
        <v>0</v>
      </c>
      <c r="AV873" s="52"/>
      <c r="AW873" s="52">
        <v>0</v>
      </c>
      <c r="AX873" s="52"/>
      <c r="AY873" s="52"/>
      <c r="AZ873" s="52">
        <v>0</v>
      </c>
      <c r="BA873" s="52">
        <v>0</v>
      </c>
      <c r="BB873" s="54" t="s">
        <v>74</v>
      </c>
      <c r="BC873" s="53" t="s">
        <v>74</v>
      </c>
      <c r="BD873" s="55" t="s">
        <v>74</v>
      </c>
      <c r="BE873" s="55" t="s">
        <v>74</v>
      </c>
      <c r="BF873" s="55" t="s">
        <v>74</v>
      </c>
      <c r="BG873" s="55" t="s">
        <v>74</v>
      </c>
      <c r="BH873" s="52">
        <v>0</v>
      </c>
      <c r="BI873" s="52">
        <v>1364094.96</v>
      </c>
      <c r="BJ873" s="52">
        <v>1364094.96</v>
      </c>
      <c r="BK873" s="56">
        <v>43647</v>
      </c>
      <c r="BL873" s="57">
        <v>1364094.96</v>
      </c>
      <c r="BM873" s="47">
        <v>0</v>
      </c>
      <c r="BN873" s="9"/>
      <c r="BO873" s="9"/>
      <c r="BP873" s="9"/>
      <c r="BQ873" s="9"/>
      <c r="BR873" s="9"/>
      <c r="BS873" s="9"/>
      <c r="BT873" s="9"/>
      <c r="BU873" s="9"/>
      <c r="BV873" s="9"/>
      <c r="BW873" s="9"/>
    </row>
    <row r="874" spans="1:75" hidden="1" outlineLevel="2" x14ac:dyDescent="0.25">
      <c r="A874" s="43" t="s">
        <v>795</v>
      </c>
      <c r="B874" s="110" t="s">
        <v>908</v>
      </c>
      <c r="C874" s="45">
        <v>2019</v>
      </c>
      <c r="D874" s="110" t="s">
        <v>86</v>
      </c>
      <c r="E874" s="47">
        <v>1364094.96</v>
      </c>
      <c r="F874" s="47">
        <v>0</v>
      </c>
      <c r="G874" s="47">
        <v>0</v>
      </c>
      <c r="H874" s="47">
        <v>0</v>
      </c>
      <c r="I874" s="47">
        <v>0</v>
      </c>
      <c r="J874" s="47">
        <v>0</v>
      </c>
      <c r="K874" s="47">
        <v>0</v>
      </c>
      <c r="L874" s="47">
        <v>0</v>
      </c>
      <c r="M874" s="47">
        <v>0</v>
      </c>
      <c r="N874" s="47">
        <v>0</v>
      </c>
      <c r="O874" s="47">
        <v>0</v>
      </c>
      <c r="P874" s="47">
        <v>0</v>
      </c>
      <c r="Q874" s="47">
        <v>0</v>
      </c>
      <c r="R874" s="47">
        <v>0</v>
      </c>
      <c r="S874" s="47">
        <v>0</v>
      </c>
      <c r="T874" s="47">
        <v>0</v>
      </c>
      <c r="U874" s="47">
        <v>0</v>
      </c>
      <c r="V874" s="47">
        <v>0</v>
      </c>
      <c r="W874" s="47">
        <v>0</v>
      </c>
      <c r="X874" s="47">
        <v>0</v>
      </c>
      <c r="Y874" s="48">
        <v>1364094.96</v>
      </c>
      <c r="Z874" s="49">
        <v>0</v>
      </c>
      <c r="AA874" s="50">
        <v>0</v>
      </c>
      <c r="AB874" s="50">
        <v>0</v>
      </c>
      <c r="AC874" s="50">
        <v>0</v>
      </c>
      <c r="AD874" s="50">
        <v>0</v>
      </c>
      <c r="AE874" s="50">
        <v>0</v>
      </c>
      <c r="AF874" s="50">
        <v>0</v>
      </c>
      <c r="AG874" s="49">
        <v>0</v>
      </c>
      <c r="AH874" s="51" t="s">
        <v>74</v>
      </c>
      <c r="AI874" s="51" t="s">
        <v>74</v>
      </c>
      <c r="AJ874" s="51" t="s">
        <v>74</v>
      </c>
      <c r="AK874" s="51" t="s">
        <v>74</v>
      </c>
      <c r="AL874" s="51" t="s">
        <v>74</v>
      </c>
      <c r="AM874" s="51" t="s">
        <v>74</v>
      </c>
      <c r="AN874" s="52">
        <v>0</v>
      </c>
      <c r="AO874" s="52">
        <v>0</v>
      </c>
      <c r="AP874" s="52">
        <v>0</v>
      </c>
      <c r="AQ874" s="52">
        <v>0</v>
      </c>
      <c r="AR874" s="52">
        <v>0</v>
      </c>
      <c r="AS874" s="52">
        <v>0</v>
      </c>
      <c r="AT874" s="53" t="s">
        <v>74</v>
      </c>
      <c r="AU874" s="52">
        <v>0</v>
      </c>
      <c r="AV874" s="52"/>
      <c r="AW874" s="52">
        <v>0</v>
      </c>
      <c r="AX874" s="52"/>
      <c r="AY874" s="52"/>
      <c r="AZ874" s="52">
        <v>0</v>
      </c>
      <c r="BA874" s="52">
        <v>0</v>
      </c>
      <c r="BB874" s="54" t="s">
        <v>74</v>
      </c>
      <c r="BC874" s="53" t="s">
        <v>74</v>
      </c>
      <c r="BD874" s="55" t="s">
        <v>74</v>
      </c>
      <c r="BE874" s="55" t="s">
        <v>74</v>
      </c>
      <c r="BF874" s="55" t="s">
        <v>74</v>
      </c>
      <c r="BG874" s="55" t="s">
        <v>74</v>
      </c>
      <c r="BH874" s="52">
        <v>0</v>
      </c>
      <c r="BI874" s="52">
        <v>1364094.96</v>
      </c>
      <c r="BJ874" s="52">
        <v>1364094.96</v>
      </c>
      <c r="BK874" s="56">
        <v>43678</v>
      </c>
      <c r="BL874" s="57">
        <v>1364094.96</v>
      </c>
      <c r="BM874" s="47">
        <v>0</v>
      </c>
      <c r="BN874" s="9"/>
      <c r="BO874" s="9"/>
      <c r="BP874" s="9"/>
      <c r="BQ874" s="9"/>
      <c r="BR874" s="9"/>
      <c r="BS874" s="9"/>
      <c r="BT874" s="9"/>
      <c r="BU874" s="9"/>
      <c r="BV874" s="9"/>
      <c r="BW874" s="9"/>
    </row>
    <row r="875" spans="1:75" hidden="1" outlineLevel="2" x14ac:dyDescent="0.25">
      <c r="A875" s="43" t="s">
        <v>795</v>
      </c>
      <c r="B875" s="110" t="s">
        <v>908</v>
      </c>
      <c r="C875" s="45">
        <v>2019</v>
      </c>
      <c r="D875" s="110" t="s">
        <v>88</v>
      </c>
      <c r="E875" s="47">
        <v>1364094.96</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1364094.96</v>
      </c>
      <c r="Z875" s="49">
        <v>0</v>
      </c>
      <c r="AA875" s="50">
        <v>0</v>
      </c>
      <c r="AB875" s="50">
        <v>0</v>
      </c>
      <c r="AC875" s="50">
        <v>0</v>
      </c>
      <c r="AD875" s="50">
        <v>0</v>
      </c>
      <c r="AE875" s="50">
        <v>0</v>
      </c>
      <c r="AF875" s="50">
        <v>0</v>
      </c>
      <c r="AG875" s="49">
        <v>0</v>
      </c>
      <c r="AH875" s="51" t="s">
        <v>74</v>
      </c>
      <c r="AI875" s="51" t="s">
        <v>74</v>
      </c>
      <c r="AJ875" s="51" t="s">
        <v>74</v>
      </c>
      <c r="AK875" s="51" t="s">
        <v>74</v>
      </c>
      <c r="AL875" s="51" t="s">
        <v>74</v>
      </c>
      <c r="AM875" s="51" t="s">
        <v>74</v>
      </c>
      <c r="AN875" s="52">
        <v>0</v>
      </c>
      <c r="AO875" s="52">
        <v>0</v>
      </c>
      <c r="AP875" s="52">
        <v>0</v>
      </c>
      <c r="AQ875" s="52">
        <v>0</v>
      </c>
      <c r="AR875" s="52">
        <v>0</v>
      </c>
      <c r="AS875" s="52">
        <v>0</v>
      </c>
      <c r="AT875" s="53" t="s">
        <v>74</v>
      </c>
      <c r="AU875" s="52">
        <v>0</v>
      </c>
      <c r="AV875" s="52"/>
      <c r="AW875" s="52">
        <v>0</v>
      </c>
      <c r="AX875" s="52"/>
      <c r="AY875" s="52"/>
      <c r="AZ875" s="52">
        <v>0</v>
      </c>
      <c r="BA875" s="52">
        <v>0</v>
      </c>
      <c r="BB875" s="54" t="s">
        <v>74</v>
      </c>
      <c r="BC875" s="53" t="s">
        <v>74</v>
      </c>
      <c r="BD875" s="55" t="s">
        <v>74</v>
      </c>
      <c r="BE875" s="55" t="s">
        <v>74</v>
      </c>
      <c r="BF875" s="55" t="s">
        <v>74</v>
      </c>
      <c r="BG875" s="55" t="s">
        <v>74</v>
      </c>
      <c r="BH875" s="52">
        <v>0</v>
      </c>
      <c r="BI875" s="52">
        <v>1364094.96</v>
      </c>
      <c r="BJ875" s="52">
        <v>1364094.96</v>
      </c>
      <c r="BK875" s="56">
        <v>43709</v>
      </c>
      <c r="BL875" s="57">
        <v>1364094.96</v>
      </c>
      <c r="BM875" s="47">
        <v>0</v>
      </c>
      <c r="BN875" s="9"/>
      <c r="BO875" s="9"/>
      <c r="BP875" s="9"/>
      <c r="BQ875" s="9"/>
      <c r="BR875" s="9"/>
      <c r="BS875" s="9"/>
      <c r="BT875" s="9"/>
      <c r="BU875" s="9"/>
      <c r="BV875" s="9"/>
      <c r="BW875" s="9"/>
    </row>
    <row r="876" spans="1:75" hidden="1" outlineLevel="2" x14ac:dyDescent="0.25">
      <c r="A876" s="43" t="s">
        <v>795</v>
      </c>
      <c r="B876" s="110" t="s">
        <v>908</v>
      </c>
      <c r="C876" s="45">
        <v>2019</v>
      </c>
      <c r="D876" s="110" t="s">
        <v>89</v>
      </c>
      <c r="E876" s="47">
        <v>1364094.96</v>
      </c>
      <c r="F876" s="47">
        <v>0</v>
      </c>
      <c r="G876" s="47">
        <v>0</v>
      </c>
      <c r="H876" s="47">
        <v>0</v>
      </c>
      <c r="I876" s="47">
        <v>0</v>
      </c>
      <c r="J876" s="47">
        <v>0</v>
      </c>
      <c r="K876" s="47">
        <v>0</v>
      </c>
      <c r="L876" s="47">
        <v>0</v>
      </c>
      <c r="M876" s="47">
        <v>0</v>
      </c>
      <c r="N876" s="47">
        <v>0</v>
      </c>
      <c r="O876" s="47">
        <v>0</v>
      </c>
      <c r="P876" s="47">
        <v>0</v>
      </c>
      <c r="Q876" s="47">
        <v>0</v>
      </c>
      <c r="R876" s="47">
        <v>0</v>
      </c>
      <c r="S876" s="47">
        <v>0</v>
      </c>
      <c r="T876" s="47">
        <v>0</v>
      </c>
      <c r="U876" s="47">
        <v>0</v>
      </c>
      <c r="V876" s="47">
        <v>0</v>
      </c>
      <c r="W876" s="47">
        <v>0</v>
      </c>
      <c r="X876" s="47">
        <v>0</v>
      </c>
      <c r="Y876" s="48">
        <v>1364094.96</v>
      </c>
      <c r="Z876" s="49">
        <v>0</v>
      </c>
      <c r="AA876" s="50">
        <v>0</v>
      </c>
      <c r="AB876" s="50">
        <v>0</v>
      </c>
      <c r="AC876" s="50">
        <v>0</v>
      </c>
      <c r="AD876" s="50">
        <v>0</v>
      </c>
      <c r="AE876" s="50">
        <v>0</v>
      </c>
      <c r="AF876" s="50">
        <v>0</v>
      </c>
      <c r="AG876" s="49">
        <v>0</v>
      </c>
      <c r="AH876" s="51" t="s">
        <v>74</v>
      </c>
      <c r="AI876" s="51" t="s">
        <v>74</v>
      </c>
      <c r="AJ876" s="51" t="s">
        <v>74</v>
      </c>
      <c r="AK876" s="51" t="s">
        <v>74</v>
      </c>
      <c r="AL876" s="51" t="s">
        <v>74</v>
      </c>
      <c r="AM876" s="51" t="s">
        <v>74</v>
      </c>
      <c r="AN876" s="52">
        <v>0</v>
      </c>
      <c r="AO876" s="52">
        <v>0</v>
      </c>
      <c r="AP876" s="52">
        <v>0</v>
      </c>
      <c r="AQ876" s="52">
        <v>0</v>
      </c>
      <c r="AR876" s="52">
        <v>0</v>
      </c>
      <c r="AS876" s="52">
        <v>0</v>
      </c>
      <c r="AT876" s="53" t="s">
        <v>74</v>
      </c>
      <c r="AU876" s="52">
        <v>0</v>
      </c>
      <c r="AV876" s="52"/>
      <c r="AW876" s="52">
        <v>0</v>
      </c>
      <c r="AX876" s="52"/>
      <c r="AY876" s="52"/>
      <c r="AZ876" s="52">
        <v>0</v>
      </c>
      <c r="BA876" s="52">
        <v>0</v>
      </c>
      <c r="BB876" s="54" t="s">
        <v>74</v>
      </c>
      <c r="BC876" s="53" t="s">
        <v>74</v>
      </c>
      <c r="BD876" s="55" t="s">
        <v>74</v>
      </c>
      <c r="BE876" s="55" t="s">
        <v>74</v>
      </c>
      <c r="BF876" s="55" t="s">
        <v>74</v>
      </c>
      <c r="BG876" s="55" t="s">
        <v>74</v>
      </c>
      <c r="BH876" s="52">
        <v>0</v>
      </c>
      <c r="BI876" s="52">
        <v>1364094.96</v>
      </c>
      <c r="BJ876" s="52">
        <v>1364094.96</v>
      </c>
      <c r="BK876" s="56">
        <v>43739</v>
      </c>
      <c r="BL876" s="57">
        <v>1364094.96</v>
      </c>
      <c r="BM876" s="47">
        <v>0</v>
      </c>
      <c r="BN876" s="9"/>
      <c r="BO876" s="9"/>
      <c r="BP876" s="9"/>
      <c r="BQ876" s="9"/>
      <c r="BR876" s="9"/>
      <c r="BS876" s="9"/>
      <c r="BT876" s="9"/>
      <c r="BU876" s="9"/>
      <c r="BV876" s="9"/>
      <c r="BW876" s="9"/>
    </row>
    <row r="877" spans="1:75" hidden="1" outlineLevel="2" x14ac:dyDescent="0.25">
      <c r="A877" s="43" t="s">
        <v>795</v>
      </c>
      <c r="B877" s="110" t="s">
        <v>908</v>
      </c>
      <c r="C877" s="45">
        <v>2019</v>
      </c>
      <c r="D877" s="110" t="s">
        <v>90</v>
      </c>
      <c r="E877" s="47">
        <v>1364094.96</v>
      </c>
      <c r="F877" s="47">
        <v>0</v>
      </c>
      <c r="G877" s="47">
        <v>0</v>
      </c>
      <c r="H877" s="47">
        <v>0</v>
      </c>
      <c r="I877" s="47">
        <v>0</v>
      </c>
      <c r="J877" s="47">
        <v>0</v>
      </c>
      <c r="K877" s="47">
        <v>0</v>
      </c>
      <c r="L877" s="47">
        <v>0</v>
      </c>
      <c r="M877" s="47">
        <v>0</v>
      </c>
      <c r="N877" s="47">
        <v>0</v>
      </c>
      <c r="O877" s="47">
        <v>0</v>
      </c>
      <c r="P877" s="47">
        <v>0</v>
      </c>
      <c r="Q877" s="47">
        <v>0</v>
      </c>
      <c r="R877" s="47">
        <v>0</v>
      </c>
      <c r="S877" s="47">
        <v>0</v>
      </c>
      <c r="T877" s="47">
        <v>0</v>
      </c>
      <c r="U877" s="47">
        <v>0</v>
      </c>
      <c r="V877" s="47">
        <v>0</v>
      </c>
      <c r="W877" s="47">
        <v>0</v>
      </c>
      <c r="X877" s="47">
        <v>0</v>
      </c>
      <c r="Y877" s="48">
        <v>1364094.96</v>
      </c>
      <c r="Z877" s="49">
        <v>0</v>
      </c>
      <c r="AA877" s="50">
        <v>0</v>
      </c>
      <c r="AB877" s="50">
        <v>0</v>
      </c>
      <c r="AC877" s="50">
        <v>0</v>
      </c>
      <c r="AD877" s="50">
        <v>0</v>
      </c>
      <c r="AE877" s="50">
        <v>0</v>
      </c>
      <c r="AF877" s="50">
        <v>0</v>
      </c>
      <c r="AG877" s="49">
        <v>0</v>
      </c>
      <c r="AH877" s="51" t="s">
        <v>74</v>
      </c>
      <c r="AI877" s="51" t="s">
        <v>74</v>
      </c>
      <c r="AJ877" s="51" t="s">
        <v>74</v>
      </c>
      <c r="AK877" s="51" t="s">
        <v>74</v>
      </c>
      <c r="AL877" s="51" t="s">
        <v>74</v>
      </c>
      <c r="AM877" s="51" t="s">
        <v>74</v>
      </c>
      <c r="AN877" s="52">
        <v>0</v>
      </c>
      <c r="AO877" s="52">
        <v>0</v>
      </c>
      <c r="AP877" s="52">
        <v>0</v>
      </c>
      <c r="AQ877" s="52">
        <v>0</v>
      </c>
      <c r="AR877" s="52">
        <v>0</v>
      </c>
      <c r="AS877" s="52">
        <v>0</v>
      </c>
      <c r="AT877" s="53" t="s">
        <v>74</v>
      </c>
      <c r="AU877" s="52">
        <v>0</v>
      </c>
      <c r="AV877" s="52"/>
      <c r="AW877" s="52">
        <v>0</v>
      </c>
      <c r="AX877" s="52"/>
      <c r="AY877" s="52"/>
      <c r="AZ877" s="52">
        <v>0</v>
      </c>
      <c r="BA877" s="52">
        <v>0</v>
      </c>
      <c r="BB877" s="54" t="s">
        <v>74</v>
      </c>
      <c r="BC877" s="53" t="s">
        <v>74</v>
      </c>
      <c r="BD877" s="55" t="s">
        <v>74</v>
      </c>
      <c r="BE877" s="55" t="s">
        <v>74</v>
      </c>
      <c r="BF877" s="55" t="s">
        <v>74</v>
      </c>
      <c r="BG877" s="55" t="s">
        <v>74</v>
      </c>
      <c r="BH877" s="52">
        <v>0</v>
      </c>
      <c r="BI877" s="52">
        <v>1364094.96</v>
      </c>
      <c r="BJ877" s="52">
        <v>1364094.96</v>
      </c>
      <c r="BK877" s="56">
        <v>43770</v>
      </c>
      <c r="BL877" s="57">
        <v>1364094.96</v>
      </c>
      <c r="BM877" s="47">
        <v>0</v>
      </c>
      <c r="BN877" s="9"/>
      <c r="BO877" s="9"/>
      <c r="BP877" s="9"/>
      <c r="BQ877" s="9"/>
      <c r="BR877" s="9"/>
      <c r="BS877" s="9"/>
      <c r="BT877" s="9"/>
      <c r="BU877" s="9"/>
      <c r="BV877" s="9"/>
      <c r="BW877" s="9"/>
    </row>
    <row r="878" spans="1:75" ht="77.25" hidden="1" outlineLevel="2" x14ac:dyDescent="0.25">
      <c r="A878" s="43" t="s">
        <v>795</v>
      </c>
      <c r="B878" s="110" t="s">
        <v>908</v>
      </c>
      <c r="C878" s="45">
        <v>2019</v>
      </c>
      <c r="D878" s="110" t="s">
        <v>93</v>
      </c>
      <c r="E878" s="47">
        <v>1364094.96</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1364094.96</v>
      </c>
      <c r="Z878" s="49">
        <v>0</v>
      </c>
      <c r="AA878" s="50">
        <v>0</v>
      </c>
      <c r="AB878" s="50">
        <v>0</v>
      </c>
      <c r="AC878" s="50">
        <v>0</v>
      </c>
      <c r="AD878" s="50">
        <v>0</v>
      </c>
      <c r="AE878" s="50">
        <v>392855.19</v>
      </c>
      <c r="AF878" s="50">
        <v>0</v>
      </c>
      <c r="AG878" s="49">
        <v>392855.19</v>
      </c>
      <c r="AH878" s="51" t="s">
        <v>74</v>
      </c>
      <c r="AI878" s="51" t="s">
        <v>74</v>
      </c>
      <c r="AJ878" s="51" t="s">
        <v>74</v>
      </c>
      <c r="AK878" s="51" t="s">
        <v>74</v>
      </c>
      <c r="AL878" s="51" t="s">
        <v>912</v>
      </c>
      <c r="AM878" s="51" t="s">
        <v>74</v>
      </c>
      <c r="AN878" s="52"/>
      <c r="AO878" s="52">
        <v>0</v>
      </c>
      <c r="AP878" s="52"/>
      <c r="AQ878" s="52"/>
      <c r="AR878" s="52"/>
      <c r="AS878" s="52">
        <v>0</v>
      </c>
      <c r="AT878" s="53" t="s">
        <v>74</v>
      </c>
      <c r="AU878" s="52">
        <v>0</v>
      </c>
      <c r="AV878" s="52"/>
      <c r="AW878" s="52">
        <v>107874.6</v>
      </c>
      <c r="AX878" s="52"/>
      <c r="AY878" s="52"/>
      <c r="AZ878" s="52">
        <v>0</v>
      </c>
      <c r="BA878" s="52">
        <v>107874.6</v>
      </c>
      <c r="BB878" s="54" t="s">
        <v>74</v>
      </c>
      <c r="BC878" s="53" t="s">
        <v>74</v>
      </c>
      <c r="BD878" s="55" t="s">
        <v>913</v>
      </c>
      <c r="BE878" s="55" t="s">
        <v>74</v>
      </c>
      <c r="BF878" s="55" t="s">
        <v>74</v>
      </c>
      <c r="BG878" s="55" t="s">
        <v>74</v>
      </c>
      <c r="BH878" s="52">
        <v>107874.6</v>
      </c>
      <c r="BI878" s="52">
        <v>1079114.3700000001</v>
      </c>
      <c r="BJ878" s="52">
        <v>1079114.3700000001</v>
      </c>
      <c r="BK878" s="56">
        <v>43800</v>
      </c>
      <c r="BL878" s="57">
        <v>1079114.3700000001</v>
      </c>
      <c r="BM878" s="47">
        <v>0</v>
      </c>
      <c r="BN878" s="9"/>
      <c r="BO878" s="9"/>
      <c r="BP878" s="9"/>
      <c r="BQ878" s="9"/>
      <c r="BR878" s="9"/>
      <c r="BS878" s="9"/>
      <c r="BT878" s="9"/>
      <c r="BU878" s="9"/>
      <c r="BV878" s="9"/>
      <c r="BW878" s="9"/>
    </row>
    <row r="879" spans="1:75" ht="26.25" hidden="1" outlineLevel="2" x14ac:dyDescent="0.25">
      <c r="A879" s="43" t="s">
        <v>795</v>
      </c>
      <c r="B879" s="110" t="s">
        <v>908</v>
      </c>
      <c r="C879" s="45">
        <v>2020</v>
      </c>
      <c r="D879" s="110" t="s">
        <v>73</v>
      </c>
      <c r="E879" s="47">
        <v>1364094.96</v>
      </c>
      <c r="F879" s="47">
        <v>0</v>
      </c>
      <c r="G879" s="47">
        <v>0</v>
      </c>
      <c r="H879" s="47">
        <v>0</v>
      </c>
      <c r="I879" s="47">
        <v>0</v>
      </c>
      <c r="J879" s="47">
        <v>0</v>
      </c>
      <c r="K879" s="47">
        <v>0</v>
      </c>
      <c r="L879" s="47">
        <v>0</v>
      </c>
      <c r="M879" s="47">
        <v>0</v>
      </c>
      <c r="N879" s="47">
        <v>0</v>
      </c>
      <c r="O879" s="47">
        <v>0</v>
      </c>
      <c r="P879" s="47">
        <v>0</v>
      </c>
      <c r="Q879" s="47">
        <v>0</v>
      </c>
      <c r="R879" s="47">
        <v>0</v>
      </c>
      <c r="S879" s="47">
        <v>0</v>
      </c>
      <c r="T879" s="47">
        <v>0</v>
      </c>
      <c r="U879" s="47">
        <v>0</v>
      </c>
      <c r="V879" s="47">
        <v>0</v>
      </c>
      <c r="W879" s="47">
        <v>0</v>
      </c>
      <c r="X879" s="47">
        <v>0</v>
      </c>
      <c r="Y879" s="48">
        <v>1364094.96</v>
      </c>
      <c r="Z879" s="58">
        <v>6607.99</v>
      </c>
      <c r="AA879" s="50">
        <v>6607.99</v>
      </c>
      <c r="AB879" s="50">
        <v>0</v>
      </c>
      <c r="AC879" s="50">
        <v>0</v>
      </c>
      <c r="AD879" s="50">
        <v>0</v>
      </c>
      <c r="AE879" s="50">
        <v>0</v>
      </c>
      <c r="AF879" s="50">
        <v>0</v>
      </c>
      <c r="AG879" s="49">
        <v>6607.99</v>
      </c>
      <c r="AH879" s="51" t="s">
        <v>104</v>
      </c>
      <c r="AI879" s="51" t="s">
        <v>74</v>
      </c>
      <c r="AJ879" s="51" t="s">
        <v>74</v>
      </c>
      <c r="AK879" s="51" t="s">
        <v>74</v>
      </c>
      <c r="AL879" s="51" t="s">
        <v>74</v>
      </c>
      <c r="AM879" s="51" t="s">
        <v>74</v>
      </c>
      <c r="AN879" s="52">
        <v>0</v>
      </c>
      <c r="AO879" s="52">
        <v>0</v>
      </c>
      <c r="AP879" s="52">
        <v>0</v>
      </c>
      <c r="AQ879" s="52">
        <v>0</v>
      </c>
      <c r="AR879" s="52">
        <v>0</v>
      </c>
      <c r="AS879" s="52">
        <v>0</v>
      </c>
      <c r="AT879" s="53" t="s">
        <v>74</v>
      </c>
      <c r="AU879" s="52">
        <v>0</v>
      </c>
      <c r="AV879" s="52"/>
      <c r="AW879" s="52">
        <v>0</v>
      </c>
      <c r="AX879" s="52"/>
      <c r="AY879" s="52"/>
      <c r="AZ879" s="52">
        <v>0</v>
      </c>
      <c r="BA879" s="52">
        <v>0</v>
      </c>
      <c r="BB879" s="54" t="s">
        <v>74</v>
      </c>
      <c r="BC879" s="53" t="s">
        <v>74</v>
      </c>
      <c r="BD879" s="55" t="s">
        <v>74</v>
      </c>
      <c r="BE879" s="55" t="s">
        <v>74</v>
      </c>
      <c r="BF879" s="55" t="s">
        <v>74</v>
      </c>
      <c r="BG879" s="55" t="s">
        <v>74</v>
      </c>
      <c r="BH879" s="52">
        <v>0</v>
      </c>
      <c r="BI879" s="52">
        <v>1357486.97</v>
      </c>
      <c r="BJ879" s="52">
        <v>1357486.97</v>
      </c>
      <c r="BK879" s="56">
        <v>43831</v>
      </c>
      <c r="BL879" s="57">
        <v>1357486.97</v>
      </c>
      <c r="BM879" s="47">
        <v>0</v>
      </c>
      <c r="BN879" s="9"/>
      <c r="BO879" s="9"/>
      <c r="BP879" s="9"/>
      <c r="BQ879" s="9"/>
      <c r="BR879" s="9"/>
      <c r="BS879" s="9"/>
      <c r="BT879" s="9"/>
      <c r="BU879" s="9"/>
      <c r="BV879" s="9"/>
      <c r="BW879" s="9"/>
    </row>
    <row r="880" spans="1:75" ht="319.5" hidden="1" outlineLevel="2" x14ac:dyDescent="0.25">
      <c r="A880" s="43" t="s">
        <v>795</v>
      </c>
      <c r="B880" s="110" t="s">
        <v>908</v>
      </c>
      <c r="C880" s="45">
        <v>2020</v>
      </c>
      <c r="D880" s="110" t="s">
        <v>75</v>
      </c>
      <c r="E880" s="47">
        <v>1364094.96</v>
      </c>
      <c r="F880" s="47">
        <v>0</v>
      </c>
      <c r="G880" s="47">
        <v>0</v>
      </c>
      <c r="H880" s="47">
        <v>0</v>
      </c>
      <c r="I880" s="47">
        <v>0</v>
      </c>
      <c r="J880" s="47">
        <v>0</v>
      </c>
      <c r="K880" s="47">
        <v>0</v>
      </c>
      <c r="L880" s="47">
        <v>0</v>
      </c>
      <c r="M880" s="47">
        <v>0</v>
      </c>
      <c r="N880" s="47">
        <v>0</v>
      </c>
      <c r="O880" s="47">
        <v>0</v>
      </c>
      <c r="P880" s="47">
        <v>0</v>
      </c>
      <c r="Q880" s="47">
        <v>0</v>
      </c>
      <c r="R880" s="47">
        <v>0</v>
      </c>
      <c r="S880" s="47">
        <v>0</v>
      </c>
      <c r="T880" s="47">
        <v>0</v>
      </c>
      <c r="U880" s="47">
        <v>0</v>
      </c>
      <c r="V880" s="47">
        <v>0</v>
      </c>
      <c r="W880" s="47">
        <v>0</v>
      </c>
      <c r="X880" s="47">
        <v>0</v>
      </c>
      <c r="Y880" s="48">
        <v>1364094.96</v>
      </c>
      <c r="Z880" s="58">
        <v>7624.77</v>
      </c>
      <c r="AA880" s="50">
        <v>6615.89</v>
      </c>
      <c r="AB880" s="50">
        <v>0</v>
      </c>
      <c r="AC880" s="50">
        <v>0</v>
      </c>
      <c r="AD880" s="50">
        <v>0</v>
      </c>
      <c r="AE880" s="50">
        <v>0</v>
      </c>
      <c r="AF880" s="50">
        <v>0</v>
      </c>
      <c r="AG880" s="49">
        <v>6615.89</v>
      </c>
      <c r="AH880" s="51" t="s">
        <v>914</v>
      </c>
      <c r="AI880" s="51" t="s">
        <v>74</v>
      </c>
      <c r="AJ880" s="51" t="s">
        <v>74</v>
      </c>
      <c r="AK880" s="51" t="s">
        <v>74</v>
      </c>
      <c r="AL880" s="51" t="s">
        <v>74</v>
      </c>
      <c r="AM880" s="51" t="s">
        <v>74</v>
      </c>
      <c r="AN880" s="52"/>
      <c r="AO880" s="52">
        <v>0</v>
      </c>
      <c r="AP880" s="52"/>
      <c r="AQ880" s="52"/>
      <c r="AR880" s="52"/>
      <c r="AS880" s="52">
        <v>0</v>
      </c>
      <c r="AT880" s="53" t="s">
        <v>74</v>
      </c>
      <c r="AU880" s="52">
        <v>90988.96</v>
      </c>
      <c r="AV880" s="52"/>
      <c r="AW880" s="52">
        <v>0</v>
      </c>
      <c r="AX880" s="52"/>
      <c r="AY880" s="52"/>
      <c r="AZ880" s="52">
        <v>0</v>
      </c>
      <c r="BA880" s="52">
        <v>90988.96</v>
      </c>
      <c r="BB880" s="55" t="s">
        <v>915</v>
      </c>
      <c r="BC880" s="51" t="s">
        <v>74</v>
      </c>
      <c r="BD880" s="54" t="s">
        <v>74</v>
      </c>
      <c r="BE880" s="54" t="s">
        <v>74</v>
      </c>
      <c r="BF880" s="54" t="s">
        <v>74</v>
      </c>
      <c r="BG880" s="54" t="s">
        <v>74</v>
      </c>
      <c r="BH880" s="52">
        <v>90988.96</v>
      </c>
      <c r="BI880" s="52">
        <v>1448468.03</v>
      </c>
      <c r="BJ880" s="52">
        <v>1357479.07</v>
      </c>
      <c r="BK880" s="56">
        <v>43862</v>
      </c>
      <c r="BL880" s="57">
        <v>1448468.03</v>
      </c>
      <c r="BM880" s="47">
        <v>0</v>
      </c>
      <c r="BN880" s="9"/>
      <c r="BO880" s="9"/>
      <c r="BP880" s="9"/>
      <c r="BQ880" s="9"/>
      <c r="BR880" s="9"/>
      <c r="BS880" s="9"/>
      <c r="BT880" s="9"/>
      <c r="BU880" s="9"/>
      <c r="BV880" s="9"/>
      <c r="BW880" s="9"/>
    </row>
    <row r="881" spans="1:75" ht="255.75" hidden="1" outlineLevel="2" x14ac:dyDescent="0.25">
      <c r="A881" s="43" t="s">
        <v>795</v>
      </c>
      <c r="B881" s="110" t="s">
        <v>908</v>
      </c>
      <c r="C881" s="45">
        <v>2020</v>
      </c>
      <c r="D881" s="110" t="s">
        <v>77</v>
      </c>
      <c r="E881" s="47">
        <v>1364094.96</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1364094.96</v>
      </c>
      <c r="Z881" s="58">
        <v>6500.28</v>
      </c>
      <c r="AA881" s="50">
        <v>6500.28</v>
      </c>
      <c r="AB881" s="50">
        <v>1008.88</v>
      </c>
      <c r="AC881" s="50">
        <v>0</v>
      </c>
      <c r="AD881" s="50">
        <v>0</v>
      </c>
      <c r="AE881" s="50">
        <v>0</v>
      </c>
      <c r="AF881" s="50">
        <v>0</v>
      </c>
      <c r="AG881" s="49">
        <v>7509.16</v>
      </c>
      <c r="AH881" s="51" t="s">
        <v>104</v>
      </c>
      <c r="AI881" s="51" t="s">
        <v>916</v>
      </c>
      <c r="AJ881" s="51" t="s">
        <v>74</v>
      </c>
      <c r="AK881" s="51" t="s">
        <v>74</v>
      </c>
      <c r="AL881" s="51" t="s">
        <v>74</v>
      </c>
      <c r="AM881" s="51" t="s">
        <v>74</v>
      </c>
      <c r="AN881" s="52"/>
      <c r="AO881" s="52"/>
      <c r="AP881" s="52"/>
      <c r="AQ881" s="52"/>
      <c r="AR881" s="52"/>
      <c r="AS881" s="52">
        <v>0</v>
      </c>
      <c r="AT881" s="53" t="s">
        <v>74</v>
      </c>
      <c r="AU881" s="52">
        <v>0</v>
      </c>
      <c r="AV881" s="52"/>
      <c r="AW881" s="52">
        <v>574771.67000000004</v>
      </c>
      <c r="AX881" s="52"/>
      <c r="AY881" s="52"/>
      <c r="AZ881" s="52">
        <v>0</v>
      </c>
      <c r="BA881" s="52">
        <v>574771.67000000004</v>
      </c>
      <c r="BB881" s="54" t="s">
        <v>74</v>
      </c>
      <c r="BC881" s="53" t="s">
        <v>74</v>
      </c>
      <c r="BD881" s="55" t="s">
        <v>917</v>
      </c>
      <c r="BE881" s="55" t="s">
        <v>74</v>
      </c>
      <c r="BF881" s="55" t="s">
        <v>74</v>
      </c>
      <c r="BG881" s="55" t="s">
        <v>74</v>
      </c>
      <c r="BH881" s="52">
        <v>574771.67000000004</v>
      </c>
      <c r="BI881" s="52">
        <v>1931357.47</v>
      </c>
      <c r="BJ881" s="52">
        <v>1356585.8</v>
      </c>
      <c r="BK881" s="56">
        <v>43891</v>
      </c>
      <c r="BL881" s="57">
        <v>1931357.47</v>
      </c>
      <c r="BM881" s="47">
        <v>0</v>
      </c>
      <c r="BN881" s="9"/>
      <c r="BO881" s="9"/>
      <c r="BP881" s="9"/>
      <c r="BQ881" s="9"/>
      <c r="BR881" s="9"/>
      <c r="BS881" s="9"/>
      <c r="BT881" s="9"/>
      <c r="BU881" s="9"/>
      <c r="BV881" s="9"/>
      <c r="BW881" s="9"/>
    </row>
    <row r="882" spans="1:75" ht="64.5" hidden="1" outlineLevel="2" x14ac:dyDescent="0.25">
      <c r="A882" s="43" t="s">
        <v>795</v>
      </c>
      <c r="B882" s="110" t="s">
        <v>908</v>
      </c>
      <c r="C882" s="45">
        <v>2020</v>
      </c>
      <c r="D882" s="110" t="s">
        <v>79</v>
      </c>
      <c r="E882" s="47">
        <v>1364094.96</v>
      </c>
      <c r="F882" s="47">
        <v>0</v>
      </c>
      <c r="G882" s="47">
        <v>0</v>
      </c>
      <c r="H882" s="47">
        <v>0</v>
      </c>
      <c r="I882" s="47">
        <v>0</v>
      </c>
      <c r="J882" s="47">
        <v>0</v>
      </c>
      <c r="K882" s="47">
        <v>0</v>
      </c>
      <c r="L882" s="47">
        <v>0</v>
      </c>
      <c r="M882" s="47">
        <v>0</v>
      </c>
      <c r="N882" s="47">
        <v>0</v>
      </c>
      <c r="O882" s="47">
        <v>0</v>
      </c>
      <c r="P882" s="47">
        <v>0</v>
      </c>
      <c r="Q882" s="47">
        <v>0</v>
      </c>
      <c r="R882" s="47">
        <v>0</v>
      </c>
      <c r="S882" s="47">
        <v>0</v>
      </c>
      <c r="T882" s="47">
        <v>0</v>
      </c>
      <c r="U882" s="47">
        <v>0</v>
      </c>
      <c r="V882" s="47">
        <v>0</v>
      </c>
      <c r="W882" s="47">
        <v>0</v>
      </c>
      <c r="X882" s="47">
        <v>0</v>
      </c>
      <c r="Y882" s="48">
        <v>1364094.96</v>
      </c>
      <c r="Z882" s="58">
        <v>6925.31</v>
      </c>
      <c r="AA882" s="50">
        <v>6615.89</v>
      </c>
      <c r="AB882" s="50">
        <v>0</v>
      </c>
      <c r="AC882" s="50">
        <v>0</v>
      </c>
      <c r="AD882" s="50">
        <v>0</v>
      </c>
      <c r="AE882" s="50">
        <v>0</v>
      </c>
      <c r="AF882" s="50">
        <v>0</v>
      </c>
      <c r="AG882" s="49">
        <v>6615.89</v>
      </c>
      <c r="AH882" s="51" t="s">
        <v>918</v>
      </c>
      <c r="AI882" s="51" t="s">
        <v>74</v>
      </c>
      <c r="AJ882" s="51" t="s">
        <v>74</v>
      </c>
      <c r="AK882" s="51" t="s">
        <v>74</v>
      </c>
      <c r="AL882" s="51" t="s">
        <v>74</v>
      </c>
      <c r="AM882" s="51" t="s">
        <v>74</v>
      </c>
      <c r="AN882" s="52">
        <v>0</v>
      </c>
      <c r="AO882" s="52">
        <v>0</v>
      </c>
      <c r="AP882" s="52">
        <v>0</v>
      </c>
      <c r="AQ882" s="52">
        <v>0</v>
      </c>
      <c r="AR882" s="52">
        <v>0</v>
      </c>
      <c r="AS882" s="52">
        <v>0</v>
      </c>
      <c r="AT882" s="53" t="s">
        <v>74</v>
      </c>
      <c r="AU882" s="52">
        <v>0</v>
      </c>
      <c r="AV882" s="52"/>
      <c r="AW882" s="52">
        <v>0</v>
      </c>
      <c r="AX882" s="52"/>
      <c r="AY882" s="52"/>
      <c r="AZ882" s="52">
        <v>0</v>
      </c>
      <c r="BA882" s="52">
        <v>0</v>
      </c>
      <c r="BB882" s="54" t="s">
        <v>74</v>
      </c>
      <c r="BC882" s="53" t="s">
        <v>74</v>
      </c>
      <c r="BD882" s="55" t="s">
        <v>74</v>
      </c>
      <c r="BE882" s="55" t="s">
        <v>74</v>
      </c>
      <c r="BF882" s="55" t="s">
        <v>74</v>
      </c>
      <c r="BG882" s="55" t="s">
        <v>74</v>
      </c>
      <c r="BH882" s="52">
        <v>0</v>
      </c>
      <c r="BI882" s="52">
        <v>1357479.07</v>
      </c>
      <c r="BJ882" s="52">
        <v>1357479.07</v>
      </c>
      <c r="BK882" s="56">
        <v>43922</v>
      </c>
      <c r="BL882" s="57">
        <v>1357479.07</v>
      </c>
      <c r="BM882" s="47">
        <v>0</v>
      </c>
      <c r="BN882" s="9"/>
      <c r="BO882" s="9"/>
      <c r="BP882" s="9"/>
      <c r="BQ882" s="9"/>
      <c r="BR882" s="9"/>
      <c r="BS882" s="9"/>
      <c r="BT882" s="9"/>
      <c r="BU882" s="9"/>
      <c r="BV882" s="9"/>
      <c r="BW882" s="9"/>
    </row>
    <row r="883" spans="1:75" ht="64.5" hidden="1" outlineLevel="2" x14ac:dyDescent="0.25">
      <c r="A883" s="43" t="s">
        <v>795</v>
      </c>
      <c r="B883" s="110" t="s">
        <v>908</v>
      </c>
      <c r="C883" s="45">
        <v>2020</v>
      </c>
      <c r="D883" s="110" t="s">
        <v>81</v>
      </c>
      <c r="E883" s="47">
        <v>1364094.96</v>
      </c>
      <c r="F883" s="47">
        <v>0</v>
      </c>
      <c r="G883" s="47">
        <v>0</v>
      </c>
      <c r="H883" s="47">
        <v>0</v>
      </c>
      <c r="I883" s="47">
        <v>0</v>
      </c>
      <c r="J883" s="47">
        <v>0</v>
      </c>
      <c r="K883" s="47">
        <v>0</v>
      </c>
      <c r="L883" s="47">
        <v>0</v>
      </c>
      <c r="M883" s="47">
        <v>0</v>
      </c>
      <c r="N883" s="47">
        <v>0</v>
      </c>
      <c r="O883" s="47">
        <v>0</v>
      </c>
      <c r="P883" s="47">
        <v>0</v>
      </c>
      <c r="Q883" s="47">
        <v>0</v>
      </c>
      <c r="R883" s="47">
        <v>0</v>
      </c>
      <c r="S883" s="47">
        <v>0</v>
      </c>
      <c r="T883" s="47">
        <v>0</v>
      </c>
      <c r="U883" s="47">
        <v>0</v>
      </c>
      <c r="V883" s="47">
        <v>0</v>
      </c>
      <c r="W883" s="47">
        <v>0</v>
      </c>
      <c r="X883" s="47">
        <v>0</v>
      </c>
      <c r="Y883" s="48">
        <v>1364094.96</v>
      </c>
      <c r="Z883" s="66">
        <v>6878.63</v>
      </c>
      <c r="AA883" s="50">
        <v>6615.89</v>
      </c>
      <c r="AB883" s="50">
        <v>309.42</v>
      </c>
      <c r="AC883" s="50">
        <v>0</v>
      </c>
      <c r="AD883" s="50">
        <v>0</v>
      </c>
      <c r="AE883" s="50">
        <v>0</v>
      </c>
      <c r="AF883" s="50">
        <v>0</v>
      </c>
      <c r="AG883" s="49">
        <v>6925.31</v>
      </c>
      <c r="AH883" s="51" t="s">
        <v>919</v>
      </c>
      <c r="AI883" s="51" t="s">
        <v>389</v>
      </c>
      <c r="AJ883" s="51" t="s">
        <v>74</v>
      </c>
      <c r="AK883" s="51" t="s">
        <v>74</v>
      </c>
      <c r="AL883" s="51" t="s">
        <v>74</v>
      </c>
      <c r="AM883" s="51" t="s">
        <v>74</v>
      </c>
      <c r="AN883" s="52">
        <v>0</v>
      </c>
      <c r="AO883" s="52">
        <v>0</v>
      </c>
      <c r="AP883" s="52">
        <v>0</v>
      </c>
      <c r="AQ883" s="52">
        <v>0</v>
      </c>
      <c r="AR883" s="52">
        <v>0</v>
      </c>
      <c r="AS883" s="52">
        <v>0</v>
      </c>
      <c r="AT883" s="53" t="s">
        <v>74</v>
      </c>
      <c r="AU883" s="52">
        <v>0</v>
      </c>
      <c r="AV883" s="52"/>
      <c r="AW883" s="52">
        <v>0</v>
      </c>
      <c r="AX883" s="52"/>
      <c r="AY883" s="52"/>
      <c r="AZ883" s="52">
        <v>0</v>
      </c>
      <c r="BA883" s="52">
        <v>0</v>
      </c>
      <c r="BB883" s="54" t="s">
        <v>74</v>
      </c>
      <c r="BC883" s="53" t="s">
        <v>74</v>
      </c>
      <c r="BD883" s="55" t="s">
        <v>74</v>
      </c>
      <c r="BE883" s="55" t="s">
        <v>74</v>
      </c>
      <c r="BF883" s="55" t="s">
        <v>74</v>
      </c>
      <c r="BG883" s="55" t="s">
        <v>74</v>
      </c>
      <c r="BH883" s="52">
        <v>0</v>
      </c>
      <c r="BI883" s="52">
        <v>1357169.65</v>
      </c>
      <c r="BJ883" s="52">
        <v>1357169.65</v>
      </c>
      <c r="BK883" s="56">
        <v>43952</v>
      </c>
      <c r="BL883" s="57">
        <v>1357169.65</v>
      </c>
      <c r="BM883" s="47">
        <v>0</v>
      </c>
      <c r="BN883" s="9"/>
      <c r="BO883" s="9"/>
      <c r="BP883" s="9"/>
      <c r="BQ883" s="9"/>
      <c r="BR883" s="9"/>
      <c r="BS883" s="9"/>
      <c r="BT883" s="9"/>
      <c r="BU883" s="9"/>
      <c r="BV883" s="9"/>
      <c r="BW883" s="9"/>
    </row>
    <row r="884" spans="1:75" ht="115.5" hidden="1" outlineLevel="2" x14ac:dyDescent="0.25">
      <c r="A884" s="43" t="s">
        <v>795</v>
      </c>
      <c r="B884" s="110" t="s">
        <v>908</v>
      </c>
      <c r="C884" s="45">
        <v>2020</v>
      </c>
      <c r="D884" s="110" t="s">
        <v>83</v>
      </c>
      <c r="E884" s="47">
        <v>1364094.96</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1364094.96</v>
      </c>
      <c r="Z884" s="58">
        <v>12075.07</v>
      </c>
      <c r="AA884" s="50">
        <v>6615.89</v>
      </c>
      <c r="AB884" s="50">
        <v>262.74</v>
      </c>
      <c r="AC884" s="50">
        <v>0</v>
      </c>
      <c r="AD884" s="62">
        <v>291131.12</v>
      </c>
      <c r="AE884" s="50">
        <v>0</v>
      </c>
      <c r="AF884" s="50">
        <v>0</v>
      </c>
      <c r="AG884" s="49">
        <v>298009.75</v>
      </c>
      <c r="AH884" s="51" t="s">
        <v>920</v>
      </c>
      <c r="AI884" s="51" t="s">
        <v>921</v>
      </c>
      <c r="AJ884" s="51" t="s">
        <v>74</v>
      </c>
      <c r="AK884" s="51" t="s">
        <v>162</v>
      </c>
      <c r="AL884" s="51" t="s">
        <v>74</v>
      </c>
      <c r="AM884" s="51" t="s">
        <v>74</v>
      </c>
      <c r="AN884" s="52"/>
      <c r="AO884" s="52">
        <v>0</v>
      </c>
      <c r="AP884" s="52"/>
      <c r="AQ884" s="52"/>
      <c r="AR884" s="52"/>
      <c r="AS884" s="52">
        <v>0</v>
      </c>
      <c r="AT884" s="53" t="s">
        <v>74</v>
      </c>
      <c r="AU884" s="114">
        <v>65120.800000000003</v>
      </c>
      <c r="AV884" s="52"/>
      <c r="AW884" s="52">
        <v>0</v>
      </c>
      <c r="AX884" s="52"/>
      <c r="AY884" s="52"/>
      <c r="AZ884" s="52">
        <v>0</v>
      </c>
      <c r="BA884" s="52">
        <v>65120.800000000003</v>
      </c>
      <c r="BB884" s="55" t="s">
        <v>922</v>
      </c>
      <c r="BC884" s="51" t="s">
        <v>74</v>
      </c>
      <c r="BD884" s="54" t="s">
        <v>74</v>
      </c>
      <c r="BE884" s="54" t="s">
        <v>74</v>
      </c>
      <c r="BF884" s="54" t="s">
        <v>74</v>
      </c>
      <c r="BG884" s="54" t="s">
        <v>74</v>
      </c>
      <c r="BH884" s="52">
        <v>65120.800000000003</v>
      </c>
      <c r="BI884" s="52">
        <v>1131206.01</v>
      </c>
      <c r="BJ884" s="52">
        <v>1066085.21</v>
      </c>
      <c r="BK884" s="56">
        <v>43983</v>
      </c>
      <c r="BL884" s="57">
        <v>1131206.01</v>
      </c>
      <c r="BM884" s="47">
        <v>0</v>
      </c>
      <c r="BN884" s="9"/>
      <c r="BO884" s="9"/>
      <c r="BP884" s="9"/>
      <c r="BQ884" s="9"/>
      <c r="BR884" s="9"/>
      <c r="BS884" s="9"/>
      <c r="BT884" s="9"/>
      <c r="BU884" s="9"/>
      <c r="BV884" s="9"/>
      <c r="BW884" s="9"/>
    </row>
    <row r="885" spans="1:75" ht="102.75" hidden="1" outlineLevel="2" x14ac:dyDescent="0.25">
      <c r="A885" s="43" t="s">
        <v>795</v>
      </c>
      <c r="B885" s="110" t="s">
        <v>908</v>
      </c>
      <c r="C885" s="45">
        <v>2020</v>
      </c>
      <c r="D885" s="110" t="s">
        <v>84</v>
      </c>
      <c r="E885" s="47">
        <v>1364094.96</v>
      </c>
      <c r="F885" s="47">
        <v>0</v>
      </c>
      <c r="G885" s="47">
        <v>0</v>
      </c>
      <c r="H885" s="47">
        <v>0</v>
      </c>
      <c r="I885" s="47">
        <v>0</v>
      </c>
      <c r="J885" s="47">
        <v>0</v>
      </c>
      <c r="K885" s="47">
        <v>0</v>
      </c>
      <c r="L885" s="47">
        <v>0</v>
      </c>
      <c r="M885" s="47">
        <v>0</v>
      </c>
      <c r="N885" s="47">
        <v>0</v>
      </c>
      <c r="O885" s="47">
        <v>0</v>
      </c>
      <c r="P885" s="47">
        <v>0</v>
      </c>
      <c r="Q885" s="47">
        <v>0</v>
      </c>
      <c r="R885" s="47">
        <v>0</v>
      </c>
      <c r="S885" s="47">
        <v>0</v>
      </c>
      <c r="T885" s="47">
        <v>0</v>
      </c>
      <c r="U885" s="47">
        <v>0</v>
      </c>
      <c r="V885" s="47">
        <v>0</v>
      </c>
      <c r="W885" s="47">
        <v>0</v>
      </c>
      <c r="X885" s="47">
        <v>0</v>
      </c>
      <c r="Y885" s="48">
        <v>1364094.96</v>
      </c>
      <c r="Z885" s="58">
        <v>6998.65</v>
      </c>
      <c r="AA885" s="50">
        <v>6615.89</v>
      </c>
      <c r="AB885" s="50">
        <v>5459.18</v>
      </c>
      <c r="AC885" s="50">
        <v>0</v>
      </c>
      <c r="AD885" s="50">
        <v>0</v>
      </c>
      <c r="AE885" s="50">
        <v>0</v>
      </c>
      <c r="AF885" s="50">
        <v>0</v>
      </c>
      <c r="AG885" s="49">
        <v>12075.07</v>
      </c>
      <c r="AH885" s="51" t="s">
        <v>923</v>
      </c>
      <c r="AI885" s="51" t="s">
        <v>924</v>
      </c>
      <c r="AJ885" s="51" t="s">
        <v>74</v>
      </c>
      <c r="AK885" s="51" t="s">
        <v>74</v>
      </c>
      <c r="AL885" s="51" t="s">
        <v>74</v>
      </c>
      <c r="AM885" s="51" t="s">
        <v>74</v>
      </c>
      <c r="AN885" s="52"/>
      <c r="AO885" s="52">
        <v>0</v>
      </c>
      <c r="AP885" s="52"/>
      <c r="AQ885" s="52"/>
      <c r="AR885" s="52"/>
      <c r="AS885" s="52">
        <v>0</v>
      </c>
      <c r="AT885" s="53" t="s">
        <v>74</v>
      </c>
      <c r="AU885" s="52">
        <v>0</v>
      </c>
      <c r="AV885" s="52"/>
      <c r="AW885" s="114">
        <v>65000</v>
      </c>
      <c r="AX885" s="52"/>
      <c r="AY885" s="52"/>
      <c r="AZ885" s="52">
        <v>0</v>
      </c>
      <c r="BA885" s="52">
        <v>65000</v>
      </c>
      <c r="BB885" s="54" t="s">
        <v>74</v>
      </c>
      <c r="BC885" s="53" t="s">
        <v>74</v>
      </c>
      <c r="BD885" s="55" t="s">
        <v>925</v>
      </c>
      <c r="BE885" s="55" t="s">
        <v>74</v>
      </c>
      <c r="BF885" s="55" t="s">
        <v>74</v>
      </c>
      <c r="BG885" s="55" t="s">
        <v>74</v>
      </c>
      <c r="BH885" s="52">
        <v>65000</v>
      </c>
      <c r="BI885" s="52">
        <v>1417019.89</v>
      </c>
      <c r="BJ885" s="52">
        <v>1352019.89</v>
      </c>
      <c r="BK885" s="56">
        <v>44013</v>
      </c>
      <c r="BL885" s="57">
        <v>1417019.89</v>
      </c>
      <c r="BM885" s="47">
        <v>0</v>
      </c>
      <c r="BN885" s="9"/>
      <c r="BO885" s="9"/>
      <c r="BP885" s="9"/>
      <c r="BQ885" s="9"/>
      <c r="BR885" s="9"/>
      <c r="BS885" s="9"/>
      <c r="BT885" s="9"/>
      <c r="BU885" s="9"/>
      <c r="BV885" s="9"/>
      <c r="BW885" s="9"/>
    </row>
    <row r="886" spans="1:75" ht="64.5" hidden="1" outlineLevel="2" x14ac:dyDescent="0.25">
      <c r="A886" s="43" t="s">
        <v>795</v>
      </c>
      <c r="B886" s="110" t="s">
        <v>908</v>
      </c>
      <c r="C886" s="45">
        <v>2020</v>
      </c>
      <c r="D886" s="110" t="s">
        <v>86</v>
      </c>
      <c r="E886" s="47">
        <v>1364094.96</v>
      </c>
      <c r="F886" s="47">
        <v>0</v>
      </c>
      <c r="G886" s="47">
        <v>0</v>
      </c>
      <c r="H886" s="47">
        <v>0</v>
      </c>
      <c r="I886" s="47">
        <v>0</v>
      </c>
      <c r="J886" s="47">
        <v>0</v>
      </c>
      <c r="K886" s="47">
        <v>0</v>
      </c>
      <c r="L886" s="47">
        <v>0</v>
      </c>
      <c r="M886" s="47">
        <v>0</v>
      </c>
      <c r="N886" s="47">
        <v>0</v>
      </c>
      <c r="O886" s="47">
        <v>0</v>
      </c>
      <c r="P886" s="47">
        <v>0</v>
      </c>
      <c r="Q886" s="47">
        <v>0</v>
      </c>
      <c r="R886" s="47">
        <v>0</v>
      </c>
      <c r="S886" s="47">
        <v>0</v>
      </c>
      <c r="T886" s="47">
        <v>0</v>
      </c>
      <c r="U886" s="47">
        <v>0</v>
      </c>
      <c r="V886" s="47">
        <v>0</v>
      </c>
      <c r="W886" s="47">
        <v>0</v>
      </c>
      <c r="X886" s="47">
        <v>0</v>
      </c>
      <c r="Y886" s="48">
        <v>1364094.96</v>
      </c>
      <c r="Z886" s="65">
        <v>7070.9</v>
      </c>
      <c r="AA886" s="61">
        <v>7070.9</v>
      </c>
      <c r="AB886" s="50">
        <v>382.76</v>
      </c>
      <c r="AC886" s="50">
        <v>0</v>
      </c>
      <c r="AD886" s="62">
        <v>17715.78</v>
      </c>
      <c r="AE886" s="50">
        <v>0</v>
      </c>
      <c r="AF886" s="50">
        <v>0</v>
      </c>
      <c r="AG886" s="49">
        <v>25169.439999999999</v>
      </c>
      <c r="AH886" s="51" t="s">
        <v>104</v>
      </c>
      <c r="AI886" s="51" t="s">
        <v>926</v>
      </c>
      <c r="AJ886" s="51" t="s">
        <v>74</v>
      </c>
      <c r="AK886" s="51" t="s">
        <v>927</v>
      </c>
      <c r="AL886" s="51" t="s">
        <v>74</v>
      </c>
      <c r="AM886" s="51" t="s">
        <v>74</v>
      </c>
      <c r="AN886" s="52">
        <v>0</v>
      </c>
      <c r="AO886" s="52">
        <v>0</v>
      </c>
      <c r="AP886" s="52">
        <v>0</v>
      </c>
      <c r="AQ886" s="52">
        <v>0</v>
      </c>
      <c r="AR886" s="52">
        <v>0</v>
      </c>
      <c r="AS886" s="52">
        <v>0</v>
      </c>
      <c r="AT886" s="53" t="s">
        <v>74</v>
      </c>
      <c r="AU886" s="52">
        <v>0</v>
      </c>
      <c r="AV886" s="52"/>
      <c r="AW886" s="52">
        <v>0</v>
      </c>
      <c r="AX886" s="52"/>
      <c r="AY886" s="52"/>
      <c r="AZ886" s="52">
        <v>0</v>
      </c>
      <c r="BA886" s="52">
        <v>0</v>
      </c>
      <c r="BB886" s="54" t="s">
        <v>74</v>
      </c>
      <c r="BC886" s="53" t="s">
        <v>74</v>
      </c>
      <c r="BD886" s="55" t="s">
        <v>74</v>
      </c>
      <c r="BE886" s="55" t="s">
        <v>74</v>
      </c>
      <c r="BF886" s="55" t="s">
        <v>74</v>
      </c>
      <c r="BG886" s="55" t="s">
        <v>74</v>
      </c>
      <c r="BH886" s="52">
        <v>0</v>
      </c>
      <c r="BI886" s="52">
        <v>1338925.52</v>
      </c>
      <c r="BJ886" s="52">
        <v>1338925.52</v>
      </c>
      <c r="BK886" s="56">
        <v>44044</v>
      </c>
      <c r="BL886" s="63">
        <v>1338925.52</v>
      </c>
      <c r="BM886" s="47">
        <v>0</v>
      </c>
      <c r="BN886" s="9"/>
      <c r="BO886" s="9"/>
      <c r="BP886" s="9"/>
      <c r="BQ886" s="9"/>
      <c r="BR886" s="9"/>
      <c r="BS886" s="9"/>
      <c r="BT886" s="9"/>
      <c r="BU886" s="9"/>
      <c r="BV886" s="9"/>
      <c r="BW886" s="9"/>
    </row>
    <row r="887" spans="1:75" ht="153.75" hidden="1" outlineLevel="2" x14ac:dyDescent="0.25">
      <c r="A887" s="43" t="s">
        <v>795</v>
      </c>
      <c r="B887" s="110" t="s">
        <v>908</v>
      </c>
      <c r="C887" s="45">
        <v>2020</v>
      </c>
      <c r="D887" s="110" t="s">
        <v>88</v>
      </c>
      <c r="E887" s="47">
        <v>1364094.96</v>
      </c>
      <c r="F887" s="134">
        <v>59306.1</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1423401.06</v>
      </c>
      <c r="Z887" s="66">
        <v>6973.43</v>
      </c>
      <c r="AA887" s="62">
        <v>6973.43</v>
      </c>
      <c r="AB887" s="50">
        <v>0</v>
      </c>
      <c r="AC887" s="50">
        <v>0</v>
      </c>
      <c r="AD887" s="62">
        <v>9093.83</v>
      </c>
      <c r="AE887" s="50">
        <v>0</v>
      </c>
      <c r="AF887" s="50">
        <v>0</v>
      </c>
      <c r="AG887" s="49">
        <v>16067.26</v>
      </c>
      <c r="AH887" s="51" t="s">
        <v>104</v>
      </c>
      <c r="AI887" s="51" t="s">
        <v>74</v>
      </c>
      <c r="AJ887" s="51" t="s">
        <v>74</v>
      </c>
      <c r="AK887" s="51" t="s">
        <v>170</v>
      </c>
      <c r="AL887" s="51" t="s">
        <v>74</v>
      </c>
      <c r="AM887" s="51" t="s">
        <v>74</v>
      </c>
      <c r="AN887" s="52"/>
      <c r="AO887" s="52"/>
      <c r="AP887" s="52"/>
      <c r="AQ887" s="52"/>
      <c r="AR887" s="52"/>
      <c r="AS887" s="52">
        <v>0</v>
      </c>
      <c r="AT887" s="53" t="s">
        <v>74</v>
      </c>
      <c r="AU887" s="114">
        <v>454680.1</v>
      </c>
      <c r="AV887" s="52"/>
      <c r="AW887" s="52">
        <v>0</v>
      </c>
      <c r="AX887" s="52"/>
      <c r="AY887" s="52"/>
      <c r="AZ887" s="52">
        <v>0</v>
      </c>
      <c r="BA887" s="52">
        <v>454680.1</v>
      </c>
      <c r="BB887" s="55" t="s">
        <v>928</v>
      </c>
      <c r="BC887" s="51" t="s">
        <v>74</v>
      </c>
      <c r="BD887" s="55" t="s">
        <v>74</v>
      </c>
      <c r="BE887" s="55" t="s">
        <v>74</v>
      </c>
      <c r="BF887" s="55" t="s">
        <v>74</v>
      </c>
      <c r="BG887" s="55" t="s">
        <v>74</v>
      </c>
      <c r="BH887" s="52">
        <v>454680.1</v>
      </c>
      <c r="BI887" s="52">
        <v>1862013.9</v>
      </c>
      <c r="BJ887" s="52">
        <v>1407333.8</v>
      </c>
      <c r="BK887" s="56">
        <v>44075</v>
      </c>
      <c r="BL887" s="63">
        <v>1862013.9</v>
      </c>
      <c r="BM887" s="47">
        <v>0</v>
      </c>
      <c r="BN887" s="9"/>
      <c r="BO887" s="9"/>
      <c r="BP887" s="9"/>
      <c r="BQ887" s="9"/>
      <c r="BR887" s="9"/>
      <c r="BS887" s="9"/>
      <c r="BT887" s="9"/>
      <c r="BU887" s="9"/>
      <c r="BV887" s="9"/>
      <c r="BW887" s="9"/>
    </row>
    <row r="888" spans="1:75" ht="64.5" hidden="1" outlineLevel="2" x14ac:dyDescent="0.25">
      <c r="A888" s="43" t="s">
        <v>795</v>
      </c>
      <c r="B888" s="110" t="s">
        <v>908</v>
      </c>
      <c r="C888" s="45">
        <v>2020</v>
      </c>
      <c r="D888" s="110" t="s">
        <v>89</v>
      </c>
      <c r="E888" s="47">
        <v>1364094.96</v>
      </c>
      <c r="F888" s="134">
        <v>593061</v>
      </c>
      <c r="G888" s="47">
        <v>0</v>
      </c>
      <c r="H888" s="47">
        <v>0</v>
      </c>
      <c r="I888" s="47">
        <v>0</v>
      </c>
      <c r="J888" s="47">
        <v>0</v>
      </c>
      <c r="K888" s="47">
        <v>0</v>
      </c>
      <c r="L888" s="47">
        <v>0</v>
      </c>
      <c r="M888" s="47">
        <v>0</v>
      </c>
      <c r="N888" s="47">
        <v>0</v>
      </c>
      <c r="O888" s="47">
        <v>0</v>
      </c>
      <c r="P888" s="47">
        <v>0</v>
      </c>
      <c r="Q888" s="47">
        <v>0</v>
      </c>
      <c r="R888" s="47">
        <v>0</v>
      </c>
      <c r="S888" s="47">
        <v>0</v>
      </c>
      <c r="T888" s="47">
        <v>0</v>
      </c>
      <c r="U888" s="47">
        <v>0</v>
      </c>
      <c r="V888" s="47">
        <v>0</v>
      </c>
      <c r="W888" s="47">
        <v>0</v>
      </c>
      <c r="X888" s="47">
        <v>0</v>
      </c>
      <c r="Y888" s="48">
        <v>1957155.96</v>
      </c>
      <c r="Z888" s="66">
        <v>6979.24</v>
      </c>
      <c r="AA888" s="62">
        <v>6979.24</v>
      </c>
      <c r="AB888" s="50">
        <v>0</v>
      </c>
      <c r="AC888" s="50">
        <v>0</v>
      </c>
      <c r="AD888" s="62">
        <v>10048.68</v>
      </c>
      <c r="AE888" s="50">
        <v>174648.16</v>
      </c>
      <c r="AF888" s="50">
        <v>0</v>
      </c>
      <c r="AG888" s="49">
        <v>191676.08</v>
      </c>
      <c r="AH888" s="51" t="s">
        <v>104</v>
      </c>
      <c r="AI888" s="51" t="s">
        <v>74</v>
      </c>
      <c r="AJ888" s="51" t="s">
        <v>74</v>
      </c>
      <c r="AK888" s="51" t="s">
        <v>172</v>
      </c>
      <c r="AL888" s="51" t="s">
        <v>929</v>
      </c>
      <c r="AM888" s="51" t="s">
        <v>74</v>
      </c>
      <c r="AN888" s="52">
        <v>0</v>
      </c>
      <c r="AO888" s="52">
        <v>0</v>
      </c>
      <c r="AP888" s="52">
        <v>0</v>
      </c>
      <c r="AQ888" s="52">
        <v>0</v>
      </c>
      <c r="AR888" s="52">
        <v>0</v>
      </c>
      <c r="AS888" s="52">
        <v>0</v>
      </c>
      <c r="AT888" s="53" t="s">
        <v>74</v>
      </c>
      <c r="AU888" s="52">
        <v>0</v>
      </c>
      <c r="AV888" s="52"/>
      <c r="AW888" s="52">
        <v>0</v>
      </c>
      <c r="AX888" s="52"/>
      <c r="AY888" s="52"/>
      <c r="AZ888" s="52">
        <v>0</v>
      </c>
      <c r="BA888" s="52">
        <v>0</v>
      </c>
      <c r="BB888" s="54" t="s">
        <v>74</v>
      </c>
      <c r="BC888" s="53" t="s">
        <v>74</v>
      </c>
      <c r="BD888" s="55" t="s">
        <v>74</v>
      </c>
      <c r="BE888" s="55" t="s">
        <v>74</v>
      </c>
      <c r="BF888" s="55" t="s">
        <v>74</v>
      </c>
      <c r="BG888" s="55" t="s">
        <v>74</v>
      </c>
      <c r="BH888" s="52">
        <v>0</v>
      </c>
      <c r="BI888" s="52">
        <v>1765479.88</v>
      </c>
      <c r="BJ888" s="52">
        <v>1765479.88</v>
      </c>
      <c r="BK888" s="56">
        <v>44105</v>
      </c>
      <c r="BL888" s="63">
        <v>1765479.88</v>
      </c>
      <c r="BM888" s="47">
        <v>0</v>
      </c>
      <c r="BN888" s="9"/>
      <c r="BO888" s="9"/>
      <c r="BP888" s="9"/>
      <c r="BQ888" s="9"/>
      <c r="BR888" s="9"/>
      <c r="BS888" s="9"/>
      <c r="BT888" s="9"/>
      <c r="BU888" s="9"/>
      <c r="BV888" s="9"/>
      <c r="BW888" s="9"/>
    </row>
    <row r="889" spans="1:75" ht="26.25" hidden="1" outlineLevel="2" x14ac:dyDescent="0.25">
      <c r="A889" s="43" t="s">
        <v>795</v>
      </c>
      <c r="B889" s="110" t="s">
        <v>908</v>
      </c>
      <c r="C889" s="45">
        <v>2020</v>
      </c>
      <c r="D889" s="110" t="s">
        <v>90</v>
      </c>
      <c r="E889" s="47">
        <v>227349.16</v>
      </c>
      <c r="F889" s="47">
        <v>0</v>
      </c>
      <c r="G889" s="47">
        <v>1597219.25</v>
      </c>
      <c r="H889" s="47">
        <v>0</v>
      </c>
      <c r="I889" s="47">
        <v>0</v>
      </c>
      <c r="J889" s="47">
        <v>0</v>
      </c>
      <c r="K889" s="47">
        <v>0</v>
      </c>
      <c r="L889" s="47">
        <v>0</v>
      </c>
      <c r="M889" s="47">
        <v>0</v>
      </c>
      <c r="N889" s="47">
        <v>0</v>
      </c>
      <c r="O889" s="47">
        <v>0</v>
      </c>
      <c r="P889" s="47">
        <v>0</v>
      </c>
      <c r="Q889" s="47">
        <v>0</v>
      </c>
      <c r="R889" s="47">
        <v>0</v>
      </c>
      <c r="S889" s="47">
        <v>0</v>
      </c>
      <c r="T889" s="47">
        <v>0</v>
      </c>
      <c r="U889" s="47">
        <v>0</v>
      </c>
      <c r="V889" s="47">
        <v>0</v>
      </c>
      <c r="W889" s="47">
        <v>0</v>
      </c>
      <c r="X889" s="47">
        <v>0</v>
      </c>
      <c r="Y889" s="48">
        <v>1824568.41</v>
      </c>
      <c r="Z889" s="58">
        <v>6982.29</v>
      </c>
      <c r="AA889" s="50">
        <v>6982.29</v>
      </c>
      <c r="AB889" s="50">
        <v>0</v>
      </c>
      <c r="AC889" s="50">
        <v>0</v>
      </c>
      <c r="AD889" s="62">
        <v>11903.84</v>
      </c>
      <c r="AE889" s="50">
        <v>0</v>
      </c>
      <c r="AF889" s="50">
        <v>0</v>
      </c>
      <c r="AG889" s="49">
        <v>18886.13</v>
      </c>
      <c r="AH889" s="51" t="s">
        <v>104</v>
      </c>
      <c r="AI889" s="51" t="s">
        <v>74</v>
      </c>
      <c r="AJ889" s="51" t="s">
        <v>74</v>
      </c>
      <c r="AK889" s="51" t="s">
        <v>175</v>
      </c>
      <c r="AL889" s="51" t="s">
        <v>74</v>
      </c>
      <c r="AM889" s="51" t="s">
        <v>74</v>
      </c>
      <c r="AN889" s="52">
        <v>0</v>
      </c>
      <c r="AO889" s="52">
        <v>0</v>
      </c>
      <c r="AP889" s="52">
        <v>0</v>
      </c>
      <c r="AQ889" s="52">
        <v>0</v>
      </c>
      <c r="AR889" s="52">
        <v>0</v>
      </c>
      <c r="AS889" s="52">
        <v>0</v>
      </c>
      <c r="AT889" s="53" t="s">
        <v>74</v>
      </c>
      <c r="AU889" s="52">
        <v>0</v>
      </c>
      <c r="AV889" s="52"/>
      <c r="AW889" s="52">
        <v>0</v>
      </c>
      <c r="AX889" s="52"/>
      <c r="AY889" s="52"/>
      <c r="AZ889" s="52">
        <v>0</v>
      </c>
      <c r="BA889" s="52">
        <v>0</v>
      </c>
      <c r="BB889" s="54" t="s">
        <v>74</v>
      </c>
      <c r="BC889" s="53" t="s">
        <v>74</v>
      </c>
      <c r="BD889" s="55" t="s">
        <v>74</v>
      </c>
      <c r="BE889" s="55" t="s">
        <v>74</v>
      </c>
      <c r="BF889" s="55" t="s">
        <v>74</v>
      </c>
      <c r="BG889" s="55" t="s">
        <v>74</v>
      </c>
      <c r="BH889" s="52">
        <v>0</v>
      </c>
      <c r="BI889" s="52">
        <v>1805682.28</v>
      </c>
      <c r="BJ889" s="52">
        <v>1805682.28</v>
      </c>
      <c r="BK889" s="56">
        <v>44136</v>
      </c>
      <c r="BL889" s="63">
        <v>1805682.28</v>
      </c>
      <c r="BM889" s="47">
        <v>0</v>
      </c>
      <c r="BN889" s="9"/>
      <c r="BO889" s="9"/>
      <c r="BP889" s="9"/>
      <c r="BQ889" s="9"/>
      <c r="BR889" s="9"/>
      <c r="BS889" s="9"/>
      <c r="BT889" s="9"/>
      <c r="BU889" s="9"/>
      <c r="BV889" s="9"/>
      <c r="BW889" s="9"/>
    </row>
    <row r="890" spans="1:75" ht="90" hidden="1" outlineLevel="2" x14ac:dyDescent="0.25">
      <c r="A890" s="43" t="s">
        <v>795</v>
      </c>
      <c r="B890" s="110" t="s">
        <v>908</v>
      </c>
      <c r="C890" s="45">
        <v>2020</v>
      </c>
      <c r="D890" s="110" t="s">
        <v>93</v>
      </c>
      <c r="E890" s="47">
        <v>0</v>
      </c>
      <c r="F890" s="47">
        <v>0</v>
      </c>
      <c r="G890" s="47">
        <v>1916663.1</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1916663.1</v>
      </c>
      <c r="Z890" s="115">
        <v>6984.45</v>
      </c>
      <c r="AA890" s="50">
        <v>6984.45</v>
      </c>
      <c r="AB890" s="50">
        <v>0</v>
      </c>
      <c r="AC890" s="50">
        <v>0</v>
      </c>
      <c r="AD890" s="62">
        <v>22391.54</v>
      </c>
      <c r="AE890" s="50">
        <v>0</v>
      </c>
      <c r="AF890" s="50">
        <v>0</v>
      </c>
      <c r="AG890" s="49">
        <v>29375.99</v>
      </c>
      <c r="AH890" s="51" t="s">
        <v>104</v>
      </c>
      <c r="AI890" s="51" t="s">
        <v>74</v>
      </c>
      <c r="AJ890" s="51" t="s">
        <v>74</v>
      </c>
      <c r="AK890" s="51" t="s">
        <v>930</v>
      </c>
      <c r="AL890" s="51" t="s">
        <v>74</v>
      </c>
      <c r="AM890" s="51" t="s">
        <v>74</v>
      </c>
      <c r="AN890" s="52">
        <v>0</v>
      </c>
      <c r="AO890" s="52">
        <v>0</v>
      </c>
      <c r="AP890" s="52">
        <v>0</v>
      </c>
      <c r="AQ890" s="52">
        <v>0</v>
      </c>
      <c r="AR890" s="52">
        <v>0</v>
      </c>
      <c r="AS890" s="52">
        <v>0</v>
      </c>
      <c r="AT890" s="53" t="s">
        <v>74</v>
      </c>
      <c r="AU890" s="52">
        <v>0</v>
      </c>
      <c r="AV890" s="52"/>
      <c r="AW890" s="52">
        <v>0</v>
      </c>
      <c r="AX890" s="52"/>
      <c r="AY890" s="52"/>
      <c r="AZ890" s="52">
        <v>0</v>
      </c>
      <c r="BA890" s="52">
        <v>0</v>
      </c>
      <c r="BB890" s="54" t="s">
        <v>74</v>
      </c>
      <c r="BC890" s="53" t="s">
        <v>74</v>
      </c>
      <c r="BD890" s="55" t="s">
        <v>74</v>
      </c>
      <c r="BE890" s="55" t="s">
        <v>74</v>
      </c>
      <c r="BF890" s="55" t="s">
        <v>74</v>
      </c>
      <c r="BG890" s="55" t="s">
        <v>74</v>
      </c>
      <c r="BH890" s="52">
        <v>0</v>
      </c>
      <c r="BI890" s="52">
        <v>1887287.11</v>
      </c>
      <c r="BJ890" s="52">
        <v>1887287.11</v>
      </c>
      <c r="BK890" s="56">
        <v>44166</v>
      </c>
      <c r="BL890" s="63">
        <v>1887287.11</v>
      </c>
      <c r="BM890" s="47">
        <v>0</v>
      </c>
      <c r="BN890" s="9"/>
      <c r="BO890" s="9"/>
      <c r="BP890" s="9"/>
      <c r="BQ890" s="9"/>
      <c r="BR890" s="9"/>
      <c r="BS890" s="9"/>
      <c r="BT890" s="9"/>
      <c r="BU890" s="9"/>
      <c r="BV890" s="9"/>
      <c r="BW890" s="9"/>
    </row>
    <row r="891" spans="1:75" ht="38.25" hidden="1" customHeight="1" outlineLevel="2" x14ac:dyDescent="0.25">
      <c r="A891" s="71" t="s">
        <v>795</v>
      </c>
      <c r="B891" s="116" t="s">
        <v>908</v>
      </c>
      <c r="C891" s="73">
        <v>2021</v>
      </c>
      <c r="D891" s="116" t="s">
        <v>73</v>
      </c>
      <c r="E891" s="75">
        <v>0</v>
      </c>
      <c r="F891" s="75">
        <v>0</v>
      </c>
      <c r="G891" s="75">
        <v>2155383.96</v>
      </c>
      <c r="H891" s="75">
        <v>0</v>
      </c>
      <c r="I891" s="75">
        <v>0</v>
      </c>
      <c r="J891" s="75">
        <v>0</v>
      </c>
      <c r="K891" s="75">
        <v>0</v>
      </c>
      <c r="L891" s="75">
        <v>0</v>
      </c>
      <c r="M891" s="75">
        <v>0</v>
      </c>
      <c r="N891" s="75">
        <v>0</v>
      </c>
      <c r="O891" s="75">
        <v>0</v>
      </c>
      <c r="P891" s="75">
        <v>0</v>
      </c>
      <c r="Q891" s="75">
        <v>0</v>
      </c>
      <c r="R891" s="75">
        <v>0</v>
      </c>
      <c r="S891" s="75">
        <v>0</v>
      </c>
      <c r="T891" s="75">
        <v>0</v>
      </c>
      <c r="U891" s="75">
        <v>0</v>
      </c>
      <c r="V891" s="75">
        <v>0</v>
      </c>
      <c r="W891" s="75">
        <v>0</v>
      </c>
      <c r="X891" s="75">
        <v>0</v>
      </c>
      <c r="Y891" s="76">
        <f>SUM(E891:X891)</f>
        <v>2155383.96</v>
      </c>
      <c r="Z891" s="67">
        <v>7664.26</v>
      </c>
      <c r="AA891" s="78">
        <v>7664.26</v>
      </c>
      <c r="AB891" s="79">
        <v>0</v>
      </c>
      <c r="AC891" s="79">
        <v>0</v>
      </c>
      <c r="AD891" s="79">
        <v>0</v>
      </c>
      <c r="AE891" s="79">
        <v>0</v>
      </c>
      <c r="AF891" s="79">
        <v>359230.66</v>
      </c>
      <c r="AG891" s="80">
        <f>SUM(AA891:AF891)</f>
        <v>366894.92</v>
      </c>
      <c r="AH891" s="123" t="s">
        <v>104</v>
      </c>
      <c r="AI891" s="123" t="s">
        <v>74</v>
      </c>
      <c r="AJ891" s="123" t="s">
        <v>74</v>
      </c>
      <c r="AK891" s="123" t="s">
        <v>74</v>
      </c>
      <c r="AL891" s="123" t="s">
        <v>74</v>
      </c>
      <c r="AM891" s="123" t="s">
        <v>892</v>
      </c>
      <c r="AN891" s="82">
        <v>0</v>
      </c>
      <c r="AO891" s="82">
        <v>0</v>
      </c>
      <c r="AP891" s="82">
        <v>0</v>
      </c>
      <c r="AQ891" s="82">
        <v>0</v>
      </c>
      <c r="AR891" s="82">
        <v>0</v>
      </c>
      <c r="AS891" s="82">
        <f>AN891+AO891+AP891+AQ891+AR891</f>
        <v>0</v>
      </c>
      <c r="AT891" s="124" t="s">
        <v>74</v>
      </c>
      <c r="AU891" s="82">
        <v>0</v>
      </c>
      <c r="AV891" s="119">
        <f>1679.92+1694.27+3846.8+3158.51+9868.52+10657.05+4456.71+4857.25+5684.11+1382.65+2620.24+4654.36+15465.2+4165.23+610.83+3697.61+9832.05+2854.25+4075.03+2970.19+1775.07+2498.31+924.55+1382.97+1578.69+2601.98+3300.29+2598.27+630.94+3001.76+4021.98+3563.89+7656.36+10836.47</f>
        <v>144602.31</v>
      </c>
      <c r="AW891" s="82">
        <v>0</v>
      </c>
      <c r="AX891" s="82"/>
      <c r="AY891" s="82"/>
      <c r="AZ891" s="82">
        <v>0</v>
      </c>
      <c r="BA891" s="82">
        <f>AU891+AV891+AW891+AX891+AZ891</f>
        <v>144602.31</v>
      </c>
      <c r="BB891" s="125" t="s">
        <v>74</v>
      </c>
      <c r="BC891" s="124" t="s">
        <v>931</v>
      </c>
      <c r="BD891" s="126" t="s">
        <v>74</v>
      </c>
      <c r="BE891" s="126" t="s">
        <v>74</v>
      </c>
      <c r="BF891" s="126" t="s">
        <v>74</v>
      </c>
      <c r="BG891" s="126" t="s">
        <v>74</v>
      </c>
      <c r="BH891" s="82">
        <f>AS891+BA891</f>
        <v>144602.31</v>
      </c>
      <c r="BI891" s="82">
        <f>Y891-AG891+BH891</f>
        <v>1933091.35</v>
      </c>
      <c r="BJ891" s="52">
        <v>1788489.04</v>
      </c>
      <c r="BK891" s="56">
        <v>44197</v>
      </c>
      <c r="BL891" s="83">
        <f>297277.92+1679.92+1694.27+3846.8+3158.51+9868.52+10657.05+4456.71+4857.25+5684.11+1382.65+2620.24+4654.36+15465.2+4165.23+610.83+3697.61+9832.05+2854.25+4075.03+2970.19+1775.07+2498.31+924.55+1382.97+1578.69+2601.98+3300.29+2598.27+630.94+3001.76+4021.98+3563.89+7656.36+10836.47</f>
        <v>441880.22999999992</v>
      </c>
      <c r="BM891" s="75">
        <f>BI891-BL891</f>
        <v>1491211.12</v>
      </c>
      <c r="BN891" s="9"/>
      <c r="BO891" s="9"/>
      <c r="BP891" s="9"/>
      <c r="BQ891" s="9"/>
      <c r="BR891" s="9"/>
      <c r="BS891" s="9"/>
      <c r="BT891" s="9"/>
      <c r="BU891" s="9"/>
      <c r="BV891" s="9"/>
      <c r="BW891" s="9"/>
    </row>
    <row r="892" spans="1:75" ht="38.25" hidden="1" customHeight="1" outlineLevel="1" collapsed="1" x14ac:dyDescent="0.25">
      <c r="A892" s="84"/>
      <c r="B892" s="120" t="s">
        <v>932</v>
      </c>
      <c r="C892" s="86"/>
      <c r="D892" s="120"/>
      <c r="E892" s="88"/>
      <c r="F892" s="88"/>
      <c r="G892" s="88"/>
      <c r="H892" s="88"/>
      <c r="I892" s="88"/>
      <c r="J892" s="88"/>
      <c r="K892" s="88"/>
      <c r="L892" s="88"/>
      <c r="M892" s="88"/>
      <c r="N892" s="88"/>
      <c r="O892" s="88"/>
      <c r="P892" s="88"/>
      <c r="Q892" s="88"/>
      <c r="R892" s="88"/>
      <c r="S892" s="88"/>
      <c r="T892" s="88"/>
      <c r="U892" s="88"/>
      <c r="V892" s="88"/>
      <c r="W892" s="88"/>
      <c r="X892" s="88"/>
      <c r="Y892" s="89">
        <f t="shared" ref="Y892:AG892" si="141">SUBTOTAL(9,Y853:Y891)</f>
        <v>0</v>
      </c>
      <c r="Z892" s="90">
        <f t="shared" si="141"/>
        <v>0</v>
      </c>
      <c r="AA892" s="90">
        <f t="shared" si="141"/>
        <v>0</v>
      </c>
      <c r="AB892" s="89">
        <f t="shared" si="141"/>
        <v>0</v>
      </c>
      <c r="AC892" s="89">
        <f t="shared" si="141"/>
        <v>0</v>
      </c>
      <c r="AD892" s="89">
        <f t="shared" si="141"/>
        <v>0</v>
      </c>
      <c r="AE892" s="89">
        <f t="shared" si="141"/>
        <v>0</v>
      </c>
      <c r="AF892" s="89">
        <f t="shared" si="141"/>
        <v>0</v>
      </c>
      <c r="AG892" s="89">
        <f t="shared" si="141"/>
        <v>0</v>
      </c>
      <c r="AH892" s="129"/>
      <c r="AI892" s="129"/>
      <c r="AJ892" s="129"/>
      <c r="AK892" s="129"/>
      <c r="AL892" s="129"/>
      <c r="AM892" s="129"/>
      <c r="AN892" s="92">
        <f t="shared" ref="AN892:AS892" si="142">SUBTOTAL(9,AN853:AN891)</f>
        <v>0</v>
      </c>
      <c r="AO892" s="92">
        <f t="shared" si="142"/>
        <v>0</v>
      </c>
      <c r="AP892" s="92">
        <f t="shared" si="142"/>
        <v>0</v>
      </c>
      <c r="AQ892" s="92">
        <f t="shared" si="142"/>
        <v>0</v>
      </c>
      <c r="AR892" s="92">
        <f t="shared" si="142"/>
        <v>0</v>
      </c>
      <c r="AS892" s="92">
        <f t="shared" si="142"/>
        <v>0</v>
      </c>
      <c r="AT892" s="130"/>
      <c r="AU892" s="92">
        <f t="shared" ref="AU892:BA892" si="143">SUBTOTAL(9,AU853:AU891)</f>
        <v>0</v>
      </c>
      <c r="AV892" s="122">
        <f t="shared" si="143"/>
        <v>0</v>
      </c>
      <c r="AW892" s="92">
        <f t="shared" si="143"/>
        <v>0</v>
      </c>
      <c r="AX892" s="92">
        <f t="shared" si="143"/>
        <v>0</v>
      </c>
      <c r="AY892" s="92">
        <f t="shared" si="143"/>
        <v>0</v>
      </c>
      <c r="AZ892" s="92">
        <f t="shared" si="143"/>
        <v>0</v>
      </c>
      <c r="BA892" s="92">
        <f t="shared" si="143"/>
        <v>0</v>
      </c>
      <c r="BB892" s="131"/>
      <c r="BC892" s="130"/>
      <c r="BD892" s="132"/>
      <c r="BE892" s="132"/>
      <c r="BF892" s="132"/>
      <c r="BG892" s="132"/>
      <c r="BH892" s="92">
        <f>SUBTOTAL(9,BH853:BH891)</f>
        <v>0</v>
      </c>
      <c r="BI892" s="92">
        <f>SUBTOTAL(9,BI853:BI891)</f>
        <v>0</v>
      </c>
      <c r="BJ892" s="93"/>
      <c r="BK892" s="94"/>
      <c r="BL892" s="95">
        <f>SUBTOTAL(9,BL853:BL891)</f>
        <v>0</v>
      </c>
      <c r="BM892" s="88">
        <f>SUBTOTAL(9,BM853:BM891)</f>
        <v>0</v>
      </c>
      <c r="BN892" s="9"/>
      <c r="BO892" s="9"/>
      <c r="BP892" s="9"/>
      <c r="BQ892" s="9"/>
      <c r="BR892" s="9"/>
      <c r="BS892" s="9"/>
      <c r="BT892" s="9"/>
      <c r="BU892" s="9"/>
      <c r="BV892" s="9"/>
      <c r="BW892" s="9"/>
    </row>
    <row r="893" spans="1:75" hidden="1" outlineLevel="2" x14ac:dyDescent="0.25">
      <c r="A893" s="96" t="s">
        <v>470</v>
      </c>
      <c r="B893" s="97" t="s">
        <v>933</v>
      </c>
      <c r="C893" s="98">
        <v>2021</v>
      </c>
      <c r="D893" s="97" t="s">
        <v>73</v>
      </c>
      <c r="E893" s="100"/>
      <c r="F893" s="100">
        <v>0</v>
      </c>
      <c r="G893" s="100">
        <v>0</v>
      </c>
      <c r="H893" s="100">
        <v>0</v>
      </c>
      <c r="I893" s="100">
        <v>0</v>
      </c>
      <c r="J893" s="100">
        <v>0</v>
      </c>
      <c r="K893" s="100">
        <v>0</v>
      </c>
      <c r="L893" s="100">
        <v>0</v>
      </c>
      <c r="M893" s="100">
        <v>0</v>
      </c>
      <c r="N893" s="100">
        <v>0</v>
      </c>
      <c r="O893" s="100">
        <v>0</v>
      </c>
      <c r="P893" s="100">
        <v>0</v>
      </c>
      <c r="Q893" s="100">
        <v>0</v>
      </c>
      <c r="R893" s="100">
        <v>0</v>
      </c>
      <c r="S893" s="100">
        <v>0</v>
      </c>
      <c r="T893" s="100">
        <v>0</v>
      </c>
      <c r="U893" s="100">
        <v>0</v>
      </c>
      <c r="V893" s="100">
        <v>0</v>
      </c>
      <c r="W893" s="100">
        <v>0</v>
      </c>
      <c r="X893" s="100">
        <v>0</v>
      </c>
      <c r="Y893" s="101">
        <f t="shared" ref="Y893:Y901" si="144">SUM(E893:X893)</f>
        <v>0</v>
      </c>
      <c r="Z893" s="133"/>
      <c r="AA893" s="103"/>
      <c r="AB893" s="103"/>
      <c r="AC893" s="103"/>
      <c r="AD893" s="103"/>
      <c r="AE893" s="103"/>
      <c r="AF893" s="103"/>
      <c r="AG893" s="102">
        <f t="shared" ref="AG893:AG901" si="145">SUM(AA893:AF893)</f>
        <v>0</v>
      </c>
      <c r="AH893" s="104" t="s">
        <v>74</v>
      </c>
      <c r="AI893" s="104" t="s">
        <v>74</v>
      </c>
      <c r="AJ893" s="104" t="s">
        <v>74</v>
      </c>
      <c r="AK893" s="104" t="s">
        <v>74</v>
      </c>
      <c r="AL893" s="104" t="s">
        <v>74</v>
      </c>
      <c r="AM893" s="104" t="s">
        <v>74</v>
      </c>
      <c r="AN893" s="105">
        <v>0</v>
      </c>
      <c r="AO893" s="105">
        <v>0</v>
      </c>
      <c r="AP893" s="105">
        <v>0</v>
      </c>
      <c r="AQ893" s="105">
        <v>0</v>
      </c>
      <c r="AR893" s="105">
        <v>0</v>
      </c>
      <c r="AS893" s="105">
        <f t="shared" ref="AS893:AS901" si="146">AN893+AO893+AP893+AQ893+AR893</f>
        <v>0</v>
      </c>
      <c r="AT893" s="106" t="s">
        <v>74</v>
      </c>
      <c r="AU893" s="105">
        <v>0</v>
      </c>
      <c r="AV893" s="105"/>
      <c r="AW893" s="105">
        <v>0</v>
      </c>
      <c r="AX893" s="202"/>
      <c r="AY893" s="202"/>
      <c r="AZ893" s="105">
        <v>0</v>
      </c>
      <c r="BA893" s="105">
        <f t="shared" ref="BA893:BA901" si="147">AU893+AW893+AX893+AZ893</f>
        <v>0</v>
      </c>
      <c r="BB893" s="107" t="s">
        <v>74</v>
      </c>
      <c r="BC893" s="106" t="s">
        <v>74</v>
      </c>
      <c r="BD893" s="108" t="s">
        <v>74</v>
      </c>
      <c r="BE893" s="108" t="s">
        <v>74</v>
      </c>
      <c r="BF893" s="108" t="s">
        <v>74</v>
      </c>
      <c r="BG893" s="108" t="s">
        <v>74</v>
      </c>
      <c r="BH893" s="105">
        <f t="shared" ref="BH893:BH901" si="148">AS893+BA893</f>
        <v>0</v>
      </c>
      <c r="BI893" s="105">
        <f t="shared" ref="BI893:BI901" si="149">Y893-AG893+BH893</f>
        <v>0</v>
      </c>
      <c r="BJ893" s="52">
        <f>BI893-BH893</f>
        <v>0</v>
      </c>
      <c r="BK893" s="56">
        <v>44197</v>
      </c>
      <c r="BL893" s="200"/>
      <c r="BM893" s="100">
        <v>0</v>
      </c>
      <c r="BN893" s="9"/>
      <c r="BO893" s="9"/>
      <c r="BP893" s="9"/>
      <c r="BQ893" s="9"/>
      <c r="BR893" s="9"/>
      <c r="BS893" s="9"/>
      <c r="BT893" s="9"/>
      <c r="BU893" s="9"/>
      <c r="BV893" s="9"/>
      <c r="BW893" s="9"/>
    </row>
    <row r="894" spans="1:75" ht="294" hidden="1" outlineLevel="2" x14ac:dyDescent="0.25">
      <c r="A894" s="43" t="s">
        <v>470</v>
      </c>
      <c r="B894" s="110" t="s">
        <v>933</v>
      </c>
      <c r="C894" s="45">
        <v>2021</v>
      </c>
      <c r="D894" s="110" t="s">
        <v>75</v>
      </c>
      <c r="E894" s="47"/>
      <c r="F894" s="47">
        <v>0</v>
      </c>
      <c r="G894" s="47">
        <v>0</v>
      </c>
      <c r="H894" s="47">
        <v>0</v>
      </c>
      <c r="I894" s="47">
        <v>0</v>
      </c>
      <c r="J894" s="47">
        <v>0</v>
      </c>
      <c r="K894" s="47">
        <v>0</v>
      </c>
      <c r="L894" s="47">
        <v>0</v>
      </c>
      <c r="M894" s="47">
        <v>0</v>
      </c>
      <c r="N894" s="47">
        <v>0</v>
      </c>
      <c r="O894" s="47">
        <v>0</v>
      </c>
      <c r="P894" s="47">
        <v>0</v>
      </c>
      <c r="Q894" s="47">
        <v>0</v>
      </c>
      <c r="R894" s="47">
        <v>0</v>
      </c>
      <c r="S894" s="47">
        <v>0</v>
      </c>
      <c r="T894" s="47">
        <v>0</v>
      </c>
      <c r="U894" s="47">
        <v>0</v>
      </c>
      <c r="V894" s="47">
        <v>0</v>
      </c>
      <c r="W894" s="47">
        <v>0</v>
      </c>
      <c r="X894" s="47">
        <v>0</v>
      </c>
      <c r="Y894" s="48">
        <f t="shared" si="144"/>
        <v>0</v>
      </c>
      <c r="Z894" s="58"/>
      <c r="AA894" s="50"/>
      <c r="AB894" s="50"/>
      <c r="AC894" s="50"/>
      <c r="AD894" s="50"/>
      <c r="AE894" s="50"/>
      <c r="AF894" s="50"/>
      <c r="AG894" s="49">
        <f t="shared" si="145"/>
        <v>0</v>
      </c>
      <c r="AH894" s="51" t="s">
        <v>74</v>
      </c>
      <c r="AI894" s="51" t="s">
        <v>74</v>
      </c>
      <c r="AJ894" s="51" t="s">
        <v>74</v>
      </c>
      <c r="AK894" s="51" t="s">
        <v>74</v>
      </c>
      <c r="AL894" s="51" t="s">
        <v>74</v>
      </c>
      <c r="AM894" s="51" t="s">
        <v>74</v>
      </c>
      <c r="AN894" s="52">
        <v>0</v>
      </c>
      <c r="AO894" s="52">
        <v>0</v>
      </c>
      <c r="AP894" s="52">
        <v>0</v>
      </c>
      <c r="AQ894" s="52">
        <v>0</v>
      </c>
      <c r="AR894" s="52">
        <v>0</v>
      </c>
      <c r="AS894" s="52">
        <f t="shared" si="146"/>
        <v>0</v>
      </c>
      <c r="AT894" s="53" t="s">
        <v>74</v>
      </c>
      <c r="AU894" s="52">
        <v>0</v>
      </c>
      <c r="AV894" s="52"/>
      <c r="AW894" s="52">
        <v>0</v>
      </c>
      <c r="AX894" s="59">
        <v>2423440.7999999998</v>
      </c>
      <c r="AY894" s="59"/>
      <c r="AZ894" s="52">
        <v>0</v>
      </c>
      <c r="BA894" s="52">
        <f t="shared" si="147"/>
        <v>2423440.7999999998</v>
      </c>
      <c r="BB894" s="54" t="s">
        <v>74</v>
      </c>
      <c r="BC894" s="53" t="s">
        <v>74</v>
      </c>
      <c r="BD894" s="55" t="s">
        <v>74</v>
      </c>
      <c r="BE894" s="51" t="s">
        <v>934</v>
      </c>
      <c r="BF894" s="55" t="s">
        <v>74</v>
      </c>
      <c r="BG894" s="55" t="s">
        <v>74</v>
      </c>
      <c r="BH894" s="52">
        <f t="shared" si="148"/>
        <v>2423440.7999999998</v>
      </c>
      <c r="BI894" s="52">
        <f t="shared" si="149"/>
        <v>2423440.7999999998</v>
      </c>
      <c r="BJ894" s="52" t="e">
        <f>#REF!-#REF!+BI894</f>
        <v>#REF!</v>
      </c>
      <c r="BK894" s="56">
        <v>44228</v>
      </c>
      <c r="BL894" s="63">
        <v>2423440.7999999998</v>
      </c>
      <c r="BM894" s="47">
        <v>0</v>
      </c>
      <c r="BN894" s="9"/>
      <c r="BO894" s="9"/>
      <c r="BP894" s="9"/>
      <c r="BQ894" s="9"/>
      <c r="BR894" s="9"/>
      <c r="BS894" s="9"/>
      <c r="BT894" s="9"/>
      <c r="BU894" s="9"/>
      <c r="BV894" s="9"/>
      <c r="BW894" s="9"/>
    </row>
    <row r="895" spans="1:75" ht="141" hidden="1" outlineLevel="2" x14ac:dyDescent="0.25">
      <c r="A895" s="43" t="s">
        <v>470</v>
      </c>
      <c r="B895" s="110" t="s">
        <v>933</v>
      </c>
      <c r="C895" s="45">
        <v>2021</v>
      </c>
      <c r="D895" s="110" t="s">
        <v>77</v>
      </c>
      <c r="E895" s="134">
        <v>514063.23033333302</v>
      </c>
      <c r="F895" s="47">
        <v>0</v>
      </c>
      <c r="G895" s="47">
        <v>0</v>
      </c>
      <c r="H895" s="47">
        <v>0</v>
      </c>
      <c r="I895" s="47">
        <v>0</v>
      </c>
      <c r="J895" s="47">
        <v>0</v>
      </c>
      <c r="K895" s="47">
        <v>0</v>
      </c>
      <c r="L895" s="47">
        <v>0</v>
      </c>
      <c r="M895" s="47">
        <v>0</v>
      </c>
      <c r="N895" s="47">
        <v>0</v>
      </c>
      <c r="O895" s="47">
        <v>0</v>
      </c>
      <c r="P895" s="47">
        <v>0</v>
      </c>
      <c r="Q895" s="47">
        <v>0</v>
      </c>
      <c r="R895" s="47">
        <v>0</v>
      </c>
      <c r="S895" s="47">
        <v>0</v>
      </c>
      <c r="T895" s="47">
        <v>0</v>
      </c>
      <c r="U895" s="47">
        <v>0</v>
      </c>
      <c r="V895" s="47">
        <v>0</v>
      </c>
      <c r="W895" s="47">
        <v>0</v>
      </c>
      <c r="X895" s="47">
        <v>0</v>
      </c>
      <c r="Y895" s="48">
        <f t="shared" si="144"/>
        <v>514063.23033333302</v>
      </c>
      <c r="Z895" s="58"/>
      <c r="AA895" s="50"/>
      <c r="AB895" s="50"/>
      <c r="AC895" s="50"/>
      <c r="AD895" s="50"/>
      <c r="AE895" s="50"/>
      <c r="AF895" s="50"/>
      <c r="AG895" s="49">
        <f t="shared" si="145"/>
        <v>0</v>
      </c>
      <c r="AH895" s="51" t="s">
        <v>74</v>
      </c>
      <c r="AI895" s="51" t="s">
        <v>74</v>
      </c>
      <c r="AJ895" s="51" t="s">
        <v>74</v>
      </c>
      <c r="AK895" s="51" t="s">
        <v>74</v>
      </c>
      <c r="AL895" s="51" t="s">
        <v>74</v>
      </c>
      <c r="AM895" s="51" t="s">
        <v>74</v>
      </c>
      <c r="AN895" s="52">
        <v>0</v>
      </c>
      <c r="AO895" s="52">
        <v>0</v>
      </c>
      <c r="AP895" s="52">
        <v>0</v>
      </c>
      <c r="AQ895" s="52">
        <v>0</v>
      </c>
      <c r="AR895" s="52">
        <v>0</v>
      </c>
      <c r="AS895" s="52">
        <f t="shared" si="146"/>
        <v>0</v>
      </c>
      <c r="AT895" s="53" t="s">
        <v>74</v>
      </c>
      <c r="AU895" s="52">
        <v>0</v>
      </c>
      <c r="AV895" s="52"/>
      <c r="AW895" s="52">
        <v>0</v>
      </c>
      <c r="AX895" s="176">
        <f>1689064.9</f>
        <v>1689064.9</v>
      </c>
      <c r="AY895" s="176"/>
      <c r="AZ895" s="52">
        <v>0</v>
      </c>
      <c r="BA895" s="52">
        <f t="shared" si="147"/>
        <v>1689064.9</v>
      </c>
      <c r="BB895" s="54" t="s">
        <v>74</v>
      </c>
      <c r="BC895" s="53" t="s">
        <v>74</v>
      </c>
      <c r="BD895" s="55" t="s">
        <v>74</v>
      </c>
      <c r="BE895" s="51" t="s">
        <v>935</v>
      </c>
      <c r="BF895" s="55" t="s">
        <v>74</v>
      </c>
      <c r="BG895" s="55" t="s">
        <v>74</v>
      </c>
      <c r="BH895" s="52">
        <f t="shared" si="148"/>
        <v>1689064.9</v>
      </c>
      <c r="BI895" s="52">
        <f t="shared" si="149"/>
        <v>2203128.1303333328</v>
      </c>
      <c r="BJ895" s="52">
        <v>514063.23033333302</v>
      </c>
      <c r="BK895" s="56">
        <v>44256</v>
      </c>
      <c r="BL895" s="63">
        <f>514063.23+1689064.9</f>
        <v>2203128.13</v>
      </c>
      <c r="BM895" s="47">
        <v>0</v>
      </c>
      <c r="BN895" s="9"/>
      <c r="BO895" s="9"/>
      <c r="BP895" s="9"/>
      <c r="BQ895" s="9"/>
      <c r="BR895" s="9"/>
      <c r="BS895" s="9"/>
      <c r="BT895" s="9"/>
      <c r="BU895" s="9"/>
      <c r="BV895" s="9"/>
      <c r="BW895" s="9"/>
    </row>
    <row r="896" spans="1:75" ht="90" hidden="1" outlineLevel="2" x14ac:dyDescent="0.25">
      <c r="A896" s="43" t="s">
        <v>470</v>
      </c>
      <c r="B896" s="110" t="s">
        <v>933</v>
      </c>
      <c r="C896" s="45">
        <v>2021</v>
      </c>
      <c r="D896" s="110" t="s">
        <v>79</v>
      </c>
      <c r="E896" s="47">
        <v>2203128.13</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f t="shared" si="144"/>
        <v>2203128.13</v>
      </c>
      <c r="Z896" s="58">
        <v>15462.22</v>
      </c>
      <c r="AA896" s="50">
        <v>15462.22</v>
      </c>
      <c r="AB896" s="50"/>
      <c r="AC896" s="50"/>
      <c r="AD896" s="50">
        <v>26851.05</v>
      </c>
      <c r="AE896" s="50"/>
      <c r="AF896" s="50"/>
      <c r="AG896" s="49">
        <f t="shared" si="145"/>
        <v>42313.27</v>
      </c>
      <c r="AH896" s="51" t="s">
        <v>104</v>
      </c>
      <c r="AI896" s="51" t="s">
        <v>74</v>
      </c>
      <c r="AJ896" s="51" t="s">
        <v>74</v>
      </c>
      <c r="AK896" s="51" t="s">
        <v>936</v>
      </c>
      <c r="AL896" s="51" t="s">
        <v>74</v>
      </c>
      <c r="AM896" s="51" t="s">
        <v>74</v>
      </c>
      <c r="AN896" s="52">
        <v>0</v>
      </c>
      <c r="AO896" s="52">
        <v>0</v>
      </c>
      <c r="AP896" s="52">
        <v>0</v>
      </c>
      <c r="AQ896" s="52">
        <v>0</v>
      </c>
      <c r="AR896" s="52">
        <v>0</v>
      </c>
      <c r="AS896" s="52">
        <f t="shared" si="146"/>
        <v>0</v>
      </c>
      <c r="AT896" s="53" t="s">
        <v>74</v>
      </c>
      <c r="AU896" s="52">
        <v>0</v>
      </c>
      <c r="AV896" s="52"/>
      <c r="AW896" s="52">
        <v>0</v>
      </c>
      <c r="AX896" s="52"/>
      <c r="AY896" s="52"/>
      <c r="AZ896" s="52">
        <v>0</v>
      </c>
      <c r="BA896" s="52">
        <f t="shared" si="147"/>
        <v>0</v>
      </c>
      <c r="BB896" s="54" t="s">
        <v>74</v>
      </c>
      <c r="BC896" s="53" t="s">
        <v>74</v>
      </c>
      <c r="BD896" s="55" t="s">
        <v>74</v>
      </c>
      <c r="BE896" s="55" t="s">
        <v>74</v>
      </c>
      <c r="BF896" s="55" t="s">
        <v>74</v>
      </c>
      <c r="BG896" s="55" t="s">
        <v>74</v>
      </c>
      <c r="BH896" s="52">
        <f t="shared" si="148"/>
        <v>0</v>
      </c>
      <c r="BI896" s="52">
        <f t="shared" si="149"/>
        <v>2160814.86</v>
      </c>
      <c r="BJ896" s="52">
        <v>2160814.86</v>
      </c>
      <c r="BK896" s="56">
        <v>44287</v>
      </c>
      <c r="BL896" s="63">
        <v>2160814.86</v>
      </c>
      <c r="BM896" s="47">
        <v>0</v>
      </c>
      <c r="BN896" s="9"/>
      <c r="BO896" s="9"/>
      <c r="BP896" s="9"/>
      <c r="BQ896" s="9"/>
      <c r="BR896" s="9"/>
      <c r="BS896" s="9"/>
      <c r="BT896" s="9"/>
      <c r="BU896" s="9"/>
      <c r="BV896" s="9"/>
      <c r="BW896" s="9"/>
    </row>
    <row r="897" spans="1:75" ht="26.25" hidden="1" outlineLevel="2" x14ac:dyDescent="0.25">
      <c r="A897" s="43" t="s">
        <v>470</v>
      </c>
      <c r="B897" s="110" t="s">
        <v>933</v>
      </c>
      <c r="C897" s="45">
        <v>2021</v>
      </c>
      <c r="D897" s="110" t="s">
        <v>81</v>
      </c>
      <c r="E897" s="47">
        <v>2203128.13</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f t="shared" si="144"/>
        <v>2203128.13</v>
      </c>
      <c r="Z897" s="66">
        <v>7020.33</v>
      </c>
      <c r="AA897" s="62">
        <v>7020.33</v>
      </c>
      <c r="AB897" s="50"/>
      <c r="AC897" s="50"/>
      <c r="AD897" s="62">
        <v>14720.7</v>
      </c>
      <c r="AE897" s="50"/>
      <c r="AF897" s="50"/>
      <c r="AG897" s="49">
        <f t="shared" si="145"/>
        <v>21741.03</v>
      </c>
      <c r="AH897" s="51" t="s">
        <v>104</v>
      </c>
      <c r="AI897" s="51" t="s">
        <v>74</v>
      </c>
      <c r="AJ897" s="51" t="s">
        <v>74</v>
      </c>
      <c r="AK897" s="51" t="s">
        <v>411</v>
      </c>
      <c r="AL897" s="51" t="s">
        <v>74</v>
      </c>
      <c r="AM897" s="51" t="s">
        <v>74</v>
      </c>
      <c r="AN897" s="52">
        <v>0</v>
      </c>
      <c r="AO897" s="52">
        <v>0</v>
      </c>
      <c r="AP897" s="52">
        <v>0</v>
      </c>
      <c r="AQ897" s="52">
        <v>0</v>
      </c>
      <c r="AR897" s="52">
        <v>0</v>
      </c>
      <c r="AS897" s="52">
        <f t="shared" si="146"/>
        <v>0</v>
      </c>
      <c r="AT897" s="53" t="s">
        <v>74</v>
      </c>
      <c r="AU897" s="52">
        <v>0</v>
      </c>
      <c r="AV897" s="52"/>
      <c r="AW897" s="52">
        <v>0</v>
      </c>
      <c r="AX897" s="52"/>
      <c r="AY897" s="52"/>
      <c r="AZ897" s="52">
        <v>0</v>
      </c>
      <c r="BA897" s="52">
        <f t="shared" si="147"/>
        <v>0</v>
      </c>
      <c r="BB897" s="54" t="s">
        <v>74</v>
      </c>
      <c r="BC897" s="53" t="s">
        <v>74</v>
      </c>
      <c r="BD897" s="55" t="s">
        <v>74</v>
      </c>
      <c r="BE897" s="55" t="s">
        <v>74</v>
      </c>
      <c r="BF897" s="55" t="s">
        <v>74</v>
      </c>
      <c r="BG897" s="55" t="s">
        <v>74</v>
      </c>
      <c r="BH897" s="52">
        <f t="shared" si="148"/>
        <v>0</v>
      </c>
      <c r="BI897" s="52">
        <f t="shared" si="149"/>
        <v>2181387.1</v>
      </c>
      <c r="BJ897" s="52">
        <v>2181387.1</v>
      </c>
      <c r="BK897" s="56">
        <v>44317</v>
      </c>
      <c r="BL897" s="63">
        <v>2181387.1</v>
      </c>
      <c r="BM897" s="47">
        <v>0</v>
      </c>
      <c r="BN897" s="9"/>
      <c r="BO897" s="9"/>
      <c r="BP897" s="9"/>
      <c r="BQ897" s="9"/>
      <c r="BR897" s="9"/>
      <c r="BS897" s="9"/>
      <c r="BT897" s="9"/>
      <c r="BU897" s="9"/>
      <c r="BV897" s="9"/>
      <c r="BW897" s="9"/>
    </row>
    <row r="898" spans="1:75" ht="26.25" hidden="1" outlineLevel="2" x14ac:dyDescent="0.25">
      <c r="A898" s="43" t="s">
        <v>470</v>
      </c>
      <c r="B898" s="110" t="s">
        <v>933</v>
      </c>
      <c r="C898" s="45">
        <v>2021</v>
      </c>
      <c r="D898" s="110" t="s">
        <v>83</v>
      </c>
      <c r="E898" s="47">
        <v>2203128.13</v>
      </c>
      <c r="F898" s="47">
        <v>0</v>
      </c>
      <c r="G898" s="47">
        <v>0</v>
      </c>
      <c r="H898" s="47">
        <v>0</v>
      </c>
      <c r="I898" s="47">
        <v>0</v>
      </c>
      <c r="J898" s="47">
        <v>0</v>
      </c>
      <c r="K898" s="47">
        <v>0</v>
      </c>
      <c r="L898" s="47">
        <v>0</v>
      </c>
      <c r="M898" s="47">
        <v>0</v>
      </c>
      <c r="N898" s="47">
        <v>0</v>
      </c>
      <c r="O898" s="47">
        <v>0</v>
      </c>
      <c r="P898" s="47">
        <v>0</v>
      </c>
      <c r="Q898" s="47">
        <v>0</v>
      </c>
      <c r="R898" s="47">
        <v>0</v>
      </c>
      <c r="S898" s="47">
        <v>0</v>
      </c>
      <c r="T898" s="47">
        <v>0</v>
      </c>
      <c r="U898" s="47">
        <v>0</v>
      </c>
      <c r="V898" s="47">
        <v>0</v>
      </c>
      <c r="W898" s="47">
        <v>0</v>
      </c>
      <c r="X898" s="47">
        <v>0</v>
      </c>
      <c r="Y898" s="48">
        <f t="shared" si="144"/>
        <v>2203128.13</v>
      </c>
      <c r="Z898" s="146">
        <v>12033.17</v>
      </c>
      <c r="AA898" s="147">
        <v>12033.17</v>
      </c>
      <c r="AB898" s="159"/>
      <c r="AC898" s="159"/>
      <c r="AD898" s="148">
        <v>14115.85</v>
      </c>
      <c r="AE898" s="50"/>
      <c r="AF898" s="50"/>
      <c r="AG898" s="49">
        <f t="shared" si="145"/>
        <v>26149.02</v>
      </c>
      <c r="AH898" s="51" t="s">
        <v>104</v>
      </c>
      <c r="AI898" s="51" t="s">
        <v>74</v>
      </c>
      <c r="AJ898" s="51" t="s">
        <v>74</v>
      </c>
      <c r="AK898" s="51" t="s">
        <v>413</v>
      </c>
      <c r="AL898" s="51" t="s">
        <v>74</v>
      </c>
      <c r="AM898" s="51" t="s">
        <v>74</v>
      </c>
      <c r="AN898" s="52">
        <v>0</v>
      </c>
      <c r="AO898" s="52">
        <v>0</v>
      </c>
      <c r="AP898" s="52">
        <v>0</v>
      </c>
      <c r="AQ898" s="52">
        <v>0</v>
      </c>
      <c r="AR898" s="52">
        <v>0</v>
      </c>
      <c r="AS898" s="52">
        <f t="shared" si="146"/>
        <v>0</v>
      </c>
      <c r="AT898" s="53" t="s">
        <v>74</v>
      </c>
      <c r="AU898" s="52">
        <v>0</v>
      </c>
      <c r="AV898" s="52"/>
      <c r="AW898" s="52">
        <v>0</v>
      </c>
      <c r="AX898" s="52"/>
      <c r="AY898" s="52"/>
      <c r="AZ898" s="52">
        <v>0</v>
      </c>
      <c r="BA898" s="52">
        <f t="shared" si="147"/>
        <v>0</v>
      </c>
      <c r="BB898" s="54" t="s">
        <v>74</v>
      </c>
      <c r="BC898" s="53" t="s">
        <v>74</v>
      </c>
      <c r="BD898" s="55" t="s">
        <v>74</v>
      </c>
      <c r="BE898" s="55" t="s">
        <v>74</v>
      </c>
      <c r="BF898" s="55" t="s">
        <v>74</v>
      </c>
      <c r="BG898" s="55" t="s">
        <v>74</v>
      </c>
      <c r="BH898" s="52">
        <f t="shared" si="148"/>
        <v>0</v>
      </c>
      <c r="BI898" s="52">
        <f t="shared" si="149"/>
        <v>2176979.11</v>
      </c>
      <c r="BJ898" s="52">
        <f>Y898-AG898+AX898</f>
        <v>2176979.11</v>
      </c>
      <c r="BK898" s="56">
        <v>44348</v>
      </c>
      <c r="BL898" s="63">
        <f>2102128.13+74850.98</f>
        <v>2176979.11</v>
      </c>
      <c r="BM898" s="47">
        <v>0</v>
      </c>
      <c r="BN898" s="9"/>
      <c r="BO898" s="9"/>
      <c r="BP898" s="9"/>
      <c r="BQ898" s="9"/>
      <c r="BR898" s="9"/>
      <c r="BS898" s="9"/>
      <c r="BT898" s="9"/>
      <c r="BU898" s="9"/>
      <c r="BV898" s="9"/>
      <c r="BW898" s="9"/>
    </row>
    <row r="899" spans="1:75" ht="26.25" hidden="1" outlineLevel="2" x14ac:dyDescent="0.25">
      <c r="A899" s="43" t="s">
        <v>470</v>
      </c>
      <c r="B899" s="110" t="s">
        <v>933</v>
      </c>
      <c r="C899" s="45">
        <v>2021</v>
      </c>
      <c r="D899" s="110" t="s">
        <v>84</v>
      </c>
      <c r="E899" s="47">
        <v>2203128.13</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f t="shared" si="144"/>
        <v>2203128.13</v>
      </c>
      <c r="Z899" s="185">
        <v>7597.26</v>
      </c>
      <c r="AA899" s="147">
        <v>7597.26</v>
      </c>
      <c r="AB899" s="50"/>
      <c r="AC899" s="50"/>
      <c r="AD899" s="148">
        <v>14675.76</v>
      </c>
      <c r="AE899" s="50"/>
      <c r="AF899" s="50"/>
      <c r="AG899" s="49">
        <f t="shared" si="145"/>
        <v>22273.02</v>
      </c>
      <c r="AH899" s="51" t="s">
        <v>104</v>
      </c>
      <c r="AI899" s="51" t="s">
        <v>74</v>
      </c>
      <c r="AJ899" s="51" t="s">
        <v>74</v>
      </c>
      <c r="AK899" s="51" t="s">
        <v>590</v>
      </c>
      <c r="AL899" s="51" t="s">
        <v>74</v>
      </c>
      <c r="AM899" s="51" t="s">
        <v>74</v>
      </c>
      <c r="AN899" s="52">
        <v>0</v>
      </c>
      <c r="AO899" s="52">
        <v>0</v>
      </c>
      <c r="AP899" s="52">
        <v>0</v>
      </c>
      <c r="AQ899" s="52">
        <v>0</v>
      </c>
      <c r="AR899" s="52">
        <v>0</v>
      </c>
      <c r="AS899" s="52">
        <f t="shared" si="146"/>
        <v>0</v>
      </c>
      <c r="AT899" s="53" t="s">
        <v>74</v>
      </c>
      <c r="AU899" s="52">
        <v>0</v>
      </c>
      <c r="AV899" s="52"/>
      <c r="AW899" s="52">
        <v>0</v>
      </c>
      <c r="AX899" s="52"/>
      <c r="AY899" s="52"/>
      <c r="AZ899" s="52">
        <v>0</v>
      </c>
      <c r="BA899" s="52">
        <f t="shared" si="147"/>
        <v>0</v>
      </c>
      <c r="BB899" s="54" t="s">
        <v>74</v>
      </c>
      <c r="BC899" s="53" t="s">
        <v>74</v>
      </c>
      <c r="BD899" s="55" t="s">
        <v>74</v>
      </c>
      <c r="BE899" s="55" t="s">
        <v>74</v>
      </c>
      <c r="BF899" s="55" t="s">
        <v>74</v>
      </c>
      <c r="BG899" s="55" t="s">
        <v>74</v>
      </c>
      <c r="BH899" s="52">
        <f t="shared" si="148"/>
        <v>0</v>
      </c>
      <c r="BI899" s="52">
        <f t="shared" si="149"/>
        <v>2180855.11</v>
      </c>
      <c r="BJ899" s="52">
        <f>Y899-AG899+AX899</f>
        <v>2180855.11</v>
      </c>
      <c r="BK899" s="56">
        <v>44378</v>
      </c>
      <c r="BL899" s="63">
        <f>2102128.13+78726.98</f>
        <v>2180855.11</v>
      </c>
      <c r="BM899" s="47">
        <v>0</v>
      </c>
      <c r="BN899" s="9"/>
      <c r="BO899" s="9"/>
      <c r="BP899" s="9"/>
      <c r="BQ899" s="9"/>
      <c r="BR899" s="9"/>
      <c r="BS899" s="9"/>
      <c r="BT899" s="9"/>
      <c r="BU899" s="9"/>
      <c r="BV899" s="9"/>
      <c r="BW899" s="9"/>
    </row>
    <row r="900" spans="1:75" ht="294" hidden="1" outlineLevel="2" x14ac:dyDescent="0.25">
      <c r="A900" s="43" t="s">
        <v>470</v>
      </c>
      <c r="B900" s="110" t="s">
        <v>933</v>
      </c>
      <c r="C900" s="45">
        <v>2021</v>
      </c>
      <c r="D900" s="110" t="s">
        <v>86</v>
      </c>
      <c r="E900" s="47">
        <v>2203128.13</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f t="shared" si="144"/>
        <v>2203128.13</v>
      </c>
      <c r="Z900" s="146">
        <v>7628.54</v>
      </c>
      <c r="AA900" s="147">
        <v>7628.54</v>
      </c>
      <c r="AB900" s="159"/>
      <c r="AC900" s="159"/>
      <c r="AD900" s="148">
        <v>14135.45</v>
      </c>
      <c r="AE900" s="50"/>
      <c r="AF900" s="50"/>
      <c r="AG900" s="49">
        <f t="shared" si="145"/>
        <v>21763.99</v>
      </c>
      <c r="AH900" s="51" t="s">
        <v>104</v>
      </c>
      <c r="AI900" s="51" t="s">
        <v>74</v>
      </c>
      <c r="AJ900" s="51" t="s">
        <v>74</v>
      </c>
      <c r="AK900" s="51" t="s">
        <v>593</v>
      </c>
      <c r="AL900" s="51" t="s">
        <v>74</v>
      </c>
      <c r="AM900" s="51" t="s">
        <v>74</v>
      </c>
      <c r="AN900" s="52">
        <v>0</v>
      </c>
      <c r="AO900" s="52">
        <v>0</v>
      </c>
      <c r="AP900" s="52">
        <v>0</v>
      </c>
      <c r="AQ900" s="52">
        <v>0</v>
      </c>
      <c r="AR900" s="52">
        <v>0</v>
      </c>
      <c r="AS900" s="52">
        <f t="shared" si="146"/>
        <v>0</v>
      </c>
      <c r="AT900" s="53" t="s">
        <v>74</v>
      </c>
      <c r="AU900" s="52">
        <v>0</v>
      </c>
      <c r="AV900" s="52"/>
      <c r="AW900" s="68">
        <f>57729+13280</f>
        <v>71009</v>
      </c>
      <c r="AX900" s="52"/>
      <c r="AY900" s="52"/>
      <c r="AZ900" s="52">
        <v>0</v>
      </c>
      <c r="BA900" s="52">
        <f t="shared" si="147"/>
        <v>71009</v>
      </c>
      <c r="BB900" s="54" t="s">
        <v>74</v>
      </c>
      <c r="BC900" s="53" t="s">
        <v>74</v>
      </c>
      <c r="BD900" s="55" t="s">
        <v>937</v>
      </c>
      <c r="BE900" s="55" t="s">
        <v>74</v>
      </c>
      <c r="BF900" s="55" t="s">
        <v>74</v>
      </c>
      <c r="BG900" s="55" t="s">
        <v>74</v>
      </c>
      <c r="BH900" s="52">
        <f t="shared" si="148"/>
        <v>71009</v>
      </c>
      <c r="BI900" s="52">
        <f t="shared" si="149"/>
        <v>2252373.1399999997</v>
      </c>
      <c r="BJ900" s="52">
        <f>Y900-AG900+AX900</f>
        <v>2181364.1399999997</v>
      </c>
      <c r="BK900" s="56">
        <v>44409</v>
      </c>
      <c r="BL900" s="63">
        <f>2157128.13+4476.34+57729+13280</f>
        <v>2232613.4699999997</v>
      </c>
      <c r="BM900" s="47">
        <f>BI900-BL900</f>
        <v>19759.669999999925</v>
      </c>
      <c r="BN900" s="9"/>
      <c r="BO900" s="9"/>
      <c r="BP900" s="9"/>
      <c r="BQ900" s="9"/>
      <c r="BR900" s="9"/>
      <c r="BS900" s="9"/>
      <c r="BT900" s="9"/>
      <c r="BU900" s="9"/>
      <c r="BV900" s="9"/>
      <c r="BW900" s="9"/>
    </row>
    <row r="901" spans="1:75" hidden="1" outlineLevel="2" x14ac:dyDescent="0.25">
      <c r="A901" s="71" t="s">
        <v>470</v>
      </c>
      <c r="B901" s="116" t="s">
        <v>933</v>
      </c>
      <c r="C901" s="73">
        <v>2021</v>
      </c>
      <c r="D901" s="116" t="s">
        <v>88</v>
      </c>
      <c r="E901" s="75">
        <v>1689064.89966667</v>
      </c>
      <c r="F901" s="75">
        <v>0</v>
      </c>
      <c r="G901" s="75">
        <v>0</v>
      </c>
      <c r="H901" s="75">
        <v>0</v>
      </c>
      <c r="I901" s="75">
        <v>0</v>
      </c>
      <c r="J901" s="75">
        <v>0</v>
      </c>
      <c r="K901" s="75">
        <v>0</v>
      </c>
      <c r="L901" s="75">
        <v>0</v>
      </c>
      <c r="M901" s="75">
        <v>0</v>
      </c>
      <c r="N901" s="75">
        <v>0</v>
      </c>
      <c r="O901" s="75">
        <v>0</v>
      </c>
      <c r="P901" s="75">
        <v>0</v>
      </c>
      <c r="Q901" s="75">
        <v>0</v>
      </c>
      <c r="R901" s="75">
        <v>0</v>
      </c>
      <c r="S901" s="75">
        <v>0</v>
      </c>
      <c r="T901" s="75">
        <v>0</v>
      </c>
      <c r="U901" s="75">
        <v>0</v>
      </c>
      <c r="V901" s="75">
        <v>0</v>
      </c>
      <c r="W901" s="75">
        <v>0</v>
      </c>
      <c r="X901" s="75">
        <v>0</v>
      </c>
      <c r="Y901" s="76">
        <f t="shared" si="144"/>
        <v>1689064.89966667</v>
      </c>
      <c r="Z901" s="201"/>
      <c r="AA901" s="160">
        <v>25000</v>
      </c>
      <c r="AB901" s="160"/>
      <c r="AC901" s="160"/>
      <c r="AD901" s="160">
        <v>21000</v>
      </c>
      <c r="AE901" s="79"/>
      <c r="AF901" s="79"/>
      <c r="AG901" s="80">
        <f t="shared" si="145"/>
        <v>46000</v>
      </c>
      <c r="AH901" s="123" t="s">
        <v>595</v>
      </c>
      <c r="AI901" s="123" t="s">
        <v>74</v>
      </c>
      <c r="AJ901" s="123" t="s">
        <v>74</v>
      </c>
      <c r="AK901" s="123" t="s">
        <v>595</v>
      </c>
      <c r="AL901" s="123" t="s">
        <v>74</v>
      </c>
      <c r="AM901" s="123" t="s">
        <v>74</v>
      </c>
      <c r="AN901" s="82">
        <v>0</v>
      </c>
      <c r="AO901" s="82">
        <v>0</v>
      </c>
      <c r="AP901" s="82">
        <v>0</v>
      </c>
      <c r="AQ901" s="82">
        <v>0</v>
      </c>
      <c r="AR901" s="82">
        <v>0</v>
      </c>
      <c r="AS901" s="82">
        <f t="shared" si="146"/>
        <v>0</v>
      </c>
      <c r="AT901" s="124" t="s">
        <v>74</v>
      </c>
      <c r="AU901" s="82">
        <v>0</v>
      </c>
      <c r="AV901" s="82"/>
      <c r="AW901" s="82">
        <v>0</v>
      </c>
      <c r="AX901" s="82"/>
      <c r="AY901" s="82"/>
      <c r="AZ901" s="82">
        <v>0</v>
      </c>
      <c r="BA901" s="82">
        <f t="shared" si="147"/>
        <v>0</v>
      </c>
      <c r="BB901" s="125" t="s">
        <v>74</v>
      </c>
      <c r="BC901" s="124" t="s">
        <v>74</v>
      </c>
      <c r="BD901" s="126" t="s">
        <v>74</v>
      </c>
      <c r="BE901" s="126" t="s">
        <v>74</v>
      </c>
      <c r="BF901" s="126" t="s">
        <v>74</v>
      </c>
      <c r="BG901" s="126" t="s">
        <v>74</v>
      </c>
      <c r="BH901" s="82">
        <f t="shared" si="148"/>
        <v>0</v>
      </c>
      <c r="BI901" s="82">
        <f t="shared" si="149"/>
        <v>1643064.89966667</v>
      </c>
      <c r="BJ901" s="52">
        <f>BI901-BH901</f>
        <v>1643064.89966667</v>
      </c>
      <c r="BK901" s="56">
        <v>44440</v>
      </c>
      <c r="BL901" s="83">
        <v>1643064.9</v>
      </c>
      <c r="BM901" s="75">
        <v>0</v>
      </c>
      <c r="BN901" s="9"/>
      <c r="BO901" s="9"/>
      <c r="BP901" s="9"/>
      <c r="BQ901" s="9"/>
      <c r="BR901" s="9"/>
      <c r="BS901" s="9"/>
      <c r="BT901" s="9"/>
      <c r="BU901" s="9"/>
      <c r="BV901" s="9"/>
      <c r="BW901" s="9"/>
    </row>
    <row r="902" spans="1:75" hidden="1" outlineLevel="1" collapsed="1" x14ac:dyDescent="0.25">
      <c r="A902" s="84"/>
      <c r="B902" s="120" t="s">
        <v>938</v>
      </c>
      <c r="C902" s="86"/>
      <c r="D902" s="120"/>
      <c r="E902" s="88"/>
      <c r="F902" s="88"/>
      <c r="G902" s="88"/>
      <c r="H902" s="88"/>
      <c r="I902" s="88"/>
      <c r="J902" s="88"/>
      <c r="K902" s="88"/>
      <c r="L902" s="88"/>
      <c r="M902" s="88"/>
      <c r="N902" s="88"/>
      <c r="O902" s="88"/>
      <c r="P902" s="88"/>
      <c r="Q902" s="88"/>
      <c r="R902" s="88"/>
      <c r="S902" s="88"/>
      <c r="T902" s="88"/>
      <c r="U902" s="88"/>
      <c r="V902" s="88"/>
      <c r="W902" s="88"/>
      <c r="X902" s="88"/>
      <c r="Y902" s="89">
        <f t="shared" ref="Y902:AG902" si="150">SUBTOTAL(9,Y893:Y901)</f>
        <v>0</v>
      </c>
      <c r="Z902" s="128">
        <f t="shared" si="150"/>
        <v>0</v>
      </c>
      <c r="AA902" s="162">
        <f t="shared" si="150"/>
        <v>0</v>
      </c>
      <c r="AB902" s="162">
        <f t="shared" si="150"/>
        <v>0</v>
      </c>
      <c r="AC902" s="162">
        <f t="shared" si="150"/>
        <v>0</v>
      </c>
      <c r="AD902" s="162">
        <f t="shared" si="150"/>
        <v>0</v>
      </c>
      <c r="AE902" s="89">
        <f t="shared" si="150"/>
        <v>0</v>
      </c>
      <c r="AF902" s="89">
        <f t="shared" si="150"/>
        <v>0</v>
      </c>
      <c r="AG902" s="89">
        <f t="shared" si="150"/>
        <v>0</v>
      </c>
      <c r="AH902" s="129"/>
      <c r="AI902" s="129"/>
      <c r="AJ902" s="129"/>
      <c r="AK902" s="129"/>
      <c r="AL902" s="129"/>
      <c r="AM902" s="129"/>
      <c r="AN902" s="92">
        <f t="shared" ref="AN902:AS902" si="151">SUBTOTAL(9,AN893:AN901)</f>
        <v>0</v>
      </c>
      <c r="AO902" s="92">
        <f t="shared" si="151"/>
        <v>0</v>
      </c>
      <c r="AP902" s="92">
        <f t="shared" si="151"/>
        <v>0</v>
      </c>
      <c r="AQ902" s="92">
        <f t="shared" si="151"/>
        <v>0</v>
      </c>
      <c r="AR902" s="92">
        <f t="shared" si="151"/>
        <v>0</v>
      </c>
      <c r="AS902" s="92">
        <f t="shared" si="151"/>
        <v>0</v>
      </c>
      <c r="AT902" s="130"/>
      <c r="AU902" s="92">
        <f t="shared" ref="AU902:BA902" si="152">SUBTOTAL(9,AU893:AU901)</f>
        <v>0</v>
      </c>
      <c r="AV902" s="92">
        <f t="shared" si="152"/>
        <v>0</v>
      </c>
      <c r="AW902" s="92">
        <f t="shared" si="152"/>
        <v>0</v>
      </c>
      <c r="AX902" s="92">
        <f t="shared" si="152"/>
        <v>0</v>
      </c>
      <c r="AY902" s="92">
        <f t="shared" si="152"/>
        <v>0</v>
      </c>
      <c r="AZ902" s="92">
        <f t="shared" si="152"/>
        <v>0</v>
      </c>
      <c r="BA902" s="92">
        <f t="shared" si="152"/>
        <v>0</v>
      </c>
      <c r="BB902" s="131"/>
      <c r="BC902" s="130"/>
      <c r="BD902" s="132"/>
      <c r="BE902" s="132"/>
      <c r="BF902" s="132"/>
      <c r="BG902" s="132"/>
      <c r="BH902" s="92">
        <f>SUBTOTAL(9,BH893:BH901)</f>
        <v>0</v>
      </c>
      <c r="BI902" s="92">
        <f>SUBTOTAL(9,BI893:BI901)</f>
        <v>0</v>
      </c>
      <c r="BJ902" s="93"/>
      <c r="BK902" s="94"/>
      <c r="BL902" s="95">
        <f>SUBTOTAL(9,BL893:BL901)</f>
        <v>0</v>
      </c>
      <c r="BM902" s="88">
        <f>SUBTOTAL(9,BM893:BM901)</f>
        <v>0</v>
      </c>
      <c r="BN902" s="9"/>
      <c r="BO902" s="9"/>
      <c r="BP902" s="9"/>
      <c r="BQ902" s="9"/>
      <c r="BR902" s="9"/>
      <c r="BS902" s="9"/>
      <c r="BT902" s="9"/>
      <c r="BU902" s="9"/>
      <c r="BV902" s="9"/>
      <c r="BW902" s="9"/>
    </row>
    <row r="903" spans="1:75" hidden="1" outlineLevel="2" x14ac:dyDescent="0.25">
      <c r="A903" s="96" t="s">
        <v>275</v>
      </c>
      <c r="B903" s="97" t="s">
        <v>939</v>
      </c>
      <c r="C903" s="98">
        <v>2018</v>
      </c>
      <c r="D903" s="97" t="s">
        <v>89</v>
      </c>
      <c r="E903" s="100">
        <v>2502754.0279999999</v>
      </c>
      <c r="F903" s="100">
        <v>0</v>
      </c>
      <c r="G903" s="100">
        <v>0</v>
      </c>
      <c r="H903" s="100">
        <v>0</v>
      </c>
      <c r="I903" s="100">
        <v>0</v>
      </c>
      <c r="J903" s="100">
        <v>0</v>
      </c>
      <c r="K903" s="100">
        <v>0</v>
      </c>
      <c r="L903" s="100">
        <v>0</v>
      </c>
      <c r="M903" s="100">
        <v>0</v>
      </c>
      <c r="N903" s="100">
        <v>0</v>
      </c>
      <c r="O903" s="100">
        <v>0</v>
      </c>
      <c r="P903" s="100">
        <v>0</v>
      </c>
      <c r="Q903" s="100">
        <v>0</v>
      </c>
      <c r="R903" s="100">
        <v>0</v>
      </c>
      <c r="S903" s="100">
        <v>0</v>
      </c>
      <c r="T903" s="100">
        <v>0</v>
      </c>
      <c r="U903" s="100">
        <v>0</v>
      </c>
      <c r="V903" s="100">
        <v>0</v>
      </c>
      <c r="W903" s="100">
        <v>0</v>
      </c>
      <c r="X903" s="100">
        <v>0</v>
      </c>
      <c r="Y903" s="101">
        <v>2502754.0279999999</v>
      </c>
      <c r="Z903" s="102">
        <v>0</v>
      </c>
      <c r="AA903" s="103">
        <v>0</v>
      </c>
      <c r="AB903" s="103">
        <v>0</v>
      </c>
      <c r="AC903" s="103">
        <v>0</v>
      </c>
      <c r="AD903" s="103">
        <v>0</v>
      </c>
      <c r="AE903" s="103">
        <v>0</v>
      </c>
      <c r="AF903" s="103">
        <v>0</v>
      </c>
      <c r="AG903" s="102">
        <v>0</v>
      </c>
      <c r="AH903" s="104" t="s">
        <v>74</v>
      </c>
      <c r="AI903" s="104" t="s">
        <v>74</v>
      </c>
      <c r="AJ903" s="104" t="s">
        <v>74</v>
      </c>
      <c r="AK903" s="104" t="s">
        <v>74</v>
      </c>
      <c r="AL903" s="104" t="s">
        <v>74</v>
      </c>
      <c r="AM903" s="104" t="s">
        <v>74</v>
      </c>
      <c r="AN903" s="105">
        <v>0</v>
      </c>
      <c r="AO903" s="105">
        <v>0</v>
      </c>
      <c r="AP903" s="105">
        <v>0</v>
      </c>
      <c r="AQ903" s="105">
        <v>0</v>
      </c>
      <c r="AR903" s="105">
        <v>0</v>
      </c>
      <c r="AS903" s="105">
        <v>0</v>
      </c>
      <c r="AT903" s="144" t="s">
        <v>74</v>
      </c>
      <c r="AU903" s="105">
        <v>0</v>
      </c>
      <c r="AV903" s="105"/>
      <c r="AW903" s="105">
        <v>0</v>
      </c>
      <c r="AX903" s="105"/>
      <c r="AY903" s="105"/>
      <c r="AZ903" s="105">
        <v>0</v>
      </c>
      <c r="BA903" s="105">
        <v>0</v>
      </c>
      <c r="BB903" s="105" t="s">
        <v>74</v>
      </c>
      <c r="BC903" s="105" t="s">
        <v>74</v>
      </c>
      <c r="BD903" s="105" t="s">
        <v>74</v>
      </c>
      <c r="BE903" s="105" t="s">
        <v>74</v>
      </c>
      <c r="BF903" s="105" t="s">
        <v>74</v>
      </c>
      <c r="BG903" s="105"/>
      <c r="BH903" s="105">
        <v>0</v>
      </c>
      <c r="BI903" s="105">
        <v>2502754.0279999999</v>
      </c>
      <c r="BJ903" s="52">
        <v>2502754.0279999999</v>
      </c>
      <c r="BK903" s="56">
        <v>43374</v>
      </c>
      <c r="BL903" s="109">
        <v>2502754.0299999998</v>
      </c>
      <c r="BM903" s="100">
        <v>0</v>
      </c>
      <c r="BN903" s="9"/>
      <c r="BO903" s="9"/>
      <c r="BP903" s="9"/>
      <c r="BQ903" s="9"/>
      <c r="BR903" s="9"/>
      <c r="BS903" s="9"/>
      <c r="BT903" s="9"/>
      <c r="BU903" s="9"/>
      <c r="BV903" s="9"/>
      <c r="BW903" s="9"/>
    </row>
    <row r="904" spans="1:75" hidden="1" outlineLevel="2" x14ac:dyDescent="0.25">
      <c r="A904" s="43" t="s">
        <v>275</v>
      </c>
      <c r="B904" s="110" t="s">
        <v>939</v>
      </c>
      <c r="C904" s="45">
        <v>2018</v>
      </c>
      <c r="D904" s="110" t="s">
        <v>90</v>
      </c>
      <c r="E904" s="47">
        <v>6470870.0020000003</v>
      </c>
      <c r="F904" s="47">
        <v>0</v>
      </c>
      <c r="G904" s="47">
        <v>0</v>
      </c>
      <c r="H904" s="47">
        <v>0</v>
      </c>
      <c r="I904" s="47">
        <v>0</v>
      </c>
      <c r="J904" s="47">
        <v>0</v>
      </c>
      <c r="K904" s="47">
        <v>0</v>
      </c>
      <c r="L904" s="47">
        <v>0</v>
      </c>
      <c r="M904" s="47">
        <v>0</v>
      </c>
      <c r="N904" s="47">
        <v>0</v>
      </c>
      <c r="O904" s="47">
        <v>0</v>
      </c>
      <c r="P904" s="47">
        <v>0</v>
      </c>
      <c r="Q904" s="47">
        <v>0</v>
      </c>
      <c r="R904" s="47">
        <v>0</v>
      </c>
      <c r="S904" s="47">
        <v>0</v>
      </c>
      <c r="T904" s="47">
        <v>0</v>
      </c>
      <c r="U904" s="47">
        <v>0</v>
      </c>
      <c r="V904" s="47">
        <v>0</v>
      </c>
      <c r="W904" s="47">
        <v>0</v>
      </c>
      <c r="X904" s="47">
        <v>0</v>
      </c>
      <c r="Y904" s="48">
        <v>6470870.0020000003</v>
      </c>
      <c r="Z904" s="49">
        <v>0</v>
      </c>
      <c r="AA904" s="50">
        <v>0</v>
      </c>
      <c r="AB904" s="50">
        <v>0</v>
      </c>
      <c r="AC904" s="50">
        <v>0</v>
      </c>
      <c r="AD904" s="50">
        <v>0</v>
      </c>
      <c r="AE904" s="50">
        <v>0</v>
      </c>
      <c r="AF904" s="50">
        <v>0</v>
      </c>
      <c r="AG904" s="49">
        <v>0</v>
      </c>
      <c r="AH904" s="51" t="s">
        <v>74</v>
      </c>
      <c r="AI904" s="51" t="s">
        <v>74</v>
      </c>
      <c r="AJ904" s="51" t="s">
        <v>74</v>
      </c>
      <c r="AK904" s="51" t="s">
        <v>74</v>
      </c>
      <c r="AL904" s="51" t="s">
        <v>74</v>
      </c>
      <c r="AM904" s="51" t="s">
        <v>74</v>
      </c>
      <c r="AN904" s="52">
        <v>0</v>
      </c>
      <c r="AO904" s="52">
        <v>0</v>
      </c>
      <c r="AP904" s="52">
        <v>0</v>
      </c>
      <c r="AQ904" s="52">
        <v>0</v>
      </c>
      <c r="AR904" s="52">
        <v>0</v>
      </c>
      <c r="AS904" s="52">
        <v>0</v>
      </c>
      <c r="AT904" s="70" t="s">
        <v>74</v>
      </c>
      <c r="AU904" s="52">
        <v>0</v>
      </c>
      <c r="AV904" s="52"/>
      <c r="AW904" s="52">
        <v>0</v>
      </c>
      <c r="AX904" s="52"/>
      <c r="AY904" s="52"/>
      <c r="AZ904" s="52">
        <v>0</v>
      </c>
      <c r="BA904" s="52">
        <v>0</v>
      </c>
      <c r="BB904" s="52" t="s">
        <v>74</v>
      </c>
      <c r="BC904" s="52" t="s">
        <v>74</v>
      </c>
      <c r="BD904" s="52" t="s">
        <v>74</v>
      </c>
      <c r="BE904" s="52" t="s">
        <v>74</v>
      </c>
      <c r="BF904" s="52" t="s">
        <v>74</v>
      </c>
      <c r="BG904" s="52"/>
      <c r="BH904" s="52">
        <v>0</v>
      </c>
      <c r="BI904" s="52">
        <v>6470870.0020000003</v>
      </c>
      <c r="BJ904" s="52">
        <v>6470870.0020000003</v>
      </c>
      <c r="BK904" s="56">
        <v>43405</v>
      </c>
      <c r="BL904" s="57">
        <v>6470870</v>
      </c>
      <c r="BM904" s="47">
        <v>0</v>
      </c>
      <c r="BN904" s="9"/>
      <c r="BO904" s="9"/>
      <c r="BP904" s="9"/>
      <c r="BQ904" s="9"/>
      <c r="BR904" s="9"/>
      <c r="BS904" s="9"/>
      <c r="BT904" s="9"/>
      <c r="BU904" s="9"/>
      <c r="BV904" s="9"/>
      <c r="BW904" s="9"/>
    </row>
    <row r="905" spans="1:75" ht="64.5" hidden="1" outlineLevel="2" x14ac:dyDescent="0.25">
      <c r="A905" s="43" t="s">
        <v>275</v>
      </c>
      <c r="B905" s="110" t="s">
        <v>939</v>
      </c>
      <c r="C905" s="45">
        <v>2018</v>
      </c>
      <c r="D905" s="110" t="s">
        <v>93</v>
      </c>
      <c r="E905" s="47">
        <v>7005832.3320000004</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7005832.3320000004</v>
      </c>
      <c r="Z905" s="58">
        <v>2282492.06</v>
      </c>
      <c r="AA905" s="50">
        <v>2282492.06</v>
      </c>
      <c r="AB905" s="50">
        <v>0</v>
      </c>
      <c r="AC905" s="50">
        <v>5248.08</v>
      </c>
      <c r="AD905" s="50">
        <v>26667.06</v>
      </c>
      <c r="AE905" s="50">
        <v>3465197.65</v>
      </c>
      <c r="AF905" s="50">
        <v>0</v>
      </c>
      <c r="AG905" s="49">
        <v>5779604.8499999996</v>
      </c>
      <c r="AH905" s="51" t="s">
        <v>940</v>
      </c>
      <c r="AI905" s="51" t="s">
        <v>74</v>
      </c>
      <c r="AJ905" s="51" t="s">
        <v>941</v>
      </c>
      <c r="AK905" s="51" t="s">
        <v>128</v>
      </c>
      <c r="AL905" s="51" t="s">
        <v>942</v>
      </c>
      <c r="AM905" s="51" t="s">
        <v>74</v>
      </c>
      <c r="AN905" s="52">
        <v>0</v>
      </c>
      <c r="AO905" s="52">
        <v>0</v>
      </c>
      <c r="AP905" s="52">
        <v>0</v>
      </c>
      <c r="AQ905" s="52">
        <v>0</v>
      </c>
      <c r="AR905" s="52">
        <v>0</v>
      </c>
      <c r="AS905" s="52">
        <v>0</v>
      </c>
      <c r="AT905" s="70" t="s">
        <v>74</v>
      </c>
      <c r="AU905" s="52">
        <v>0</v>
      </c>
      <c r="AV905" s="52"/>
      <c r="AW905" s="52">
        <v>0</v>
      </c>
      <c r="AX905" s="52"/>
      <c r="AY905" s="52"/>
      <c r="AZ905" s="52">
        <v>0</v>
      </c>
      <c r="BA905" s="52">
        <v>0</v>
      </c>
      <c r="BB905" s="52" t="s">
        <v>74</v>
      </c>
      <c r="BC905" s="52" t="s">
        <v>74</v>
      </c>
      <c r="BD905" s="52" t="s">
        <v>74</v>
      </c>
      <c r="BE905" s="52" t="s">
        <v>74</v>
      </c>
      <c r="BF905" s="52" t="s">
        <v>74</v>
      </c>
      <c r="BG905" s="52"/>
      <c r="BH905" s="52">
        <v>0</v>
      </c>
      <c r="BI905" s="52">
        <v>1226227.4820000001</v>
      </c>
      <c r="BJ905" s="52">
        <v>1226227.4820000001</v>
      </c>
      <c r="BK905" s="56">
        <v>43435</v>
      </c>
      <c r="BL905" s="57">
        <v>1226227.48</v>
      </c>
      <c r="BM905" s="47">
        <v>0</v>
      </c>
      <c r="BN905" s="9"/>
      <c r="BO905" s="9"/>
      <c r="BP905" s="9"/>
      <c r="BQ905" s="9"/>
      <c r="BR905" s="9"/>
      <c r="BS905" s="9"/>
      <c r="BT905" s="9"/>
      <c r="BU905" s="9"/>
      <c r="BV905" s="9"/>
      <c r="BW905" s="9"/>
    </row>
    <row r="906" spans="1:75" ht="90" hidden="1" outlineLevel="2" x14ac:dyDescent="0.25">
      <c r="A906" s="43" t="s">
        <v>275</v>
      </c>
      <c r="B906" s="110" t="s">
        <v>939</v>
      </c>
      <c r="C906" s="45">
        <v>2019</v>
      </c>
      <c r="D906" s="110" t="s">
        <v>73</v>
      </c>
      <c r="E906" s="47">
        <v>7540794.6619999995</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7540794.6619999995</v>
      </c>
      <c r="Z906" s="58">
        <v>1623482.32</v>
      </c>
      <c r="AA906" s="50">
        <v>1623482.32</v>
      </c>
      <c r="AB906" s="50">
        <v>0</v>
      </c>
      <c r="AC906" s="50">
        <v>2980.78</v>
      </c>
      <c r="AD906" s="50">
        <v>30525.94</v>
      </c>
      <c r="AE906" s="50">
        <v>0</v>
      </c>
      <c r="AF906" s="50">
        <v>0</v>
      </c>
      <c r="AG906" s="49">
        <v>1656989.04</v>
      </c>
      <c r="AH906" s="51" t="s">
        <v>104</v>
      </c>
      <c r="AI906" s="51" t="s">
        <v>74</v>
      </c>
      <c r="AJ906" s="51" t="s">
        <v>943</v>
      </c>
      <c r="AK906" s="51" t="s">
        <v>944</v>
      </c>
      <c r="AL906" s="51" t="s">
        <v>74</v>
      </c>
      <c r="AM906" s="51" t="s">
        <v>74</v>
      </c>
      <c r="AN906" s="52">
        <v>217.31</v>
      </c>
      <c r="AO906" s="52">
        <v>0</v>
      </c>
      <c r="AP906" s="52">
        <v>0</v>
      </c>
      <c r="AQ906" s="52">
        <v>0</v>
      </c>
      <c r="AR906" s="52">
        <v>0</v>
      </c>
      <c r="AS906" s="52">
        <v>217.31</v>
      </c>
      <c r="AT906" s="70" t="s">
        <v>945</v>
      </c>
      <c r="AU906" s="52">
        <v>0</v>
      </c>
      <c r="AV906" s="52"/>
      <c r="AW906" s="52">
        <v>0</v>
      </c>
      <c r="AX906" s="52"/>
      <c r="AY906" s="52"/>
      <c r="AZ906" s="52">
        <v>0</v>
      </c>
      <c r="BA906" s="52">
        <v>0</v>
      </c>
      <c r="BB906" s="52" t="s">
        <v>74</v>
      </c>
      <c r="BC906" s="52" t="s">
        <v>74</v>
      </c>
      <c r="BD906" s="52" t="s">
        <v>74</v>
      </c>
      <c r="BE906" s="52" t="s">
        <v>74</v>
      </c>
      <c r="BF906" s="52" t="s">
        <v>74</v>
      </c>
      <c r="BG906" s="52"/>
      <c r="BH906" s="52">
        <v>217.31</v>
      </c>
      <c r="BI906" s="52">
        <v>5884022.932</v>
      </c>
      <c r="BJ906" s="52">
        <v>5883805.6220000004</v>
      </c>
      <c r="BK906" s="56">
        <v>43466</v>
      </c>
      <c r="BL906" s="57">
        <v>5884022.9299999997</v>
      </c>
      <c r="BM906" s="47">
        <v>0</v>
      </c>
      <c r="BN906" s="9"/>
      <c r="BO906" s="9"/>
      <c r="BP906" s="9"/>
      <c r="BQ906" s="9"/>
      <c r="BR906" s="9"/>
      <c r="BS906" s="9"/>
      <c r="BT906" s="9"/>
      <c r="BU906" s="9"/>
      <c r="BV906" s="9"/>
      <c r="BW906" s="9"/>
    </row>
    <row r="907" spans="1:75" ht="64.5" hidden="1" outlineLevel="2" x14ac:dyDescent="0.25">
      <c r="A907" s="43" t="s">
        <v>275</v>
      </c>
      <c r="B907" s="110" t="s">
        <v>939</v>
      </c>
      <c r="C907" s="45">
        <v>2019</v>
      </c>
      <c r="D907" s="110" t="s">
        <v>75</v>
      </c>
      <c r="E907" s="47">
        <v>8075756.9919999996</v>
      </c>
      <c r="F907" s="47">
        <v>0</v>
      </c>
      <c r="G907" s="47">
        <v>0</v>
      </c>
      <c r="H907" s="47">
        <v>0</v>
      </c>
      <c r="I907" s="47">
        <v>0</v>
      </c>
      <c r="J907" s="47">
        <v>0</v>
      </c>
      <c r="K907" s="47">
        <v>0</v>
      </c>
      <c r="L907" s="47">
        <v>0</v>
      </c>
      <c r="M907" s="47">
        <v>0</v>
      </c>
      <c r="N907" s="47">
        <v>0</v>
      </c>
      <c r="O907" s="47">
        <v>0</v>
      </c>
      <c r="P907" s="47">
        <v>0</v>
      </c>
      <c r="Q907" s="47">
        <v>0</v>
      </c>
      <c r="R907" s="47">
        <v>0</v>
      </c>
      <c r="S907" s="47">
        <v>0</v>
      </c>
      <c r="T907" s="47">
        <v>0</v>
      </c>
      <c r="U907" s="47">
        <v>0</v>
      </c>
      <c r="V907" s="47">
        <v>0</v>
      </c>
      <c r="W907" s="47">
        <v>0</v>
      </c>
      <c r="X907" s="47">
        <v>0</v>
      </c>
      <c r="Y907" s="48">
        <v>8075756.9919999996</v>
      </c>
      <c r="Z907" s="58">
        <v>1561756.89</v>
      </c>
      <c r="AA907" s="50">
        <v>1465527.35</v>
      </c>
      <c r="AB907" s="50">
        <v>0</v>
      </c>
      <c r="AC907" s="50">
        <v>0</v>
      </c>
      <c r="AD907" s="50">
        <v>0</v>
      </c>
      <c r="AE907" s="50">
        <v>0</v>
      </c>
      <c r="AF907" s="50">
        <v>0</v>
      </c>
      <c r="AG907" s="49">
        <v>1465527.35</v>
      </c>
      <c r="AH907" s="51" t="s">
        <v>946</v>
      </c>
      <c r="AI907" s="51" t="s">
        <v>74</v>
      </c>
      <c r="AJ907" s="51"/>
      <c r="AK907" s="51" t="s">
        <v>74</v>
      </c>
      <c r="AL907" s="51" t="s">
        <v>74</v>
      </c>
      <c r="AM907" s="51" t="s">
        <v>74</v>
      </c>
      <c r="AN907" s="52">
        <v>0</v>
      </c>
      <c r="AO907" s="52">
        <v>0</v>
      </c>
      <c r="AP907" s="52">
        <v>0</v>
      </c>
      <c r="AQ907" s="52">
        <v>0</v>
      </c>
      <c r="AR907" s="52">
        <v>0</v>
      </c>
      <c r="AS907" s="52">
        <v>0</v>
      </c>
      <c r="AT907" s="70" t="s">
        <v>74</v>
      </c>
      <c r="AU907" s="52">
        <v>0</v>
      </c>
      <c r="AV907" s="52"/>
      <c r="AW907" s="52">
        <v>0</v>
      </c>
      <c r="AX907" s="52"/>
      <c r="AY907" s="52"/>
      <c r="AZ907" s="52">
        <v>0</v>
      </c>
      <c r="BA907" s="52">
        <v>0</v>
      </c>
      <c r="BB907" s="52" t="s">
        <v>74</v>
      </c>
      <c r="BC907" s="52" t="s">
        <v>74</v>
      </c>
      <c r="BD907" s="52" t="s">
        <v>74</v>
      </c>
      <c r="BE907" s="52" t="s">
        <v>74</v>
      </c>
      <c r="BF907" s="52" t="s">
        <v>74</v>
      </c>
      <c r="BG907" s="52"/>
      <c r="BH907" s="52">
        <v>0</v>
      </c>
      <c r="BI907" s="52">
        <v>6610229.642</v>
      </c>
      <c r="BJ907" s="52">
        <v>6610229.642</v>
      </c>
      <c r="BK907" s="56">
        <v>43497</v>
      </c>
      <c r="BL907" s="57">
        <v>6610229.6399999997</v>
      </c>
      <c r="BM907" s="47">
        <v>0</v>
      </c>
      <c r="BN907" s="9"/>
      <c r="BO907" s="9"/>
      <c r="BP907" s="9"/>
      <c r="BQ907" s="9"/>
      <c r="BR907" s="9"/>
      <c r="BS907" s="9"/>
      <c r="BT907" s="9"/>
      <c r="BU907" s="9"/>
      <c r="BV907" s="9"/>
      <c r="BW907" s="9"/>
    </row>
    <row r="908" spans="1:75" ht="102.75" hidden="1" outlineLevel="2" x14ac:dyDescent="0.25">
      <c r="A908" s="43" t="s">
        <v>275</v>
      </c>
      <c r="B908" s="110" t="s">
        <v>939</v>
      </c>
      <c r="C908" s="45">
        <v>2019</v>
      </c>
      <c r="D908" s="110" t="s">
        <v>77</v>
      </c>
      <c r="E908" s="47">
        <v>8610719.3220000006</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8610719.3220000006</v>
      </c>
      <c r="Z908" s="58">
        <v>1584895.05</v>
      </c>
      <c r="AA908" s="50">
        <v>1465527.35</v>
      </c>
      <c r="AB908" s="50">
        <v>96229.54</v>
      </c>
      <c r="AC908" s="50">
        <v>2650.69</v>
      </c>
      <c r="AD908" s="50">
        <v>31567.55</v>
      </c>
      <c r="AE908" s="50">
        <v>0</v>
      </c>
      <c r="AF908" s="50">
        <v>0</v>
      </c>
      <c r="AG908" s="49">
        <v>1595975.13</v>
      </c>
      <c r="AH908" s="51" t="s">
        <v>947</v>
      </c>
      <c r="AI908" s="51" t="s">
        <v>948</v>
      </c>
      <c r="AJ908" s="51" t="s">
        <v>949</v>
      </c>
      <c r="AK908" s="51" t="s">
        <v>950</v>
      </c>
      <c r="AL908" s="51" t="s">
        <v>74</v>
      </c>
      <c r="AM908" s="51" t="s">
        <v>74</v>
      </c>
      <c r="AN908" s="52">
        <v>0</v>
      </c>
      <c r="AO908" s="52">
        <v>0</v>
      </c>
      <c r="AP908" s="52">
        <v>0</v>
      </c>
      <c r="AQ908" s="52">
        <v>0</v>
      </c>
      <c r="AR908" s="52">
        <v>0</v>
      </c>
      <c r="AS908" s="52">
        <v>0</v>
      </c>
      <c r="AT908" s="70" t="s">
        <v>74</v>
      </c>
      <c r="AU908" s="52">
        <v>0</v>
      </c>
      <c r="AV908" s="52"/>
      <c r="AW908" s="52">
        <v>0</v>
      </c>
      <c r="AX908" s="52"/>
      <c r="AY908" s="52"/>
      <c r="AZ908" s="52">
        <v>0</v>
      </c>
      <c r="BA908" s="52">
        <v>0</v>
      </c>
      <c r="BB908" s="52" t="s">
        <v>74</v>
      </c>
      <c r="BC908" s="52" t="s">
        <v>74</v>
      </c>
      <c r="BD908" s="52" t="s">
        <v>74</v>
      </c>
      <c r="BE908" s="52" t="s">
        <v>74</v>
      </c>
      <c r="BF908" s="52" t="s">
        <v>74</v>
      </c>
      <c r="BG908" s="52"/>
      <c r="BH908" s="52">
        <v>0</v>
      </c>
      <c r="BI908" s="52">
        <v>7014744.1919999998</v>
      </c>
      <c r="BJ908" s="52">
        <v>7014744.1919999998</v>
      </c>
      <c r="BK908" s="56">
        <v>43525</v>
      </c>
      <c r="BL908" s="57">
        <v>7014744.1900000004</v>
      </c>
      <c r="BM908" s="47">
        <v>0</v>
      </c>
      <c r="BN908" s="9"/>
      <c r="BO908" s="9"/>
      <c r="BP908" s="9"/>
      <c r="BQ908" s="9"/>
      <c r="BR908" s="9"/>
      <c r="BS908" s="9"/>
      <c r="BT908" s="9"/>
      <c r="BU908" s="9"/>
      <c r="BV908" s="9"/>
      <c r="BW908" s="9"/>
    </row>
    <row r="909" spans="1:75" ht="153.75" hidden="1" outlineLevel="2" x14ac:dyDescent="0.25">
      <c r="A909" s="43" t="s">
        <v>275</v>
      </c>
      <c r="B909" s="110" t="s">
        <v>939</v>
      </c>
      <c r="C909" s="45">
        <v>2019</v>
      </c>
      <c r="D909" s="110" t="s">
        <v>79</v>
      </c>
      <c r="E909" s="47">
        <v>8931696.7200000007</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8931696.7200000007</v>
      </c>
      <c r="Z909" s="58">
        <v>1507293.6</v>
      </c>
      <c r="AA909" s="50">
        <v>1465527.35</v>
      </c>
      <c r="AB909" s="50">
        <v>119367.7</v>
      </c>
      <c r="AC909" s="50">
        <v>20914.939999999999</v>
      </c>
      <c r="AD909" s="50">
        <v>29871.39</v>
      </c>
      <c r="AE909" s="50">
        <v>0</v>
      </c>
      <c r="AF909" s="50">
        <v>0</v>
      </c>
      <c r="AG909" s="49">
        <v>1635681.38</v>
      </c>
      <c r="AH909" s="51" t="s">
        <v>951</v>
      </c>
      <c r="AI909" s="51" t="s">
        <v>952</v>
      </c>
      <c r="AJ909" s="51" t="s">
        <v>953</v>
      </c>
      <c r="AK909" s="51" t="s">
        <v>954</v>
      </c>
      <c r="AL909" s="51" t="s">
        <v>74</v>
      </c>
      <c r="AM909" s="51" t="s">
        <v>74</v>
      </c>
      <c r="AN909" s="52">
        <v>0</v>
      </c>
      <c r="AO909" s="52">
        <v>0</v>
      </c>
      <c r="AP909" s="52">
        <v>0</v>
      </c>
      <c r="AQ909" s="52">
        <v>0</v>
      </c>
      <c r="AR909" s="52">
        <v>0</v>
      </c>
      <c r="AS909" s="52">
        <v>0</v>
      </c>
      <c r="AT909" s="70" t="s">
        <v>74</v>
      </c>
      <c r="AU909" s="52">
        <v>0</v>
      </c>
      <c r="AV909" s="52"/>
      <c r="AW909" s="52">
        <v>0</v>
      </c>
      <c r="AX909" s="52"/>
      <c r="AY909" s="52"/>
      <c r="AZ909" s="52">
        <v>0</v>
      </c>
      <c r="BA909" s="52">
        <v>0</v>
      </c>
      <c r="BB909" s="52" t="s">
        <v>74</v>
      </c>
      <c r="BC909" s="52" t="s">
        <v>74</v>
      </c>
      <c r="BD909" s="52" t="s">
        <v>74</v>
      </c>
      <c r="BE909" s="52" t="s">
        <v>74</v>
      </c>
      <c r="BF909" s="52" t="s">
        <v>74</v>
      </c>
      <c r="BG909" s="52"/>
      <c r="BH909" s="52">
        <v>0</v>
      </c>
      <c r="BI909" s="52">
        <v>7296015.3399999999</v>
      </c>
      <c r="BJ909" s="52">
        <v>7296015.3399999999</v>
      </c>
      <c r="BK909" s="56">
        <v>43556</v>
      </c>
      <c r="BL909" s="57">
        <v>7296015.3399999999</v>
      </c>
      <c r="BM909" s="47">
        <v>0</v>
      </c>
      <c r="BN909" s="9"/>
      <c r="BO909" s="9"/>
      <c r="BP909" s="9"/>
      <c r="BQ909" s="9"/>
      <c r="BR909" s="9"/>
      <c r="BS909" s="9"/>
      <c r="BT909" s="9"/>
      <c r="BU909" s="9"/>
      <c r="BV909" s="9"/>
      <c r="BW909" s="9"/>
    </row>
    <row r="910" spans="1:75" ht="115.5" hidden="1" outlineLevel="2" x14ac:dyDescent="0.25">
      <c r="A910" s="43" t="s">
        <v>275</v>
      </c>
      <c r="B910" s="110" t="s">
        <v>939</v>
      </c>
      <c r="C910" s="45">
        <v>2019</v>
      </c>
      <c r="D910" s="110" t="s">
        <v>81</v>
      </c>
      <c r="E910" s="47">
        <v>8931696.7200000007</v>
      </c>
      <c r="F910" s="47">
        <v>0</v>
      </c>
      <c r="G910" s="47">
        <v>0</v>
      </c>
      <c r="H910" s="47">
        <v>0</v>
      </c>
      <c r="I910" s="47">
        <v>0</v>
      </c>
      <c r="J910" s="47">
        <v>0</v>
      </c>
      <c r="K910" s="47">
        <v>0</v>
      </c>
      <c r="L910" s="47">
        <v>0</v>
      </c>
      <c r="M910" s="47">
        <v>0</v>
      </c>
      <c r="N910" s="47">
        <v>0</v>
      </c>
      <c r="O910" s="47">
        <v>0</v>
      </c>
      <c r="P910" s="47">
        <v>0</v>
      </c>
      <c r="Q910" s="47">
        <v>0</v>
      </c>
      <c r="R910" s="47">
        <v>0</v>
      </c>
      <c r="S910" s="47">
        <v>0</v>
      </c>
      <c r="T910" s="47">
        <v>0</v>
      </c>
      <c r="U910" s="47">
        <v>0</v>
      </c>
      <c r="V910" s="47">
        <v>0</v>
      </c>
      <c r="W910" s="47">
        <v>0</v>
      </c>
      <c r="X910" s="47">
        <v>0</v>
      </c>
      <c r="Y910" s="48">
        <v>8931696.7200000007</v>
      </c>
      <c r="Z910" s="58">
        <v>1411585.54</v>
      </c>
      <c r="AA910" s="50">
        <v>1411585.54</v>
      </c>
      <c r="AB910" s="50">
        <v>41766.25</v>
      </c>
      <c r="AC910" s="50">
        <v>2727.49</v>
      </c>
      <c r="AD910" s="50">
        <v>27677.18</v>
      </c>
      <c r="AE910" s="50">
        <v>0</v>
      </c>
      <c r="AF910" s="50">
        <v>0</v>
      </c>
      <c r="AG910" s="49">
        <v>1483756.46</v>
      </c>
      <c r="AH910" s="51" t="s">
        <v>104</v>
      </c>
      <c r="AI910" s="51" t="s">
        <v>955</v>
      </c>
      <c r="AJ910" s="51" t="s">
        <v>956</v>
      </c>
      <c r="AK910" s="51" t="s">
        <v>957</v>
      </c>
      <c r="AL910" s="51" t="s">
        <v>74</v>
      </c>
      <c r="AM910" s="51" t="s">
        <v>74</v>
      </c>
      <c r="AN910" s="52">
        <v>0</v>
      </c>
      <c r="AO910" s="52">
        <v>0</v>
      </c>
      <c r="AP910" s="52">
        <v>0</v>
      </c>
      <c r="AQ910" s="52">
        <v>0</v>
      </c>
      <c r="AR910" s="52">
        <v>0</v>
      </c>
      <c r="AS910" s="52">
        <v>0</v>
      </c>
      <c r="AT910" s="70" t="s">
        <v>74</v>
      </c>
      <c r="AU910" s="52">
        <v>0</v>
      </c>
      <c r="AV910" s="52"/>
      <c r="AW910" s="52">
        <v>0</v>
      </c>
      <c r="AX910" s="52"/>
      <c r="AY910" s="52"/>
      <c r="AZ910" s="52">
        <v>0</v>
      </c>
      <c r="BA910" s="52">
        <v>0</v>
      </c>
      <c r="BB910" s="52" t="s">
        <v>74</v>
      </c>
      <c r="BC910" s="52" t="s">
        <v>74</v>
      </c>
      <c r="BD910" s="52" t="s">
        <v>74</v>
      </c>
      <c r="BE910" s="52" t="s">
        <v>74</v>
      </c>
      <c r="BF910" s="52" t="s">
        <v>74</v>
      </c>
      <c r="BG910" s="52"/>
      <c r="BH910" s="52">
        <v>0</v>
      </c>
      <c r="BI910" s="52">
        <v>7447940.2599999998</v>
      </c>
      <c r="BJ910" s="52">
        <v>7447940.2599999998</v>
      </c>
      <c r="BK910" s="56">
        <v>43586</v>
      </c>
      <c r="BL910" s="57">
        <v>7447940.2599999998</v>
      </c>
      <c r="BM910" s="47">
        <v>0</v>
      </c>
      <c r="BN910" s="9"/>
      <c r="BO910" s="9"/>
      <c r="BP910" s="9"/>
      <c r="BQ910" s="9"/>
      <c r="BR910" s="9"/>
      <c r="BS910" s="9"/>
      <c r="BT910" s="9"/>
      <c r="BU910" s="9"/>
      <c r="BV910" s="9"/>
      <c r="BW910" s="9"/>
    </row>
    <row r="911" spans="1:75" ht="153.75" hidden="1" outlineLevel="2" x14ac:dyDescent="0.25">
      <c r="A911" s="43" t="s">
        <v>275</v>
      </c>
      <c r="B911" s="110" t="s">
        <v>939</v>
      </c>
      <c r="C911" s="45">
        <v>2019</v>
      </c>
      <c r="D911" s="110" t="s">
        <v>83</v>
      </c>
      <c r="E911" s="47">
        <v>8931696.7200000007</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8931696.7200000007</v>
      </c>
      <c r="Z911" s="58">
        <v>1444295.47</v>
      </c>
      <c r="AA911" s="50">
        <v>1444295.47</v>
      </c>
      <c r="AB911" s="50">
        <v>0</v>
      </c>
      <c r="AC911" s="50">
        <v>9574.2099999999991</v>
      </c>
      <c r="AD911" s="50">
        <v>28213.22</v>
      </c>
      <c r="AE911" s="50">
        <v>0</v>
      </c>
      <c r="AF911" s="50">
        <v>0</v>
      </c>
      <c r="AG911" s="49">
        <v>1482082.9</v>
      </c>
      <c r="AH911" s="51" t="s">
        <v>104</v>
      </c>
      <c r="AI911" s="51" t="s">
        <v>74</v>
      </c>
      <c r="AJ911" s="51" t="s">
        <v>958</v>
      </c>
      <c r="AK911" s="51" t="s">
        <v>959</v>
      </c>
      <c r="AL911" s="51" t="s">
        <v>74</v>
      </c>
      <c r="AM911" s="51" t="s">
        <v>74</v>
      </c>
      <c r="AN911" s="52">
        <v>0</v>
      </c>
      <c r="AO911" s="52">
        <v>0</v>
      </c>
      <c r="AP911" s="52">
        <v>0</v>
      </c>
      <c r="AQ911" s="52">
        <v>0</v>
      </c>
      <c r="AR911" s="52">
        <v>0</v>
      </c>
      <c r="AS911" s="52">
        <v>0</v>
      </c>
      <c r="AT911" s="70" t="s">
        <v>74</v>
      </c>
      <c r="AU911" s="52">
        <v>0</v>
      </c>
      <c r="AV911" s="52"/>
      <c r="AW911" s="52">
        <v>0</v>
      </c>
      <c r="AX911" s="52"/>
      <c r="AY911" s="52"/>
      <c r="AZ911" s="52">
        <v>0</v>
      </c>
      <c r="BA911" s="52">
        <v>0</v>
      </c>
      <c r="BB911" s="52" t="s">
        <v>74</v>
      </c>
      <c r="BC911" s="52" t="s">
        <v>74</v>
      </c>
      <c r="BD911" s="52" t="s">
        <v>74</v>
      </c>
      <c r="BE911" s="52" t="s">
        <v>74</v>
      </c>
      <c r="BF911" s="52" t="s">
        <v>74</v>
      </c>
      <c r="BG911" s="52"/>
      <c r="BH911" s="52">
        <v>0</v>
      </c>
      <c r="BI911" s="52">
        <v>7449613.8200000003</v>
      </c>
      <c r="BJ911" s="52">
        <v>7449613.8200000003</v>
      </c>
      <c r="BK911" s="56">
        <v>43617</v>
      </c>
      <c r="BL911" s="57">
        <v>7449613.8200000003</v>
      </c>
      <c r="BM911" s="47">
        <v>0</v>
      </c>
      <c r="BN911" s="9"/>
      <c r="BO911" s="9"/>
      <c r="BP911" s="9"/>
      <c r="BQ911" s="9"/>
      <c r="BR911" s="9"/>
      <c r="BS911" s="9"/>
      <c r="BT911" s="9"/>
      <c r="BU911" s="9"/>
      <c r="BV911" s="9"/>
      <c r="BW911" s="9"/>
    </row>
    <row r="912" spans="1:75" ht="115.5" hidden="1" outlineLevel="2" x14ac:dyDescent="0.25">
      <c r="A912" s="43" t="s">
        <v>275</v>
      </c>
      <c r="B912" s="110" t="s">
        <v>939</v>
      </c>
      <c r="C912" s="45">
        <v>2019</v>
      </c>
      <c r="D912" s="110" t="s">
        <v>84</v>
      </c>
      <c r="E912" s="47">
        <v>8931696.7200000007</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8931696.7200000007</v>
      </c>
      <c r="Z912" s="58">
        <v>1351986.51</v>
      </c>
      <c r="AA912" s="50">
        <v>1351986.51</v>
      </c>
      <c r="AB912" s="50">
        <v>0</v>
      </c>
      <c r="AC912" s="50">
        <v>2187.75</v>
      </c>
      <c r="AD912" s="50">
        <v>29220.21</v>
      </c>
      <c r="AE912" s="50">
        <v>0</v>
      </c>
      <c r="AF912" s="50">
        <v>0</v>
      </c>
      <c r="AG912" s="49">
        <v>1383394.47</v>
      </c>
      <c r="AH912" s="51" t="s">
        <v>104</v>
      </c>
      <c r="AI912" s="51" t="s">
        <v>74</v>
      </c>
      <c r="AJ912" s="51" t="s">
        <v>960</v>
      </c>
      <c r="AK912" s="51" t="s">
        <v>961</v>
      </c>
      <c r="AL912" s="51" t="s">
        <v>74</v>
      </c>
      <c r="AM912" s="51" t="s">
        <v>74</v>
      </c>
      <c r="AN912" s="52">
        <v>0</v>
      </c>
      <c r="AO912" s="52">
        <v>0</v>
      </c>
      <c r="AP912" s="52">
        <v>0</v>
      </c>
      <c r="AQ912" s="52">
        <v>0</v>
      </c>
      <c r="AR912" s="52">
        <v>0</v>
      </c>
      <c r="AS912" s="52">
        <v>0</v>
      </c>
      <c r="AT912" s="70" t="s">
        <v>74</v>
      </c>
      <c r="AU912" s="52">
        <v>0</v>
      </c>
      <c r="AV912" s="52"/>
      <c r="AW912" s="52">
        <v>0</v>
      </c>
      <c r="AX912" s="52"/>
      <c r="AY912" s="52"/>
      <c r="AZ912" s="52">
        <v>0</v>
      </c>
      <c r="BA912" s="52">
        <v>0</v>
      </c>
      <c r="BB912" s="52" t="s">
        <v>74</v>
      </c>
      <c r="BC912" s="52" t="s">
        <v>74</v>
      </c>
      <c r="BD912" s="52" t="s">
        <v>74</v>
      </c>
      <c r="BE912" s="52" t="s">
        <v>74</v>
      </c>
      <c r="BF912" s="52" t="s">
        <v>74</v>
      </c>
      <c r="BG912" s="52"/>
      <c r="BH912" s="52">
        <v>0</v>
      </c>
      <c r="BI912" s="52">
        <v>7548302.25</v>
      </c>
      <c r="BJ912" s="52">
        <v>7548302.25</v>
      </c>
      <c r="BK912" s="56">
        <v>43647</v>
      </c>
      <c r="BL912" s="57">
        <v>7548302.25</v>
      </c>
      <c r="BM912" s="47">
        <v>0</v>
      </c>
      <c r="BN912" s="9"/>
      <c r="BO912" s="9"/>
      <c r="BP912" s="9"/>
      <c r="BQ912" s="9"/>
      <c r="BR912" s="9"/>
      <c r="BS912" s="9"/>
      <c r="BT912" s="9"/>
      <c r="BU912" s="9"/>
      <c r="BV912" s="9"/>
      <c r="BW912" s="9"/>
    </row>
    <row r="913" spans="1:75" ht="115.5" hidden="1" outlineLevel="2" x14ac:dyDescent="0.25">
      <c r="A913" s="43" t="s">
        <v>275</v>
      </c>
      <c r="B913" s="110" t="s">
        <v>939</v>
      </c>
      <c r="C913" s="45">
        <v>2019</v>
      </c>
      <c r="D913" s="110" t="s">
        <v>86</v>
      </c>
      <c r="E913" s="47">
        <v>8931696.7200000007</v>
      </c>
      <c r="F913" s="47">
        <v>0</v>
      </c>
      <c r="G913" s="47">
        <v>0</v>
      </c>
      <c r="H913" s="47">
        <v>0</v>
      </c>
      <c r="I913" s="47">
        <v>0</v>
      </c>
      <c r="J913" s="47">
        <v>0</v>
      </c>
      <c r="K913" s="47">
        <v>0</v>
      </c>
      <c r="L913" s="47">
        <v>0</v>
      </c>
      <c r="M913" s="47">
        <v>0</v>
      </c>
      <c r="N913" s="47">
        <v>0</v>
      </c>
      <c r="O913" s="47">
        <v>0</v>
      </c>
      <c r="P913" s="47">
        <v>0</v>
      </c>
      <c r="Q913" s="47">
        <v>0</v>
      </c>
      <c r="R913" s="47">
        <v>0</v>
      </c>
      <c r="S913" s="47">
        <v>0</v>
      </c>
      <c r="T913" s="47">
        <v>0</v>
      </c>
      <c r="U913" s="47">
        <v>0</v>
      </c>
      <c r="V913" s="47">
        <v>0</v>
      </c>
      <c r="W913" s="47">
        <v>0</v>
      </c>
      <c r="X913" s="47">
        <v>0</v>
      </c>
      <c r="Y913" s="48">
        <v>8931696.7200000007</v>
      </c>
      <c r="Z913" s="58">
        <v>1325467.05</v>
      </c>
      <c r="AA913" s="50">
        <v>1325467.05</v>
      </c>
      <c r="AB913" s="50">
        <v>0</v>
      </c>
      <c r="AC913" s="50">
        <v>2586.7399999999998</v>
      </c>
      <c r="AD913" s="50">
        <v>29485.78</v>
      </c>
      <c r="AE913" s="50">
        <v>0</v>
      </c>
      <c r="AF913" s="50">
        <v>0</v>
      </c>
      <c r="AG913" s="49">
        <v>1357539.57</v>
      </c>
      <c r="AH913" s="51" t="s">
        <v>104</v>
      </c>
      <c r="AI913" s="51" t="s">
        <v>74</v>
      </c>
      <c r="AJ913" s="51" t="s">
        <v>962</v>
      </c>
      <c r="AK913" s="51" t="s">
        <v>963</v>
      </c>
      <c r="AL913" s="51" t="s">
        <v>74</v>
      </c>
      <c r="AM913" s="51" t="s">
        <v>74</v>
      </c>
      <c r="AN913" s="52">
        <v>0</v>
      </c>
      <c r="AO913" s="52">
        <v>0</v>
      </c>
      <c r="AP913" s="52">
        <v>0</v>
      </c>
      <c r="AQ913" s="52">
        <v>0</v>
      </c>
      <c r="AR913" s="52">
        <v>0</v>
      </c>
      <c r="AS913" s="52">
        <v>0</v>
      </c>
      <c r="AT913" s="70" t="s">
        <v>74</v>
      </c>
      <c r="AU913" s="52">
        <v>0</v>
      </c>
      <c r="AV913" s="52"/>
      <c r="AW913" s="52">
        <v>0</v>
      </c>
      <c r="AX913" s="52"/>
      <c r="AY913" s="52"/>
      <c r="AZ913" s="52">
        <v>0</v>
      </c>
      <c r="BA913" s="52">
        <v>0</v>
      </c>
      <c r="BB913" s="52" t="s">
        <v>74</v>
      </c>
      <c r="BC913" s="52" t="s">
        <v>74</v>
      </c>
      <c r="BD913" s="52" t="s">
        <v>74</v>
      </c>
      <c r="BE913" s="52" t="s">
        <v>74</v>
      </c>
      <c r="BF913" s="52" t="s">
        <v>74</v>
      </c>
      <c r="BG913" s="52"/>
      <c r="BH913" s="52">
        <v>0</v>
      </c>
      <c r="BI913" s="52">
        <v>7574157.1500000004</v>
      </c>
      <c r="BJ913" s="52">
        <v>7574157.1500000004</v>
      </c>
      <c r="BK913" s="56">
        <v>43678</v>
      </c>
      <c r="BL913" s="57">
        <v>7574157.1500000004</v>
      </c>
      <c r="BM913" s="47">
        <v>0</v>
      </c>
      <c r="BN913" s="9"/>
      <c r="BO913" s="9"/>
      <c r="BP913" s="9"/>
      <c r="BQ913" s="9"/>
      <c r="BR913" s="9"/>
      <c r="BS913" s="9"/>
      <c r="BT913" s="9"/>
      <c r="BU913" s="9"/>
      <c r="BV913" s="9"/>
      <c r="BW913" s="9"/>
    </row>
    <row r="914" spans="1:75" ht="243" hidden="1" outlineLevel="2" x14ac:dyDescent="0.25">
      <c r="A914" s="43" t="s">
        <v>275</v>
      </c>
      <c r="B914" s="110" t="s">
        <v>939</v>
      </c>
      <c r="C914" s="45">
        <v>2019</v>
      </c>
      <c r="D914" s="110" t="s">
        <v>88</v>
      </c>
      <c r="E914" s="47">
        <v>8931696.7200000007</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8931696.7200000007</v>
      </c>
      <c r="Z914" s="58">
        <v>1351978.72</v>
      </c>
      <c r="AA914" s="50">
        <v>1351978.72</v>
      </c>
      <c r="AB914" s="50">
        <v>0</v>
      </c>
      <c r="AC914" s="50">
        <v>4994.53</v>
      </c>
      <c r="AD914" s="50">
        <v>65539.759999999995</v>
      </c>
      <c r="AE914" s="50">
        <v>5635901.7999999998</v>
      </c>
      <c r="AF914" s="50">
        <v>0</v>
      </c>
      <c r="AG914" s="49">
        <v>7058414.8099999996</v>
      </c>
      <c r="AH914" s="51" t="s">
        <v>104</v>
      </c>
      <c r="AI914" s="51" t="s">
        <v>74</v>
      </c>
      <c r="AJ914" s="51" t="s">
        <v>964</v>
      </c>
      <c r="AK914" s="51" t="s">
        <v>965</v>
      </c>
      <c r="AL914" s="51" t="s">
        <v>966</v>
      </c>
      <c r="AM914" s="51" t="s">
        <v>74</v>
      </c>
      <c r="AN914" s="52">
        <v>0</v>
      </c>
      <c r="AO914" s="52">
        <v>0</v>
      </c>
      <c r="AP914" s="52">
        <v>0</v>
      </c>
      <c r="AQ914" s="52">
        <v>0</v>
      </c>
      <c r="AR914" s="52">
        <v>0</v>
      </c>
      <c r="AS914" s="52">
        <v>0</v>
      </c>
      <c r="AT914" s="70" t="s">
        <v>74</v>
      </c>
      <c r="AU914" s="52">
        <v>0</v>
      </c>
      <c r="AV914" s="52"/>
      <c r="AW914" s="52">
        <v>0</v>
      </c>
      <c r="AX914" s="52"/>
      <c r="AY914" s="52"/>
      <c r="AZ914" s="52">
        <v>0</v>
      </c>
      <c r="BA914" s="52">
        <v>0</v>
      </c>
      <c r="BB914" s="52" t="s">
        <v>74</v>
      </c>
      <c r="BC914" s="52" t="s">
        <v>74</v>
      </c>
      <c r="BD914" s="52" t="s">
        <v>74</v>
      </c>
      <c r="BE914" s="52" t="s">
        <v>74</v>
      </c>
      <c r="BF914" s="52" t="s">
        <v>74</v>
      </c>
      <c r="BG914" s="52"/>
      <c r="BH914" s="52">
        <v>0</v>
      </c>
      <c r="BI914" s="52">
        <v>1873281.91</v>
      </c>
      <c r="BJ914" s="52">
        <v>1873281.91</v>
      </c>
      <c r="BK914" s="56">
        <v>43709</v>
      </c>
      <c r="BL914" s="57">
        <v>1873281.91</v>
      </c>
      <c r="BM914" s="47">
        <v>0</v>
      </c>
      <c r="BN914" s="9"/>
      <c r="BO914" s="9"/>
      <c r="BP914" s="9"/>
      <c r="BQ914" s="9"/>
      <c r="BR914" s="9"/>
      <c r="BS914" s="9"/>
      <c r="BT914" s="9"/>
      <c r="BU914" s="9"/>
      <c r="BV914" s="9"/>
      <c r="BW914" s="9"/>
    </row>
    <row r="915" spans="1:75" ht="255.75" hidden="1" outlineLevel="2" x14ac:dyDescent="0.25">
      <c r="A915" s="43" t="s">
        <v>275</v>
      </c>
      <c r="B915" s="110" t="s">
        <v>939</v>
      </c>
      <c r="C915" s="45">
        <v>2019</v>
      </c>
      <c r="D915" s="110" t="s">
        <v>89</v>
      </c>
      <c r="E915" s="47">
        <v>8931696.7200000007</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8931696.7200000007</v>
      </c>
      <c r="Z915" s="58">
        <v>1291397.22</v>
      </c>
      <c r="AA915" s="50">
        <v>1291397.22</v>
      </c>
      <c r="AB915" s="50">
        <v>0</v>
      </c>
      <c r="AC915" s="50">
        <v>0</v>
      </c>
      <c r="AD915" s="50">
        <v>0</v>
      </c>
      <c r="AE915" s="50">
        <v>1705514.32</v>
      </c>
      <c r="AF915" s="50">
        <v>0</v>
      </c>
      <c r="AG915" s="49">
        <v>2996911.54</v>
      </c>
      <c r="AH915" s="51" t="s">
        <v>104</v>
      </c>
      <c r="AI915" s="51" t="s">
        <v>74</v>
      </c>
      <c r="AJ915" s="51" t="s">
        <v>74</v>
      </c>
      <c r="AK915" s="51" t="s">
        <v>74</v>
      </c>
      <c r="AL915" s="51" t="s">
        <v>967</v>
      </c>
      <c r="AM915" s="51" t="s">
        <v>74</v>
      </c>
      <c r="AN915" s="52"/>
      <c r="AO915" s="52"/>
      <c r="AP915" s="52"/>
      <c r="AQ915" s="52"/>
      <c r="AR915" s="52"/>
      <c r="AS915" s="52">
        <v>0</v>
      </c>
      <c r="AT915" s="70" t="s">
        <v>74</v>
      </c>
      <c r="AU915" s="52">
        <v>8253.4</v>
      </c>
      <c r="AV915" s="52"/>
      <c r="AW915" s="52">
        <v>0</v>
      </c>
      <c r="AX915" s="52"/>
      <c r="AY915" s="52"/>
      <c r="AZ915" s="52">
        <v>0</v>
      </c>
      <c r="BA915" s="52">
        <v>8253.4</v>
      </c>
      <c r="BB915" s="158" t="s">
        <v>968</v>
      </c>
      <c r="BC915" s="52" t="s">
        <v>74</v>
      </c>
      <c r="BD915" s="52" t="s">
        <v>74</v>
      </c>
      <c r="BE915" s="52" t="s">
        <v>74</v>
      </c>
      <c r="BF915" s="52" t="s">
        <v>74</v>
      </c>
      <c r="BG915" s="52"/>
      <c r="BH915" s="52">
        <v>8253.4</v>
      </c>
      <c r="BI915" s="52">
        <v>5943038.5800000001</v>
      </c>
      <c r="BJ915" s="52">
        <v>5934785.1799999997</v>
      </c>
      <c r="BK915" s="56">
        <v>43739</v>
      </c>
      <c r="BL915" s="57">
        <v>5943038.5800000001</v>
      </c>
      <c r="BM915" s="47">
        <v>0</v>
      </c>
      <c r="BN915" s="9"/>
      <c r="BO915" s="9"/>
      <c r="BP915" s="9"/>
      <c r="BQ915" s="9"/>
      <c r="BR915" s="9"/>
      <c r="BS915" s="9"/>
      <c r="BT915" s="9"/>
      <c r="BU915" s="9"/>
      <c r="BV915" s="9"/>
      <c r="BW915" s="9"/>
    </row>
    <row r="916" spans="1:75" ht="243" hidden="1" outlineLevel="2" x14ac:dyDescent="0.25">
      <c r="A916" s="43" t="s">
        <v>275</v>
      </c>
      <c r="B916" s="110" t="s">
        <v>939</v>
      </c>
      <c r="C916" s="45">
        <v>2019</v>
      </c>
      <c r="D916" s="110" t="s">
        <v>90</v>
      </c>
      <c r="E916" s="47">
        <v>8931696.7200000007</v>
      </c>
      <c r="F916" s="47">
        <v>0</v>
      </c>
      <c r="G916" s="47">
        <v>0</v>
      </c>
      <c r="H916" s="47">
        <v>0</v>
      </c>
      <c r="I916" s="47">
        <v>0</v>
      </c>
      <c r="J916" s="47">
        <v>0</v>
      </c>
      <c r="K916" s="47">
        <v>0</v>
      </c>
      <c r="L916" s="47">
        <v>0</v>
      </c>
      <c r="M916" s="47">
        <v>0</v>
      </c>
      <c r="N916" s="47">
        <v>0</v>
      </c>
      <c r="O916" s="47">
        <v>0</v>
      </c>
      <c r="P916" s="47">
        <v>0</v>
      </c>
      <c r="Q916" s="47">
        <v>0</v>
      </c>
      <c r="R916" s="47">
        <v>0</v>
      </c>
      <c r="S916" s="47">
        <v>0</v>
      </c>
      <c r="T916" s="47">
        <v>0</v>
      </c>
      <c r="U916" s="47">
        <v>0</v>
      </c>
      <c r="V916" s="47">
        <v>0</v>
      </c>
      <c r="W916" s="47">
        <v>0</v>
      </c>
      <c r="X916" s="47">
        <v>0</v>
      </c>
      <c r="Y916" s="48">
        <v>8931696.7200000007</v>
      </c>
      <c r="Z916" s="58">
        <v>1215778.43</v>
      </c>
      <c r="AA916" s="50">
        <v>1215778.43</v>
      </c>
      <c r="AB916" s="50">
        <v>0</v>
      </c>
      <c r="AC916" s="50">
        <v>20910.61</v>
      </c>
      <c r="AD916" s="50">
        <v>38998.68</v>
      </c>
      <c r="AE916" s="50">
        <v>0</v>
      </c>
      <c r="AF916" s="50">
        <v>0</v>
      </c>
      <c r="AG916" s="49">
        <v>1275687.72</v>
      </c>
      <c r="AH916" s="51" t="s">
        <v>104</v>
      </c>
      <c r="AI916" s="51" t="s">
        <v>74</v>
      </c>
      <c r="AJ916" s="51" t="s">
        <v>969</v>
      </c>
      <c r="AK916" s="51" t="s">
        <v>970</v>
      </c>
      <c r="AL916" s="51" t="s">
        <v>74</v>
      </c>
      <c r="AM916" s="51" t="s">
        <v>74</v>
      </c>
      <c r="AN916" s="52">
        <v>0</v>
      </c>
      <c r="AO916" s="52">
        <v>0</v>
      </c>
      <c r="AP916" s="52">
        <v>0</v>
      </c>
      <c r="AQ916" s="52">
        <v>0</v>
      </c>
      <c r="AR916" s="52">
        <v>0</v>
      </c>
      <c r="AS916" s="52">
        <v>0</v>
      </c>
      <c r="AT916" s="70" t="s">
        <v>74</v>
      </c>
      <c r="AU916" s="52">
        <v>0</v>
      </c>
      <c r="AV916" s="52"/>
      <c r="AW916" s="52">
        <v>0</v>
      </c>
      <c r="AX916" s="52"/>
      <c r="AY916" s="52"/>
      <c r="AZ916" s="52">
        <v>0</v>
      </c>
      <c r="BA916" s="52">
        <v>0</v>
      </c>
      <c r="BB916" s="52" t="s">
        <v>74</v>
      </c>
      <c r="BC916" s="52" t="s">
        <v>74</v>
      </c>
      <c r="BD916" s="52" t="s">
        <v>74</v>
      </c>
      <c r="BE916" s="52" t="s">
        <v>74</v>
      </c>
      <c r="BF916" s="52" t="s">
        <v>74</v>
      </c>
      <c r="BG916" s="52"/>
      <c r="BH916" s="52">
        <v>0</v>
      </c>
      <c r="BI916" s="52">
        <v>7656009</v>
      </c>
      <c r="BJ916" s="52">
        <v>7656009</v>
      </c>
      <c r="BK916" s="56">
        <v>43770</v>
      </c>
      <c r="BL916" s="57">
        <v>7656009</v>
      </c>
      <c r="BM916" s="47">
        <v>0</v>
      </c>
      <c r="BN916" s="9"/>
      <c r="BO916" s="9"/>
      <c r="BP916" s="9"/>
      <c r="BQ916" s="9"/>
      <c r="BR916" s="9"/>
      <c r="BS916" s="9"/>
      <c r="BT916" s="9"/>
      <c r="BU916" s="9"/>
      <c r="BV916" s="9"/>
      <c r="BW916" s="9"/>
    </row>
    <row r="917" spans="1:75" ht="319.5" hidden="1" outlineLevel="2" x14ac:dyDescent="0.25">
      <c r="A917" s="43" t="s">
        <v>275</v>
      </c>
      <c r="B917" s="110" t="s">
        <v>939</v>
      </c>
      <c r="C917" s="45">
        <v>2019</v>
      </c>
      <c r="D917" s="110" t="s">
        <v>93</v>
      </c>
      <c r="E917" s="47">
        <v>8931696.7200000007</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8931696.7200000007</v>
      </c>
      <c r="Z917" s="58">
        <v>1159387.5900000001</v>
      </c>
      <c r="AA917" s="50">
        <v>1159387.5900000001</v>
      </c>
      <c r="AB917" s="50">
        <v>0</v>
      </c>
      <c r="AC917" s="50">
        <v>64422.19</v>
      </c>
      <c r="AD917" s="50">
        <v>65781.34</v>
      </c>
      <c r="AE917" s="50">
        <v>0</v>
      </c>
      <c r="AF917" s="50">
        <v>0</v>
      </c>
      <c r="AG917" s="49">
        <v>1289591.1200000001</v>
      </c>
      <c r="AH917" s="51" t="s">
        <v>104</v>
      </c>
      <c r="AI917" s="51" t="s">
        <v>74</v>
      </c>
      <c r="AJ917" s="51" t="s">
        <v>971</v>
      </c>
      <c r="AK917" s="51" t="s">
        <v>972</v>
      </c>
      <c r="AL917" s="51" t="s">
        <v>74</v>
      </c>
      <c r="AM917" s="51" t="s">
        <v>74</v>
      </c>
      <c r="AN917" s="52">
        <v>0</v>
      </c>
      <c r="AO917" s="52">
        <v>0</v>
      </c>
      <c r="AP917" s="52">
        <v>0</v>
      </c>
      <c r="AQ917" s="52">
        <v>0</v>
      </c>
      <c r="AR917" s="52">
        <v>0</v>
      </c>
      <c r="AS917" s="52">
        <v>0</v>
      </c>
      <c r="AT917" s="70" t="s">
        <v>74</v>
      </c>
      <c r="AU917" s="52">
        <v>0</v>
      </c>
      <c r="AV917" s="52"/>
      <c r="AW917" s="52">
        <v>0</v>
      </c>
      <c r="AX917" s="52"/>
      <c r="AY917" s="52"/>
      <c r="AZ917" s="52">
        <v>0</v>
      </c>
      <c r="BA917" s="52">
        <v>0</v>
      </c>
      <c r="BB917" s="52" t="s">
        <v>74</v>
      </c>
      <c r="BC917" s="52" t="s">
        <v>74</v>
      </c>
      <c r="BD917" s="52" t="s">
        <v>74</v>
      </c>
      <c r="BE917" s="52" t="s">
        <v>74</v>
      </c>
      <c r="BF917" s="52" t="s">
        <v>74</v>
      </c>
      <c r="BG917" s="52"/>
      <c r="BH917" s="52">
        <v>0</v>
      </c>
      <c r="BI917" s="52">
        <v>7642105.5999999996</v>
      </c>
      <c r="BJ917" s="52">
        <v>7642105.5999999996</v>
      </c>
      <c r="BK917" s="56">
        <v>43800</v>
      </c>
      <c r="BL917" s="57">
        <v>7642105.5999999996</v>
      </c>
      <c r="BM917" s="47">
        <v>0</v>
      </c>
      <c r="BN917" s="9"/>
      <c r="BO917" s="9"/>
      <c r="BP917" s="9"/>
      <c r="BQ917" s="9"/>
      <c r="BR917" s="9"/>
      <c r="BS917" s="9"/>
      <c r="BT917" s="9"/>
      <c r="BU917" s="9"/>
      <c r="BV917" s="9"/>
      <c r="BW917" s="9"/>
    </row>
    <row r="918" spans="1:75" ht="115.5" hidden="1" outlineLevel="2" x14ac:dyDescent="0.25">
      <c r="A918" s="43" t="s">
        <v>275</v>
      </c>
      <c r="B918" s="110" t="s">
        <v>939</v>
      </c>
      <c r="C918" s="45">
        <v>2020</v>
      </c>
      <c r="D918" s="110" t="s">
        <v>73</v>
      </c>
      <c r="E918" s="47">
        <v>8931696.7200000007</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8931696.7200000007</v>
      </c>
      <c r="Z918" s="58">
        <v>1161534.32</v>
      </c>
      <c r="AA918" s="50">
        <v>1161534.32</v>
      </c>
      <c r="AB918" s="50">
        <v>0</v>
      </c>
      <c r="AC918" s="50">
        <v>5148.6099999999997</v>
      </c>
      <c r="AD918" s="50">
        <v>31180.21</v>
      </c>
      <c r="AE918" s="50">
        <v>7733833.5800000001</v>
      </c>
      <c r="AF918" s="50">
        <v>0</v>
      </c>
      <c r="AG918" s="49">
        <v>8931696.7200000007</v>
      </c>
      <c r="AH918" s="51" t="s">
        <v>104</v>
      </c>
      <c r="AI918" s="51" t="s">
        <v>74</v>
      </c>
      <c r="AJ918" s="51" t="s">
        <v>973</v>
      </c>
      <c r="AK918" s="51" t="s">
        <v>974</v>
      </c>
      <c r="AL918" s="51" t="s">
        <v>975</v>
      </c>
      <c r="AM918" s="51" t="s">
        <v>74</v>
      </c>
      <c r="AN918" s="52">
        <v>0</v>
      </c>
      <c r="AO918" s="52">
        <v>0</v>
      </c>
      <c r="AP918" s="52">
        <v>0</v>
      </c>
      <c r="AQ918" s="52">
        <v>0</v>
      </c>
      <c r="AR918" s="52">
        <v>0</v>
      </c>
      <c r="AS918" s="52">
        <v>0</v>
      </c>
      <c r="AT918" s="70" t="s">
        <v>74</v>
      </c>
      <c r="AU918" s="52">
        <v>0</v>
      </c>
      <c r="AV918" s="52"/>
      <c r="AW918" s="52">
        <v>0</v>
      </c>
      <c r="AX918" s="52"/>
      <c r="AY918" s="52"/>
      <c r="AZ918" s="52">
        <v>0</v>
      </c>
      <c r="BA918" s="52">
        <v>0</v>
      </c>
      <c r="BB918" s="52" t="s">
        <v>74</v>
      </c>
      <c r="BC918" s="52" t="s">
        <v>74</v>
      </c>
      <c r="BD918" s="52" t="s">
        <v>74</v>
      </c>
      <c r="BE918" s="52" t="s">
        <v>74</v>
      </c>
      <c r="BF918" s="52" t="s">
        <v>74</v>
      </c>
      <c r="BG918" s="52"/>
      <c r="BH918" s="52">
        <v>0</v>
      </c>
      <c r="BI918" s="52">
        <v>0</v>
      </c>
      <c r="BJ918" s="52">
        <v>0</v>
      </c>
      <c r="BK918" s="56">
        <v>43831</v>
      </c>
      <c r="BL918" s="57"/>
      <c r="BM918" s="47">
        <v>0</v>
      </c>
      <c r="BN918" s="9"/>
      <c r="BO918" s="9"/>
      <c r="BP918" s="9"/>
      <c r="BQ918" s="9"/>
      <c r="BR918" s="9"/>
      <c r="BS918" s="9"/>
      <c r="BT918" s="9"/>
      <c r="BU918" s="9"/>
      <c r="BV918" s="9"/>
      <c r="BW918" s="9"/>
    </row>
    <row r="919" spans="1:75" ht="128.25" hidden="1" outlineLevel="2" x14ac:dyDescent="0.25">
      <c r="A919" s="43" t="s">
        <v>275</v>
      </c>
      <c r="B919" s="110" t="s">
        <v>939</v>
      </c>
      <c r="C919" s="45">
        <v>2020</v>
      </c>
      <c r="D919" s="110" t="s">
        <v>75</v>
      </c>
      <c r="E919" s="47">
        <v>8931696.7200000007</v>
      </c>
      <c r="F919" s="47">
        <v>0</v>
      </c>
      <c r="G919" s="47">
        <v>0</v>
      </c>
      <c r="H919" s="47">
        <v>0</v>
      </c>
      <c r="I919" s="47">
        <v>0</v>
      </c>
      <c r="J919" s="47">
        <v>0</v>
      </c>
      <c r="K919" s="47">
        <v>0</v>
      </c>
      <c r="L919" s="47">
        <v>0</v>
      </c>
      <c r="M919" s="47">
        <v>0</v>
      </c>
      <c r="N919" s="47">
        <v>0</v>
      </c>
      <c r="O919" s="47">
        <v>0</v>
      </c>
      <c r="P919" s="47">
        <v>0</v>
      </c>
      <c r="Q919" s="47">
        <v>0</v>
      </c>
      <c r="R919" s="47">
        <v>0</v>
      </c>
      <c r="S919" s="47">
        <v>0</v>
      </c>
      <c r="T919" s="47">
        <v>0</v>
      </c>
      <c r="U919" s="47">
        <v>0</v>
      </c>
      <c r="V919" s="47">
        <v>0</v>
      </c>
      <c r="W919" s="47">
        <v>0</v>
      </c>
      <c r="X919" s="47">
        <v>0</v>
      </c>
      <c r="Y919" s="48">
        <v>8931696.7200000007</v>
      </c>
      <c r="Z919" s="58">
        <v>1123887.6499999999</v>
      </c>
      <c r="AA919" s="50">
        <v>1123887.6499999999</v>
      </c>
      <c r="AB919" s="50">
        <v>0</v>
      </c>
      <c r="AC919" s="62">
        <v>4374.3</v>
      </c>
      <c r="AD919" s="62">
        <v>27717.7</v>
      </c>
      <c r="AE919" s="50">
        <v>7775717.0700000003</v>
      </c>
      <c r="AF919" s="50">
        <v>0</v>
      </c>
      <c r="AG919" s="49">
        <v>8931696.7200000007</v>
      </c>
      <c r="AH919" s="51" t="s">
        <v>104</v>
      </c>
      <c r="AI919" s="51" t="s">
        <v>74</v>
      </c>
      <c r="AJ919" s="51" t="s">
        <v>976</v>
      </c>
      <c r="AK919" s="51" t="s">
        <v>977</v>
      </c>
      <c r="AL919" s="51" t="s">
        <v>975</v>
      </c>
      <c r="AM919" s="51" t="s">
        <v>74</v>
      </c>
      <c r="AN919" s="52">
        <v>0</v>
      </c>
      <c r="AO919" s="52">
        <v>0</v>
      </c>
      <c r="AP919" s="52">
        <v>0</v>
      </c>
      <c r="AQ919" s="52">
        <v>0</v>
      </c>
      <c r="AR919" s="52">
        <v>0</v>
      </c>
      <c r="AS919" s="52">
        <v>0</v>
      </c>
      <c r="AT919" s="70" t="s">
        <v>74</v>
      </c>
      <c r="AU919" s="52">
        <v>0</v>
      </c>
      <c r="AV919" s="52"/>
      <c r="AW919" s="52">
        <v>0</v>
      </c>
      <c r="AX919" s="52"/>
      <c r="AY919" s="52"/>
      <c r="AZ919" s="52">
        <v>0</v>
      </c>
      <c r="BA919" s="52">
        <v>0</v>
      </c>
      <c r="BB919" s="52" t="s">
        <v>74</v>
      </c>
      <c r="BC919" s="52" t="s">
        <v>74</v>
      </c>
      <c r="BD919" s="52" t="s">
        <v>74</v>
      </c>
      <c r="BE919" s="52" t="s">
        <v>74</v>
      </c>
      <c r="BF919" s="52" t="s">
        <v>74</v>
      </c>
      <c r="BG919" s="52"/>
      <c r="BH919" s="52">
        <v>0</v>
      </c>
      <c r="BI919" s="52">
        <v>0</v>
      </c>
      <c r="BJ919" s="52">
        <v>0</v>
      </c>
      <c r="BK919" s="56">
        <v>43862</v>
      </c>
      <c r="BL919" s="57"/>
      <c r="BM919" s="47">
        <v>0</v>
      </c>
      <c r="BN919" s="9"/>
      <c r="BO919" s="9"/>
      <c r="BP919" s="9"/>
      <c r="BQ919" s="9"/>
      <c r="BR919" s="9"/>
      <c r="BS919" s="9"/>
      <c r="BT919" s="9"/>
      <c r="BU919" s="9"/>
      <c r="BV919" s="9"/>
      <c r="BW919" s="9"/>
    </row>
    <row r="920" spans="1:75" ht="102.75" hidden="1" outlineLevel="2" x14ac:dyDescent="0.25">
      <c r="A920" s="43" t="s">
        <v>275</v>
      </c>
      <c r="B920" s="110" t="s">
        <v>939</v>
      </c>
      <c r="C920" s="45">
        <v>2020</v>
      </c>
      <c r="D920" s="110" t="s">
        <v>77</v>
      </c>
      <c r="E920" s="47">
        <v>8931696.7200000007</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8931696.7200000007</v>
      </c>
      <c r="Z920" s="203">
        <v>1114045.3700000001</v>
      </c>
      <c r="AA920" s="50">
        <v>1114045.3700000001</v>
      </c>
      <c r="AB920" s="50">
        <v>0</v>
      </c>
      <c r="AC920" s="62">
        <v>1397.36</v>
      </c>
      <c r="AD920" s="62">
        <v>29644.74</v>
      </c>
      <c r="AE920" s="50">
        <v>7786609.25</v>
      </c>
      <c r="AF920" s="50">
        <v>0</v>
      </c>
      <c r="AG920" s="49">
        <v>8931696.7200000007</v>
      </c>
      <c r="AH920" s="51" t="s">
        <v>104</v>
      </c>
      <c r="AI920" s="51" t="s">
        <v>74</v>
      </c>
      <c r="AJ920" s="51" t="s">
        <v>978</v>
      </c>
      <c r="AK920" s="51" t="s">
        <v>979</v>
      </c>
      <c r="AL920" s="51" t="s">
        <v>975</v>
      </c>
      <c r="AM920" s="51" t="s">
        <v>74</v>
      </c>
      <c r="AN920" s="52">
        <v>0</v>
      </c>
      <c r="AO920" s="52">
        <v>0</v>
      </c>
      <c r="AP920" s="52">
        <v>0</v>
      </c>
      <c r="AQ920" s="52">
        <v>0</v>
      </c>
      <c r="AR920" s="52">
        <v>0</v>
      </c>
      <c r="AS920" s="52">
        <v>0</v>
      </c>
      <c r="AT920" s="70" t="s">
        <v>74</v>
      </c>
      <c r="AU920" s="52">
        <v>0</v>
      </c>
      <c r="AV920" s="52"/>
      <c r="AW920" s="52">
        <v>0</v>
      </c>
      <c r="AX920" s="52"/>
      <c r="AY920" s="52"/>
      <c r="AZ920" s="52">
        <v>0</v>
      </c>
      <c r="BA920" s="52">
        <v>0</v>
      </c>
      <c r="BB920" s="52" t="s">
        <v>74</v>
      </c>
      <c r="BC920" s="52" t="s">
        <v>74</v>
      </c>
      <c r="BD920" s="52" t="s">
        <v>74</v>
      </c>
      <c r="BE920" s="52" t="s">
        <v>74</v>
      </c>
      <c r="BF920" s="52" t="s">
        <v>74</v>
      </c>
      <c r="BG920" s="52"/>
      <c r="BH920" s="52">
        <v>0</v>
      </c>
      <c r="BI920" s="52">
        <v>0</v>
      </c>
      <c r="BJ920" s="52">
        <v>0</v>
      </c>
      <c r="BK920" s="56">
        <v>43891</v>
      </c>
      <c r="BL920" s="57"/>
      <c r="BM920" s="47">
        <v>0</v>
      </c>
      <c r="BN920" s="9"/>
      <c r="BO920" s="9"/>
      <c r="BP920" s="9"/>
      <c r="BQ920" s="9"/>
      <c r="BR920" s="9"/>
      <c r="BS920" s="9"/>
      <c r="BT920" s="9"/>
      <c r="BU920" s="9"/>
      <c r="BV920" s="9"/>
      <c r="BW920" s="9"/>
    </row>
    <row r="921" spans="1:75" ht="115.5" hidden="1" outlineLevel="2" x14ac:dyDescent="0.25">
      <c r="A921" s="43" t="s">
        <v>275</v>
      </c>
      <c r="B921" s="110" t="s">
        <v>939</v>
      </c>
      <c r="C921" s="45">
        <v>2020</v>
      </c>
      <c r="D921" s="110" t="s">
        <v>79</v>
      </c>
      <c r="E921" s="47">
        <v>8931696.7200000007</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8931696.7200000007</v>
      </c>
      <c r="Z921" s="58">
        <v>1059409.9199999999</v>
      </c>
      <c r="AA921" s="50">
        <v>1059409.9199999999</v>
      </c>
      <c r="AB921" s="50">
        <v>0</v>
      </c>
      <c r="AC921" s="50">
        <v>598.57000000000005</v>
      </c>
      <c r="AD921" s="50">
        <v>24977.43</v>
      </c>
      <c r="AE921" s="50">
        <v>7846710.7999999998</v>
      </c>
      <c r="AF921" s="50">
        <v>0</v>
      </c>
      <c r="AG921" s="49">
        <v>8931696.7200000007</v>
      </c>
      <c r="AH921" s="51" t="s">
        <v>104</v>
      </c>
      <c r="AI921" s="51" t="s">
        <v>74</v>
      </c>
      <c r="AJ921" s="51" t="s">
        <v>980</v>
      </c>
      <c r="AK921" s="51" t="s">
        <v>981</v>
      </c>
      <c r="AL921" s="51" t="s">
        <v>975</v>
      </c>
      <c r="AM921" s="51" t="s">
        <v>74</v>
      </c>
      <c r="AN921" s="52">
        <v>0</v>
      </c>
      <c r="AO921" s="52">
        <v>0</v>
      </c>
      <c r="AP921" s="52">
        <v>0</v>
      </c>
      <c r="AQ921" s="52">
        <v>0</v>
      </c>
      <c r="AR921" s="52">
        <v>0</v>
      </c>
      <c r="AS921" s="52">
        <v>0</v>
      </c>
      <c r="AT921" s="70" t="s">
        <v>74</v>
      </c>
      <c r="AU921" s="52">
        <v>0</v>
      </c>
      <c r="AV921" s="52"/>
      <c r="AW921" s="52">
        <v>0</v>
      </c>
      <c r="AX921" s="52"/>
      <c r="AY921" s="52"/>
      <c r="AZ921" s="52">
        <v>0</v>
      </c>
      <c r="BA921" s="52">
        <v>0</v>
      </c>
      <c r="BB921" s="52" t="s">
        <v>74</v>
      </c>
      <c r="BC921" s="52" t="s">
        <v>74</v>
      </c>
      <c r="BD921" s="52" t="s">
        <v>74</v>
      </c>
      <c r="BE921" s="52" t="s">
        <v>74</v>
      </c>
      <c r="BF921" s="52" t="s">
        <v>74</v>
      </c>
      <c r="BG921" s="52"/>
      <c r="BH921" s="52">
        <v>0</v>
      </c>
      <c r="BI921" s="52">
        <v>1.8626451492309599E-9</v>
      </c>
      <c r="BJ921" s="52">
        <v>1.8626451492309599E-9</v>
      </c>
      <c r="BK921" s="56">
        <v>43922</v>
      </c>
      <c r="BL921" s="57"/>
      <c r="BM921" s="47">
        <v>0</v>
      </c>
      <c r="BN921" s="9"/>
      <c r="BO921" s="9"/>
      <c r="BP921" s="9"/>
      <c r="BQ921" s="9"/>
      <c r="BR921" s="9"/>
      <c r="BS921" s="9"/>
      <c r="BT921" s="9"/>
      <c r="BU921" s="9"/>
      <c r="BV921" s="9"/>
      <c r="BW921" s="9"/>
    </row>
    <row r="922" spans="1:75" ht="102.75" hidden="1" outlineLevel="2" x14ac:dyDescent="0.25">
      <c r="A922" s="43" t="s">
        <v>275</v>
      </c>
      <c r="B922" s="110" t="s">
        <v>939</v>
      </c>
      <c r="C922" s="45">
        <v>2020</v>
      </c>
      <c r="D922" s="110" t="s">
        <v>81</v>
      </c>
      <c r="E922" s="47">
        <v>8931696.7200000007</v>
      </c>
      <c r="F922" s="47">
        <v>0</v>
      </c>
      <c r="G922" s="47">
        <v>0</v>
      </c>
      <c r="H922" s="47">
        <v>0</v>
      </c>
      <c r="I922" s="47">
        <v>0</v>
      </c>
      <c r="J922" s="47">
        <v>0</v>
      </c>
      <c r="K922" s="47">
        <v>0</v>
      </c>
      <c r="L922" s="47">
        <v>0</v>
      </c>
      <c r="M922" s="47">
        <v>0</v>
      </c>
      <c r="N922" s="47">
        <v>0</v>
      </c>
      <c r="O922" s="47">
        <v>0</v>
      </c>
      <c r="P922" s="47">
        <v>0</v>
      </c>
      <c r="Q922" s="47">
        <v>0</v>
      </c>
      <c r="R922" s="47">
        <v>0</v>
      </c>
      <c r="S922" s="47">
        <v>0</v>
      </c>
      <c r="T922" s="47">
        <v>0</v>
      </c>
      <c r="U922" s="47">
        <v>0</v>
      </c>
      <c r="V922" s="47">
        <v>0</v>
      </c>
      <c r="W922" s="47">
        <v>0</v>
      </c>
      <c r="X922" s="47">
        <v>0</v>
      </c>
      <c r="Y922" s="48">
        <v>8931696.7200000007</v>
      </c>
      <c r="Z922" s="49">
        <v>1018204.24</v>
      </c>
      <c r="AA922" s="50">
        <v>1018204.24</v>
      </c>
      <c r="AB922" s="50">
        <v>0</v>
      </c>
      <c r="AC922" s="50">
        <v>309.47000000000003</v>
      </c>
      <c r="AD922" s="50">
        <v>27799.91</v>
      </c>
      <c r="AE922" s="50">
        <v>7885383.0999999996</v>
      </c>
      <c r="AF922" s="50">
        <v>0</v>
      </c>
      <c r="AG922" s="49">
        <v>8931696.7200000007</v>
      </c>
      <c r="AH922" s="51" t="s">
        <v>104</v>
      </c>
      <c r="AI922" s="51" t="s">
        <v>74</v>
      </c>
      <c r="AJ922" s="51" t="s">
        <v>982</v>
      </c>
      <c r="AK922" s="51" t="s">
        <v>983</v>
      </c>
      <c r="AL922" s="51" t="s">
        <v>975</v>
      </c>
      <c r="AM922" s="51" t="s">
        <v>74</v>
      </c>
      <c r="AN922" s="52">
        <v>0</v>
      </c>
      <c r="AO922" s="52">
        <v>0</v>
      </c>
      <c r="AP922" s="52">
        <v>0</v>
      </c>
      <c r="AQ922" s="52">
        <v>0</v>
      </c>
      <c r="AR922" s="52">
        <v>0</v>
      </c>
      <c r="AS922" s="52">
        <v>0</v>
      </c>
      <c r="AT922" s="70" t="s">
        <v>74</v>
      </c>
      <c r="AU922" s="52">
        <v>0</v>
      </c>
      <c r="AV922" s="52"/>
      <c r="AW922" s="52">
        <v>0</v>
      </c>
      <c r="AX922" s="52"/>
      <c r="AY922" s="52"/>
      <c r="AZ922" s="52">
        <v>0</v>
      </c>
      <c r="BA922" s="52">
        <v>0</v>
      </c>
      <c r="BB922" s="52" t="s">
        <v>74</v>
      </c>
      <c r="BC922" s="52" t="s">
        <v>74</v>
      </c>
      <c r="BD922" s="52" t="s">
        <v>74</v>
      </c>
      <c r="BE922" s="52" t="s">
        <v>74</v>
      </c>
      <c r="BF922" s="52" t="s">
        <v>74</v>
      </c>
      <c r="BG922" s="52"/>
      <c r="BH922" s="52">
        <v>0</v>
      </c>
      <c r="BI922" s="52">
        <v>0</v>
      </c>
      <c r="BJ922" s="52">
        <v>0</v>
      </c>
      <c r="BK922" s="56">
        <v>43952</v>
      </c>
      <c r="BL922" s="57"/>
      <c r="BM922" s="47">
        <v>0</v>
      </c>
      <c r="BN922" s="9"/>
      <c r="BO922" s="9"/>
      <c r="BP922" s="9"/>
      <c r="BQ922" s="9"/>
      <c r="BR922" s="9"/>
      <c r="BS922" s="9"/>
      <c r="BT922" s="9"/>
      <c r="BU922" s="9"/>
      <c r="BV922" s="9"/>
      <c r="BW922" s="9"/>
    </row>
    <row r="923" spans="1:75" ht="115.5" hidden="1" outlineLevel="2" x14ac:dyDescent="0.25">
      <c r="A923" s="43" t="s">
        <v>275</v>
      </c>
      <c r="B923" s="110" t="s">
        <v>939</v>
      </c>
      <c r="C923" s="45">
        <v>2020</v>
      </c>
      <c r="D923" s="110" t="s">
        <v>83</v>
      </c>
      <c r="E923" s="47">
        <v>8931696.7200000007</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8931696.7200000007</v>
      </c>
      <c r="Z923" s="49">
        <v>1022589.54</v>
      </c>
      <c r="AA923" s="50">
        <v>1022589.54</v>
      </c>
      <c r="AB923" s="50">
        <v>0</v>
      </c>
      <c r="AC923" s="50">
        <v>1818.25</v>
      </c>
      <c r="AD923" s="50">
        <v>24200.77</v>
      </c>
      <c r="AE923" s="50">
        <v>7883088.1600000001</v>
      </c>
      <c r="AF923" s="50">
        <v>0</v>
      </c>
      <c r="AG923" s="49">
        <v>8931696.7200000007</v>
      </c>
      <c r="AH923" s="51" t="s">
        <v>104</v>
      </c>
      <c r="AI923" s="51" t="s">
        <v>74</v>
      </c>
      <c r="AJ923" s="51" t="s">
        <v>984</v>
      </c>
      <c r="AK923" s="51" t="s">
        <v>985</v>
      </c>
      <c r="AL923" s="51" t="s">
        <v>975</v>
      </c>
      <c r="AM923" s="51" t="s">
        <v>74</v>
      </c>
      <c r="AN923" s="52">
        <v>0</v>
      </c>
      <c r="AO923" s="52">
        <v>0</v>
      </c>
      <c r="AP923" s="52">
        <v>0</v>
      </c>
      <c r="AQ923" s="52">
        <v>0</v>
      </c>
      <c r="AR923" s="52">
        <v>0</v>
      </c>
      <c r="AS923" s="52">
        <v>0</v>
      </c>
      <c r="AT923" s="70" t="s">
        <v>74</v>
      </c>
      <c r="AU923" s="52">
        <v>0</v>
      </c>
      <c r="AV923" s="52"/>
      <c r="AW923" s="52">
        <v>0</v>
      </c>
      <c r="AX923" s="52"/>
      <c r="AY923" s="52"/>
      <c r="AZ923" s="52">
        <v>0</v>
      </c>
      <c r="BA923" s="52">
        <v>0</v>
      </c>
      <c r="BB923" s="52" t="s">
        <v>74</v>
      </c>
      <c r="BC923" s="52" t="s">
        <v>74</v>
      </c>
      <c r="BD923" s="52" t="s">
        <v>74</v>
      </c>
      <c r="BE923" s="52" t="s">
        <v>74</v>
      </c>
      <c r="BF923" s="52" t="s">
        <v>74</v>
      </c>
      <c r="BG923" s="52"/>
      <c r="BH923" s="52">
        <v>0</v>
      </c>
      <c r="BI923" s="52">
        <v>0</v>
      </c>
      <c r="BJ923" s="52">
        <v>0</v>
      </c>
      <c r="BK923" s="56">
        <v>43983</v>
      </c>
      <c r="BL923" s="57"/>
      <c r="BM923" s="47">
        <v>0</v>
      </c>
      <c r="BN923" s="9"/>
      <c r="BO923" s="9"/>
      <c r="BP923" s="9"/>
      <c r="BQ923" s="9"/>
      <c r="BR923" s="9"/>
      <c r="BS923" s="9"/>
      <c r="BT923" s="9"/>
      <c r="BU923" s="9"/>
      <c r="BV923" s="9"/>
      <c r="BW923" s="9"/>
    </row>
    <row r="924" spans="1:75" ht="102.75" hidden="1" outlineLevel="2" x14ac:dyDescent="0.25">
      <c r="A924" s="43" t="s">
        <v>275</v>
      </c>
      <c r="B924" s="110" t="s">
        <v>939</v>
      </c>
      <c r="C924" s="45">
        <v>2020</v>
      </c>
      <c r="D924" s="110" t="s">
        <v>84</v>
      </c>
      <c r="E924" s="47">
        <v>8931696.7200000007</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8931696.7200000007</v>
      </c>
      <c r="Z924" s="66">
        <v>958114.92</v>
      </c>
      <c r="AA924" s="62">
        <v>958114.92</v>
      </c>
      <c r="AB924" s="50">
        <v>0</v>
      </c>
      <c r="AC924" s="62">
        <v>1867.77</v>
      </c>
      <c r="AD924" s="50">
        <v>23763.03</v>
      </c>
      <c r="AE924" s="50">
        <v>7947951</v>
      </c>
      <c r="AF924" s="50">
        <v>0</v>
      </c>
      <c r="AG924" s="49">
        <v>8931696.7200000007</v>
      </c>
      <c r="AH924" s="51" t="s">
        <v>104</v>
      </c>
      <c r="AI924" s="51" t="s">
        <v>74</v>
      </c>
      <c r="AJ924" s="51" t="s">
        <v>164</v>
      </c>
      <c r="AK924" s="51" t="s">
        <v>986</v>
      </c>
      <c r="AL924" s="51" t="s">
        <v>975</v>
      </c>
      <c r="AM924" s="51" t="s">
        <v>74</v>
      </c>
      <c r="AN924" s="52">
        <v>0</v>
      </c>
      <c r="AO924" s="52">
        <v>0</v>
      </c>
      <c r="AP924" s="52">
        <v>0</v>
      </c>
      <c r="AQ924" s="52">
        <v>0</v>
      </c>
      <c r="AR924" s="52">
        <v>0</v>
      </c>
      <c r="AS924" s="52">
        <v>0</v>
      </c>
      <c r="AT924" s="70" t="s">
        <v>74</v>
      </c>
      <c r="AU924" s="52">
        <v>0</v>
      </c>
      <c r="AV924" s="52"/>
      <c r="AW924" s="52">
        <v>0</v>
      </c>
      <c r="AX924" s="52"/>
      <c r="AY924" s="52"/>
      <c r="AZ924" s="52">
        <v>0</v>
      </c>
      <c r="BA924" s="52">
        <v>0</v>
      </c>
      <c r="BB924" s="52" t="s">
        <v>74</v>
      </c>
      <c r="BC924" s="52" t="s">
        <v>74</v>
      </c>
      <c r="BD924" s="52" t="s">
        <v>74</v>
      </c>
      <c r="BE924" s="52" t="s">
        <v>74</v>
      </c>
      <c r="BF924" s="52" t="s">
        <v>74</v>
      </c>
      <c r="BG924" s="52"/>
      <c r="BH924" s="52">
        <v>0</v>
      </c>
      <c r="BI924" s="52">
        <v>0</v>
      </c>
      <c r="BJ924" s="52">
        <v>0</v>
      </c>
      <c r="BK924" s="56">
        <v>44013</v>
      </c>
      <c r="BL924" s="57"/>
      <c r="BM924" s="47">
        <v>0</v>
      </c>
      <c r="BN924" s="9"/>
      <c r="BO924" s="9"/>
      <c r="BP924" s="9"/>
      <c r="BQ924" s="9"/>
      <c r="BR924" s="9"/>
      <c r="BS924" s="9"/>
      <c r="BT924" s="9"/>
      <c r="BU924" s="9"/>
      <c r="BV924" s="9"/>
      <c r="BW924" s="9"/>
    </row>
    <row r="925" spans="1:75" ht="128.25" hidden="1" outlineLevel="2" x14ac:dyDescent="0.25">
      <c r="A925" s="43" t="s">
        <v>275</v>
      </c>
      <c r="B925" s="110" t="s">
        <v>939</v>
      </c>
      <c r="C925" s="45">
        <v>2020</v>
      </c>
      <c r="D925" s="110" t="s">
        <v>86</v>
      </c>
      <c r="E925" s="47">
        <v>8931696.7200000007</v>
      </c>
      <c r="F925" s="47">
        <v>0</v>
      </c>
      <c r="G925" s="47">
        <v>0</v>
      </c>
      <c r="H925" s="47">
        <v>0</v>
      </c>
      <c r="I925" s="47">
        <v>0</v>
      </c>
      <c r="J925" s="47">
        <v>0</v>
      </c>
      <c r="K925" s="47">
        <v>0</v>
      </c>
      <c r="L925" s="47">
        <v>0</v>
      </c>
      <c r="M925" s="47">
        <v>0</v>
      </c>
      <c r="N925" s="47">
        <v>0</v>
      </c>
      <c r="O925" s="47">
        <v>0</v>
      </c>
      <c r="P925" s="47">
        <v>0</v>
      </c>
      <c r="Q925" s="47">
        <v>0</v>
      </c>
      <c r="R925" s="47">
        <v>0</v>
      </c>
      <c r="S925" s="47">
        <v>0</v>
      </c>
      <c r="T925" s="47">
        <v>0</v>
      </c>
      <c r="U925" s="47">
        <v>0</v>
      </c>
      <c r="V925" s="47">
        <v>0</v>
      </c>
      <c r="W925" s="47">
        <v>0</v>
      </c>
      <c r="X925" s="47">
        <v>0</v>
      </c>
      <c r="Y925" s="48">
        <v>8931696.7200000007</v>
      </c>
      <c r="Z925" s="58">
        <v>962969.23</v>
      </c>
      <c r="AA925" s="50">
        <v>962969.23</v>
      </c>
      <c r="AB925" s="50">
        <v>0</v>
      </c>
      <c r="AC925" s="50">
        <v>1850.53</v>
      </c>
      <c r="AD925" s="50">
        <v>23052.02</v>
      </c>
      <c r="AE925" s="50">
        <v>7943824.9400000004</v>
      </c>
      <c r="AF925" s="50">
        <v>0</v>
      </c>
      <c r="AG925" s="49">
        <v>8931696.7200000007</v>
      </c>
      <c r="AH925" s="51" t="s">
        <v>104</v>
      </c>
      <c r="AI925" s="51" t="s">
        <v>74</v>
      </c>
      <c r="AJ925" s="51" t="s">
        <v>167</v>
      </c>
      <c r="AK925" s="51" t="s">
        <v>987</v>
      </c>
      <c r="AL925" s="51" t="s">
        <v>988</v>
      </c>
      <c r="AM925" s="51" t="s">
        <v>74</v>
      </c>
      <c r="AN925" s="52">
        <v>0</v>
      </c>
      <c r="AO925" s="52">
        <v>0</v>
      </c>
      <c r="AP925" s="52">
        <v>0</v>
      </c>
      <c r="AQ925" s="52">
        <v>0</v>
      </c>
      <c r="AR925" s="52">
        <v>0</v>
      </c>
      <c r="AS925" s="52">
        <v>0</v>
      </c>
      <c r="AT925" s="70" t="s">
        <v>74</v>
      </c>
      <c r="AU925" s="52">
        <v>0</v>
      </c>
      <c r="AV925" s="52"/>
      <c r="AW925" s="52">
        <v>0</v>
      </c>
      <c r="AX925" s="52"/>
      <c r="AY925" s="52"/>
      <c r="AZ925" s="52">
        <v>0</v>
      </c>
      <c r="BA925" s="52">
        <v>0</v>
      </c>
      <c r="BB925" s="52" t="s">
        <v>74</v>
      </c>
      <c r="BC925" s="52" t="s">
        <v>74</v>
      </c>
      <c r="BD925" s="52" t="s">
        <v>74</v>
      </c>
      <c r="BE925" s="52" t="s">
        <v>74</v>
      </c>
      <c r="BF925" s="52" t="s">
        <v>74</v>
      </c>
      <c r="BG925" s="52"/>
      <c r="BH925" s="52">
        <v>0</v>
      </c>
      <c r="BI925" s="52">
        <v>0</v>
      </c>
      <c r="BJ925" s="52">
        <v>0</v>
      </c>
      <c r="BK925" s="56">
        <v>44044</v>
      </c>
      <c r="BL925" s="63"/>
      <c r="BM925" s="47">
        <v>0</v>
      </c>
      <c r="BN925" s="9"/>
      <c r="BO925" s="9"/>
      <c r="BP925" s="9"/>
      <c r="BQ925" s="9"/>
      <c r="BR925" s="9"/>
      <c r="BS925" s="9"/>
      <c r="BT925" s="9"/>
      <c r="BU925" s="9"/>
      <c r="BV925" s="9"/>
      <c r="BW925" s="9"/>
    </row>
    <row r="926" spans="1:75" ht="90" hidden="1" outlineLevel="2" x14ac:dyDescent="0.25">
      <c r="A926" s="43" t="s">
        <v>275</v>
      </c>
      <c r="B926" s="110" t="s">
        <v>939</v>
      </c>
      <c r="C926" s="45">
        <v>2020</v>
      </c>
      <c r="D926" s="110" t="s">
        <v>88</v>
      </c>
      <c r="E926" s="47">
        <v>8931696.7200000007</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8931696.7200000007</v>
      </c>
      <c r="Z926" s="58">
        <v>907824.73</v>
      </c>
      <c r="AA926" s="50">
        <v>907824.73</v>
      </c>
      <c r="AB926" s="50">
        <v>0</v>
      </c>
      <c r="AC926" s="50">
        <v>2148.61</v>
      </c>
      <c r="AD926" s="50">
        <v>23353.39</v>
      </c>
      <c r="AE926" s="50">
        <v>7998369.9900000002</v>
      </c>
      <c r="AF926" s="50">
        <v>0</v>
      </c>
      <c r="AG926" s="49">
        <v>8931696.7200000007</v>
      </c>
      <c r="AH926" s="51" t="s">
        <v>104</v>
      </c>
      <c r="AI926" s="51" t="s">
        <v>74</v>
      </c>
      <c r="AJ926" s="51" t="s">
        <v>169</v>
      </c>
      <c r="AK926" s="51" t="s">
        <v>989</v>
      </c>
      <c r="AL926" s="51" t="s">
        <v>990</v>
      </c>
      <c r="AM926" s="51" t="s">
        <v>74</v>
      </c>
      <c r="AN926" s="52">
        <v>0</v>
      </c>
      <c r="AO926" s="52">
        <v>0</v>
      </c>
      <c r="AP926" s="52">
        <v>0</v>
      </c>
      <c r="AQ926" s="52">
        <v>0</v>
      </c>
      <c r="AR926" s="52">
        <v>0</v>
      </c>
      <c r="AS926" s="52">
        <v>0</v>
      </c>
      <c r="AT926" s="70" t="s">
        <v>74</v>
      </c>
      <c r="AU926" s="52">
        <v>0</v>
      </c>
      <c r="AV926" s="52"/>
      <c r="AW926" s="52">
        <v>0</v>
      </c>
      <c r="AX926" s="52"/>
      <c r="AY926" s="52"/>
      <c r="AZ926" s="52">
        <v>0</v>
      </c>
      <c r="BA926" s="52">
        <v>0</v>
      </c>
      <c r="BB926" s="52" t="s">
        <v>74</v>
      </c>
      <c r="BC926" s="52" t="s">
        <v>74</v>
      </c>
      <c r="BD926" s="52" t="s">
        <v>74</v>
      </c>
      <c r="BE926" s="52" t="s">
        <v>74</v>
      </c>
      <c r="BF926" s="52" t="s">
        <v>74</v>
      </c>
      <c r="BG926" s="52"/>
      <c r="BH926" s="52">
        <v>0</v>
      </c>
      <c r="BI926" s="52">
        <v>0</v>
      </c>
      <c r="BJ926" s="52">
        <v>0</v>
      </c>
      <c r="BK926" s="56">
        <v>44075</v>
      </c>
      <c r="BL926" s="57"/>
      <c r="BM926" s="47">
        <v>0</v>
      </c>
      <c r="BN926" s="9"/>
      <c r="BO926" s="9"/>
      <c r="BP926" s="9"/>
      <c r="BQ926" s="9"/>
      <c r="BR926" s="9"/>
      <c r="BS926" s="9"/>
      <c r="BT926" s="9"/>
      <c r="BU926" s="9"/>
      <c r="BV926" s="9"/>
      <c r="BW926" s="9"/>
    </row>
    <row r="927" spans="1:75" ht="64.5" hidden="1" outlineLevel="2" x14ac:dyDescent="0.25">
      <c r="A927" s="43" t="s">
        <v>275</v>
      </c>
      <c r="B927" s="110" t="s">
        <v>939</v>
      </c>
      <c r="C927" s="45">
        <v>2020</v>
      </c>
      <c r="D927" s="110" t="s">
        <v>89</v>
      </c>
      <c r="E927" s="47">
        <v>8931696.7200000007</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8931696.7200000007</v>
      </c>
      <c r="Z927" s="66">
        <v>900544.02</v>
      </c>
      <c r="AA927" s="62">
        <v>900544.02</v>
      </c>
      <c r="AB927" s="50">
        <v>0</v>
      </c>
      <c r="AC927" s="62">
        <v>12285.47</v>
      </c>
      <c r="AD927" s="50">
        <v>23484.94</v>
      </c>
      <c r="AE927" s="50">
        <v>7995382.29</v>
      </c>
      <c r="AF927" s="50">
        <v>0</v>
      </c>
      <c r="AG927" s="49">
        <v>8931696.7200000007</v>
      </c>
      <c r="AH927" s="51" t="s">
        <v>104</v>
      </c>
      <c r="AI927" s="51" t="s">
        <v>74</v>
      </c>
      <c r="AJ927" s="51" t="s">
        <v>171</v>
      </c>
      <c r="AK927" s="51" t="s">
        <v>991</v>
      </c>
      <c r="AL927" s="51" t="s">
        <v>990</v>
      </c>
      <c r="AM927" s="51" t="s">
        <v>74</v>
      </c>
      <c r="AN927" s="52">
        <v>0</v>
      </c>
      <c r="AO927" s="52">
        <v>0</v>
      </c>
      <c r="AP927" s="52">
        <v>0</v>
      </c>
      <c r="AQ927" s="52">
        <v>0</v>
      </c>
      <c r="AR927" s="52">
        <v>0</v>
      </c>
      <c r="AS927" s="52">
        <v>0</v>
      </c>
      <c r="AT927" s="70" t="s">
        <v>74</v>
      </c>
      <c r="AU927" s="52">
        <v>0</v>
      </c>
      <c r="AV927" s="52"/>
      <c r="AW927" s="52">
        <v>0</v>
      </c>
      <c r="AX927" s="52"/>
      <c r="AY927" s="52"/>
      <c r="AZ927" s="52">
        <v>0</v>
      </c>
      <c r="BA927" s="52">
        <v>0</v>
      </c>
      <c r="BB927" s="52" t="s">
        <v>74</v>
      </c>
      <c r="BC927" s="52" t="s">
        <v>74</v>
      </c>
      <c r="BD927" s="52" t="s">
        <v>74</v>
      </c>
      <c r="BE927" s="52" t="s">
        <v>74</v>
      </c>
      <c r="BF927" s="52" t="s">
        <v>74</v>
      </c>
      <c r="BG927" s="52"/>
      <c r="BH927" s="52">
        <v>0</v>
      </c>
      <c r="BI927" s="52">
        <v>0</v>
      </c>
      <c r="BJ927" s="52">
        <v>0</v>
      </c>
      <c r="BK927" s="56">
        <v>44105</v>
      </c>
      <c r="BL927" s="57"/>
      <c r="BM927" s="47">
        <v>0</v>
      </c>
      <c r="BN927" s="9"/>
      <c r="BO927" s="9"/>
      <c r="BP927" s="9"/>
      <c r="BQ927" s="9"/>
      <c r="BR927" s="9"/>
      <c r="BS927" s="9"/>
      <c r="BT927" s="9"/>
      <c r="BU927" s="9"/>
      <c r="BV927" s="9"/>
      <c r="BW927" s="9"/>
    </row>
    <row r="928" spans="1:75" ht="64.5" hidden="1" outlineLevel="2" x14ac:dyDescent="0.25">
      <c r="A928" s="43" t="s">
        <v>275</v>
      </c>
      <c r="B928" s="110" t="s">
        <v>939</v>
      </c>
      <c r="C928" s="45">
        <v>2020</v>
      </c>
      <c r="D928" s="110" t="s">
        <v>90</v>
      </c>
      <c r="E928" s="47">
        <v>8931696.7200000007</v>
      </c>
      <c r="F928" s="47">
        <v>0</v>
      </c>
      <c r="G928" s="47">
        <v>0</v>
      </c>
      <c r="H928" s="47">
        <v>0</v>
      </c>
      <c r="I928" s="47">
        <v>0</v>
      </c>
      <c r="J928" s="47">
        <v>0</v>
      </c>
      <c r="K928" s="47">
        <v>0</v>
      </c>
      <c r="L928" s="47">
        <v>0</v>
      </c>
      <c r="M928" s="47">
        <v>0</v>
      </c>
      <c r="N928" s="47">
        <v>0</v>
      </c>
      <c r="O928" s="47">
        <v>0</v>
      </c>
      <c r="P928" s="47">
        <v>0</v>
      </c>
      <c r="Q928" s="47">
        <v>0</v>
      </c>
      <c r="R928" s="47">
        <v>0</v>
      </c>
      <c r="S928" s="47">
        <v>0</v>
      </c>
      <c r="T928" s="47">
        <v>0</v>
      </c>
      <c r="U928" s="47">
        <v>0</v>
      </c>
      <c r="V928" s="47">
        <v>0</v>
      </c>
      <c r="W928" s="47">
        <v>0</v>
      </c>
      <c r="X928" s="47">
        <v>0</v>
      </c>
      <c r="Y928" s="48">
        <v>8931696.7200000007</v>
      </c>
      <c r="Z928" s="66">
        <v>912144.71</v>
      </c>
      <c r="AA928" s="62">
        <v>912144.71</v>
      </c>
      <c r="AB928" s="50">
        <v>0</v>
      </c>
      <c r="AC928" s="62">
        <v>2626.17</v>
      </c>
      <c r="AD928" s="50">
        <v>23007.439999999999</v>
      </c>
      <c r="AE928" s="50">
        <v>7993918.4000000004</v>
      </c>
      <c r="AF928" s="50">
        <v>0</v>
      </c>
      <c r="AG928" s="49">
        <v>8931696.7200000007</v>
      </c>
      <c r="AH928" s="51" t="s">
        <v>173</v>
      </c>
      <c r="AI928" s="51" t="s">
        <v>74</v>
      </c>
      <c r="AJ928" s="51" t="s">
        <v>174</v>
      </c>
      <c r="AK928" s="51" t="s">
        <v>992</v>
      </c>
      <c r="AL928" s="51" t="s">
        <v>990</v>
      </c>
      <c r="AM928" s="51" t="s">
        <v>74</v>
      </c>
      <c r="AN928" s="52">
        <v>0</v>
      </c>
      <c r="AO928" s="52">
        <v>0</v>
      </c>
      <c r="AP928" s="52">
        <v>0</v>
      </c>
      <c r="AQ928" s="52">
        <v>0</v>
      </c>
      <c r="AR928" s="52">
        <v>0</v>
      </c>
      <c r="AS928" s="52">
        <v>0</v>
      </c>
      <c r="AT928" s="70" t="s">
        <v>74</v>
      </c>
      <c r="AU928" s="52">
        <v>0</v>
      </c>
      <c r="AV928" s="52"/>
      <c r="AW928" s="52">
        <v>0</v>
      </c>
      <c r="AX928" s="52"/>
      <c r="AY928" s="52"/>
      <c r="AZ928" s="52">
        <v>0</v>
      </c>
      <c r="BA928" s="52">
        <v>0</v>
      </c>
      <c r="BB928" s="52" t="s">
        <v>74</v>
      </c>
      <c r="BC928" s="52" t="s">
        <v>74</v>
      </c>
      <c r="BD928" s="52" t="s">
        <v>74</v>
      </c>
      <c r="BE928" s="52" t="s">
        <v>74</v>
      </c>
      <c r="BF928" s="52" t="s">
        <v>74</v>
      </c>
      <c r="BG928" s="52"/>
      <c r="BH928" s="52">
        <v>0</v>
      </c>
      <c r="BI928" s="52">
        <v>0</v>
      </c>
      <c r="BJ928" s="52">
        <v>0</v>
      </c>
      <c r="BK928" s="56">
        <v>44136</v>
      </c>
      <c r="BL928" s="57"/>
      <c r="BM928" s="47">
        <v>0</v>
      </c>
      <c r="BN928" s="9"/>
      <c r="BO928" s="9"/>
      <c r="BP928" s="9"/>
      <c r="BQ928" s="9"/>
      <c r="BR928" s="9"/>
      <c r="BS928" s="9"/>
      <c r="BT928" s="9"/>
      <c r="BU928" s="9"/>
      <c r="BV928" s="9"/>
      <c r="BW928" s="9"/>
    </row>
    <row r="929" spans="1:75" ht="153.75" hidden="1" outlineLevel="2" x14ac:dyDescent="0.25">
      <c r="A929" s="43" t="s">
        <v>275</v>
      </c>
      <c r="B929" s="110" t="s">
        <v>939</v>
      </c>
      <c r="C929" s="45">
        <v>2020</v>
      </c>
      <c r="D929" s="110" t="s">
        <v>93</v>
      </c>
      <c r="E929" s="47">
        <v>8931696.7200000007</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8931696.7200000007</v>
      </c>
      <c r="Z929" s="67">
        <v>857444.14</v>
      </c>
      <c r="AA929" s="62">
        <v>857444.14</v>
      </c>
      <c r="AB929" s="50">
        <v>0</v>
      </c>
      <c r="AC929" s="62">
        <v>2221.6</v>
      </c>
      <c r="AD929" s="62">
        <v>46768.72</v>
      </c>
      <c r="AE929" s="50">
        <v>8025262.2599999998</v>
      </c>
      <c r="AF929" s="50">
        <v>0</v>
      </c>
      <c r="AG929" s="49">
        <v>8931696.7200000007</v>
      </c>
      <c r="AH929" s="51" t="s">
        <v>104</v>
      </c>
      <c r="AI929" s="51" t="s">
        <v>74</v>
      </c>
      <c r="AJ929" s="51" t="s">
        <v>176</v>
      </c>
      <c r="AK929" s="51" t="s">
        <v>993</v>
      </c>
      <c r="AL929" s="51" t="s">
        <v>994</v>
      </c>
      <c r="AM929" s="51" t="s">
        <v>74</v>
      </c>
      <c r="AN929" s="52">
        <v>0</v>
      </c>
      <c r="AO929" s="52">
        <v>0</v>
      </c>
      <c r="AP929" s="52">
        <v>0</v>
      </c>
      <c r="AQ929" s="52">
        <v>0</v>
      </c>
      <c r="AR929" s="52">
        <v>0</v>
      </c>
      <c r="AS929" s="52">
        <v>0</v>
      </c>
      <c r="AT929" s="70" t="s">
        <v>74</v>
      </c>
      <c r="AU929" s="52">
        <v>0</v>
      </c>
      <c r="AV929" s="52"/>
      <c r="AW929" s="52">
        <v>0</v>
      </c>
      <c r="AX929" s="52"/>
      <c r="AY929" s="52"/>
      <c r="AZ929" s="52">
        <v>0</v>
      </c>
      <c r="BA929" s="52">
        <v>0</v>
      </c>
      <c r="BB929" s="52" t="s">
        <v>74</v>
      </c>
      <c r="BC929" s="52" t="s">
        <v>74</v>
      </c>
      <c r="BD929" s="52" t="s">
        <v>74</v>
      </c>
      <c r="BE929" s="52" t="s">
        <v>74</v>
      </c>
      <c r="BF929" s="52" t="s">
        <v>74</v>
      </c>
      <c r="BG929" s="52"/>
      <c r="BH929" s="52">
        <v>0</v>
      </c>
      <c r="BI929" s="52">
        <v>-1.8626451492309599E-9</v>
      </c>
      <c r="BJ929" s="52">
        <v>-1.8626451492309599E-9</v>
      </c>
      <c r="BK929" s="56">
        <v>44166</v>
      </c>
      <c r="BL929" s="57"/>
      <c r="BM929" s="47">
        <v>0</v>
      </c>
      <c r="BN929" s="9"/>
      <c r="BO929" s="9"/>
      <c r="BP929" s="9"/>
      <c r="BQ929" s="9"/>
      <c r="BR929" s="9"/>
      <c r="BS929" s="9"/>
      <c r="BT929" s="9"/>
      <c r="BU929" s="9"/>
      <c r="BV929" s="9"/>
      <c r="BW929" s="9"/>
    </row>
    <row r="930" spans="1:75" ht="90" hidden="1" outlineLevel="2" x14ac:dyDescent="0.25">
      <c r="A930" s="43" t="s">
        <v>275</v>
      </c>
      <c r="B930" s="110" t="s">
        <v>939</v>
      </c>
      <c r="C930" s="45">
        <v>2021</v>
      </c>
      <c r="D930" s="110" t="s">
        <v>73</v>
      </c>
      <c r="E930" s="47">
        <v>8931696.7200000007</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f t="shared" ref="Y930:Y939" si="153">SUM(E930:X930)</f>
        <v>8931696.7200000007</v>
      </c>
      <c r="Z930" s="66">
        <v>832213.82</v>
      </c>
      <c r="AA930" s="62">
        <v>832213.82</v>
      </c>
      <c r="AB930" s="50">
        <v>0</v>
      </c>
      <c r="AC930" s="62">
        <v>2256.58</v>
      </c>
      <c r="AD930" s="50">
        <v>0</v>
      </c>
      <c r="AE930" s="50">
        <v>8202631.7999999998</v>
      </c>
      <c r="AF930" s="50">
        <v>0</v>
      </c>
      <c r="AG930" s="49">
        <f t="shared" ref="AG930:AG939" si="154">SUM(AA930:AF930)</f>
        <v>9037102.1999999993</v>
      </c>
      <c r="AH930" s="51" t="s">
        <v>104</v>
      </c>
      <c r="AI930" s="51" t="s">
        <v>74</v>
      </c>
      <c r="AJ930" s="51" t="s">
        <v>178</v>
      </c>
      <c r="AK930" s="51" t="s">
        <v>74</v>
      </c>
      <c r="AL930" s="51" t="s">
        <v>995</v>
      </c>
      <c r="AM930" s="51" t="s">
        <v>74</v>
      </c>
      <c r="AN930" s="52">
        <v>0</v>
      </c>
      <c r="AO930" s="52">
        <v>105405.48</v>
      </c>
      <c r="AP930" s="52">
        <v>0</v>
      </c>
      <c r="AQ930" s="52">
        <v>0</v>
      </c>
      <c r="AR930" s="52">
        <v>0</v>
      </c>
      <c r="AS930" s="52">
        <f t="shared" ref="AS930:AS939" si="155">AN930+AO930+AP930+AQ930+AR930</f>
        <v>105405.48</v>
      </c>
      <c r="AT930" s="53" t="s">
        <v>996</v>
      </c>
      <c r="AU930" s="52">
        <v>0</v>
      </c>
      <c r="AV930" s="52"/>
      <c r="AW930" s="52">
        <v>0</v>
      </c>
      <c r="AX930" s="52"/>
      <c r="AY930" s="52"/>
      <c r="AZ930" s="52">
        <v>0</v>
      </c>
      <c r="BA930" s="52">
        <f t="shared" ref="BA930:BA939" si="156">AU930+AW930+AX930+AZ930</f>
        <v>0</v>
      </c>
      <c r="BB930" s="52" t="s">
        <v>74</v>
      </c>
      <c r="BC930" s="52" t="s">
        <v>74</v>
      </c>
      <c r="BD930" s="52" t="s">
        <v>74</v>
      </c>
      <c r="BE930" s="52" t="s">
        <v>74</v>
      </c>
      <c r="BF930" s="52" t="s">
        <v>74</v>
      </c>
      <c r="BG930" s="52"/>
      <c r="BH930" s="52">
        <f t="shared" ref="BH930:BH939" si="157">AS930+BA930</f>
        <v>105405.48</v>
      </c>
      <c r="BI930" s="52">
        <f t="shared" ref="BI930:BI939" si="158">Y930-AG930+BH930</f>
        <v>1.4115357771515846E-9</v>
      </c>
      <c r="BJ930" s="52">
        <v>-105405.47999999901</v>
      </c>
      <c r="BK930" s="56">
        <v>44197</v>
      </c>
      <c r="BL930" s="57"/>
      <c r="BM930" s="47">
        <v>0</v>
      </c>
      <c r="BN930" s="9"/>
      <c r="BO930" s="9"/>
      <c r="BP930" s="9"/>
      <c r="BQ930" s="9"/>
      <c r="BR930" s="9"/>
      <c r="BS930" s="9"/>
      <c r="BT930" s="9"/>
      <c r="BU930" s="9"/>
      <c r="BV930" s="9"/>
      <c r="BW930" s="9"/>
    </row>
    <row r="931" spans="1:75" ht="64.5" hidden="1" outlineLevel="2" x14ac:dyDescent="0.25">
      <c r="A931" s="43" t="s">
        <v>275</v>
      </c>
      <c r="B931" s="110" t="s">
        <v>939</v>
      </c>
      <c r="C931" s="45">
        <v>2021</v>
      </c>
      <c r="D931" s="110" t="s">
        <v>75</v>
      </c>
      <c r="E931" s="47">
        <v>8931696.7200000007</v>
      </c>
      <c r="F931" s="47">
        <v>0</v>
      </c>
      <c r="G931" s="47">
        <v>0</v>
      </c>
      <c r="H931" s="47">
        <v>0</v>
      </c>
      <c r="I931" s="47">
        <v>0</v>
      </c>
      <c r="J931" s="47">
        <v>0</v>
      </c>
      <c r="K931" s="47">
        <v>0</v>
      </c>
      <c r="L931" s="47">
        <v>0</v>
      </c>
      <c r="M931" s="47">
        <v>0</v>
      </c>
      <c r="N931" s="47">
        <v>0</v>
      </c>
      <c r="O931" s="47">
        <v>0</v>
      </c>
      <c r="P931" s="47">
        <v>0</v>
      </c>
      <c r="Q931" s="47">
        <v>0</v>
      </c>
      <c r="R931" s="47">
        <v>0</v>
      </c>
      <c r="S931" s="47">
        <v>0</v>
      </c>
      <c r="T931" s="47">
        <v>0</v>
      </c>
      <c r="U931" s="47">
        <v>0</v>
      </c>
      <c r="V931" s="47">
        <v>0</v>
      </c>
      <c r="W931" s="47">
        <v>0</v>
      </c>
      <c r="X931" s="47">
        <v>0</v>
      </c>
      <c r="Y931" s="48">
        <f t="shared" si="153"/>
        <v>8931696.7200000007</v>
      </c>
      <c r="Z931" s="66">
        <v>770343.88</v>
      </c>
      <c r="AA931" s="62">
        <v>770342.98</v>
      </c>
      <c r="AB931" s="50">
        <v>0</v>
      </c>
      <c r="AC931" s="62">
        <v>2276.19</v>
      </c>
      <c r="AD931" s="62">
        <v>22893.37</v>
      </c>
      <c r="AE931" s="50">
        <v>3236872.33</v>
      </c>
      <c r="AF931" s="50">
        <v>0</v>
      </c>
      <c r="AG931" s="49">
        <f t="shared" si="154"/>
        <v>4032384.87</v>
      </c>
      <c r="AH931" s="51" t="s">
        <v>104</v>
      </c>
      <c r="AI931" s="51" t="s">
        <v>74</v>
      </c>
      <c r="AJ931" s="51" t="s">
        <v>578</v>
      </c>
      <c r="AK931" s="51" t="s">
        <v>180</v>
      </c>
      <c r="AL931" s="51" t="s">
        <v>997</v>
      </c>
      <c r="AM931" s="51" t="s">
        <v>74</v>
      </c>
      <c r="AN931" s="52">
        <v>0</v>
      </c>
      <c r="AO931" s="52">
        <v>0</v>
      </c>
      <c r="AP931" s="52">
        <v>0</v>
      </c>
      <c r="AQ931" s="52">
        <v>0</v>
      </c>
      <c r="AR931" s="52">
        <v>0</v>
      </c>
      <c r="AS931" s="52">
        <f t="shared" si="155"/>
        <v>0</v>
      </c>
      <c r="AT931" s="70" t="s">
        <v>74</v>
      </c>
      <c r="AU931" s="52">
        <v>0</v>
      </c>
      <c r="AV931" s="52"/>
      <c r="AW931" s="52">
        <v>0</v>
      </c>
      <c r="AX931" s="52"/>
      <c r="AY931" s="52"/>
      <c r="AZ931" s="52">
        <v>0</v>
      </c>
      <c r="BA931" s="52">
        <f t="shared" si="156"/>
        <v>0</v>
      </c>
      <c r="BB931" s="52" t="s">
        <v>74</v>
      </c>
      <c r="BC931" s="52" t="s">
        <v>74</v>
      </c>
      <c r="BD931" s="52" t="s">
        <v>74</v>
      </c>
      <c r="BE931" s="52" t="s">
        <v>74</v>
      </c>
      <c r="BF931" s="52" t="s">
        <v>74</v>
      </c>
      <c r="BG931" s="52"/>
      <c r="BH931" s="52">
        <f t="shared" si="157"/>
        <v>0</v>
      </c>
      <c r="BI931" s="52">
        <f t="shared" si="158"/>
        <v>4899311.8500000006</v>
      </c>
      <c r="BJ931" s="52">
        <v>4899311.8499999996</v>
      </c>
      <c r="BK931" s="56">
        <v>44228</v>
      </c>
      <c r="BL931" s="63">
        <v>4899311.8499999996</v>
      </c>
      <c r="BM931" s="47">
        <v>0</v>
      </c>
      <c r="BN931" s="9"/>
      <c r="BO931" s="9"/>
      <c r="BP931" s="9"/>
      <c r="BQ931" s="9"/>
      <c r="BR931" s="9"/>
      <c r="BS931" s="9"/>
      <c r="BT931" s="9"/>
      <c r="BU931" s="9"/>
      <c r="BV931" s="9"/>
      <c r="BW931" s="9"/>
    </row>
    <row r="932" spans="1:75" ht="39" hidden="1" outlineLevel="2" x14ac:dyDescent="0.25">
      <c r="A932" s="43" t="s">
        <v>275</v>
      </c>
      <c r="B932" s="110" t="s">
        <v>939</v>
      </c>
      <c r="C932" s="45">
        <v>2021</v>
      </c>
      <c r="D932" s="110" t="s">
        <v>77</v>
      </c>
      <c r="E932" s="47">
        <v>8931696.7200000007</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f t="shared" si="153"/>
        <v>8931696.7200000007</v>
      </c>
      <c r="Z932" s="66">
        <v>761189.06</v>
      </c>
      <c r="AA932" s="62">
        <v>761189.06</v>
      </c>
      <c r="AB932" s="50">
        <v>0</v>
      </c>
      <c r="AC932" s="62">
        <v>3119.19</v>
      </c>
      <c r="AD932" s="62">
        <v>24201.91</v>
      </c>
      <c r="AE932" s="50">
        <v>0</v>
      </c>
      <c r="AF932" s="50">
        <v>0</v>
      </c>
      <c r="AG932" s="49">
        <f t="shared" si="154"/>
        <v>788510.16</v>
      </c>
      <c r="AH932" s="51" t="s">
        <v>104</v>
      </c>
      <c r="AI932" s="51" t="s">
        <v>74</v>
      </c>
      <c r="AJ932" s="51" t="s">
        <v>998</v>
      </c>
      <c r="AK932" s="51" t="s">
        <v>998</v>
      </c>
      <c r="AL932" s="51" t="s">
        <v>74</v>
      </c>
      <c r="AM932" s="51" t="s">
        <v>74</v>
      </c>
      <c r="AN932" s="52">
        <v>0</v>
      </c>
      <c r="AO932" s="52">
        <v>0</v>
      </c>
      <c r="AP932" s="52">
        <v>0</v>
      </c>
      <c r="AQ932" s="52">
        <v>0</v>
      </c>
      <c r="AR932" s="52">
        <v>0</v>
      </c>
      <c r="AS932" s="52">
        <f t="shared" si="155"/>
        <v>0</v>
      </c>
      <c r="AT932" s="70" t="s">
        <v>74</v>
      </c>
      <c r="AU932" s="52">
        <v>0</v>
      </c>
      <c r="AV932" s="52"/>
      <c r="AW932" s="52">
        <v>0</v>
      </c>
      <c r="AX932" s="52"/>
      <c r="AY932" s="52"/>
      <c r="AZ932" s="52">
        <v>0</v>
      </c>
      <c r="BA932" s="52">
        <f t="shared" si="156"/>
        <v>0</v>
      </c>
      <c r="BB932" s="52" t="s">
        <v>74</v>
      </c>
      <c r="BC932" s="52" t="s">
        <v>74</v>
      </c>
      <c r="BD932" s="52" t="s">
        <v>74</v>
      </c>
      <c r="BE932" s="52" t="s">
        <v>74</v>
      </c>
      <c r="BF932" s="52" t="s">
        <v>74</v>
      </c>
      <c r="BG932" s="52"/>
      <c r="BH932" s="52">
        <f t="shared" si="157"/>
        <v>0</v>
      </c>
      <c r="BI932" s="52">
        <f t="shared" si="158"/>
        <v>8143186.5600000005</v>
      </c>
      <c r="BJ932" s="52">
        <v>8143186.5599999996</v>
      </c>
      <c r="BK932" s="56">
        <v>44256</v>
      </c>
      <c r="BL932" s="63">
        <v>8143186.5599999996</v>
      </c>
      <c r="BM932" s="47">
        <v>0</v>
      </c>
      <c r="BN932" s="9"/>
      <c r="BO932" s="9"/>
      <c r="BP932" s="9"/>
      <c r="BQ932" s="9"/>
      <c r="BR932" s="9"/>
      <c r="BS932" s="9"/>
      <c r="BT932" s="9"/>
      <c r="BU932" s="9"/>
      <c r="BV932" s="9"/>
      <c r="BW932" s="9"/>
    </row>
    <row r="933" spans="1:75" ht="39" hidden="1" outlineLevel="2" x14ac:dyDescent="0.25">
      <c r="A933" s="43" t="s">
        <v>275</v>
      </c>
      <c r="B933" s="110" t="s">
        <v>939</v>
      </c>
      <c r="C933" s="45">
        <v>2021</v>
      </c>
      <c r="D933" s="110" t="s">
        <v>79</v>
      </c>
      <c r="E933" s="47">
        <v>8931696.7200000007</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f t="shared" si="153"/>
        <v>8931696.7200000007</v>
      </c>
      <c r="Z933" s="66">
        <v>704576.75</v>
      </c>
      <c r="AA933" s="62">
        <v>704576.75</v>
      </c>
      <c r="AB933" s="50">
        <v>0</v>
      </c>
      <c r="AC933" s="62">
        <v>3062.57</v>
      </c>
      <c r="AD933" s="62">
        <v>23601.59</v>
      </c>
      <c r="AE933" s="50">
        <v>0</v>
      </c>
      <c r="AF933" s="50">
        <v>0</v>
      </c>
      <c r="AG933" s="49">
        <f t="shared" si="154"/>
        <v>731240.90999999992</v>
      </c>
      <c r="AH933" s="51" t="s">
        <v>104</v>
      </c>
      <c r="AI933" s="51" t="s">
        <v>74</v>
      </c>
      <c r="AJ933" s="51" t="s">
        <v>999</v>
      </c>
      <c r="AK933" s="51" t="s">
        <v>1000</v>
      </c>
      <c r="AL933" s="51" t="s">
        <v>74</v>
      </c>
      <c r="AM933" s="51" t="s">
        <v>74</v>
      </c>
      <c r="AN933" s="52">
        <v>0</v>
      </c>
      <c r="AO933" s="52">
        <v>0</v>
      </c>
      <c r="AP933" s="52">
        <v>0</v>
      </c>
      <c r="AQ933" s="52">
        <v>0</v>
      </c>
      <c r="AR933" s="52">
        <v>0</v>
      </c>
      <c r="AS933" s="52">
        <f t="shared" si="155"/>
        <v>0</v>
      </c>
      <c r="AT933" s="70" t="s">
        <v>74</v>
      </c>
      <c r="AU933" s="52">
        <v>0</v>
      </c>
      <c r="AV933" s="52"/>
      <c r="AW933" s="52">
        <v>0</v>
      </c>
      <c r="AX933" s="52"/>
      <c r="AY933" s="52"/>
      <c r="AZ933" s="52">
        <v>0</v>
      </c>
      <c r="BA933" s="52">
        <f t="shared" si="156"/>
        <v>0</v>
      </c>
      <c r="BB933" s="52" t="s">
        <v>74</v>
      </c>
      <c r="BC933" s="52" t="s">
        <v>74</v>
      </c>
      <c r="BD933" s="52" t="s">
        <v>74</v>
      </c>
      <c r="BE933" s="52" t="s">
        <v>74</v>
      </c>
      <c r="BF933" s="52" t="s">
        <v>74</v>
      </c>
      <c r="BG933" s="52"/>
      <c r="BH933" s="52">
        <f t="shared" si="157"/>
        <v>0</v>
      </c>
      <c r="BI933" s="52">
        <f t="shared" si="158"/>
        <v>8200455.8100000005</v>
      </c>
      <c r="BJ933" s="52">
        <v>8200455.8099999996</v>
      </c>
      <c r="BK933" s="56">
        <v>44287</v>
      </c>
      <c r="BL933" s="63">
        <v>8200455.8099999996</v>
      </c>
      <c r="BM933" s="47">
        <v>0</v>
      </c>
      <c r="BN933" s="9"/>
      <c r="BO933" s="9"/>
      <c r="BP933" s="9"/>
      <c r="BQ933" s="9"/>
      <c r="BR933" s="9"/>
      <c r="BS933" s="9"/>
      <c r="BT933" s="9"/>
      <c r="BU933" s="9"/>
      <c r="BV933" s="9"/>
      <c r="BW933" s="9"/>
    </row>
    <row r="934" spans="1:75" ht="39" hidden="1" outlineLevel="2" x14ac:dyDescent="0.25">
      <c r="A934" s="43" t="s">
        <v>275</v>
      </c>
      <c r="B934" s="110" t="s">
        <v>939</v>
      </c>
      <c r="C934" s="45">
        <v>2021</v>
      </c>
      <c r="D934" s="110" t="s">
        <v>81</v>
      </c>
      <c r="E934" s="47">
        <v>8931696.7200000007</v>
      </c>
      <c r="F934" s="47">
        <v>0</v>
      </c>
      <c r="G934" s="47">
        <v>0</v>
      </c>
      <c r="H934" s="47">
        <v>0</v>
      </c>
      <c r="I934" s="47">
        <v>0</v>
      </c>
      <c r="J934" s="47">
        <v>0</v>
      </c>
      <c r="K934" s="47">
        <v>0</v>
      </c>
      <c r="L934" s="47">
        <v>0</v>
      </c>
      <c r="M934" s="47">
        <v>0</v>
      </c>
      <c r="N934" s="47">
        <v>0</v>
      </c>
      <c r="O934" s="47">
        <v>0</v>
      </c>
      <c r="P934" s="47">
        <v>0</v>
      </c>
      <c r="Q934" s="47">
        <v>0</v>
      </c>
      <c r="R934" s="47">
        <v>0</v>
      </c>
      <c r="S934" s="47">
        <v>0</v>
      </c>
      <c r="T934" s="47">
        <v>0</v>
      </c>
      <c r="U934" s="47">
        <v>0</v>
      </c>
      <c r="V934" s="47">
        <v>0</v>
      </c>
      <c r="W934" s="47">
        <v>0</v>
      </c>
      <c r="X934" s="47">
        <v>0</v>
      </c>
      <c r="Y934" s="48">
        <f t="shared" si="153"/>
        <v>8931696.7200000007</v>
      </c>
      <c r="Z934" s="66">
        <v>678516.56</v>
      </c>
      <c r="AA934" s="62">
        <v>678516.56</v>
      </c>
      <c r="AB934" s="50">
        <v>0</v>
      </c>
      <c r="AC934" s="62">
        <v>2708.41</v>
      </c>
      <c r="AD934" s="62">
        <v>25905.3</v>
      </c>
      <c r="AE934" s="50">
        <v>0</v>
      </c>
      <c r="AF934" s="50">
        <v>0</v>
      </c>
      <c r="AG934" s="49">
        <f t="shared" si="154"/>
        <v>707130.27000000014</v>
      </c>
      <c r="AH934" s="51" t="s">
        <v>104</v>
      </c>
      <c r="AI934" s="51" t="s">
        <v>74</v>
      </c>
      <c r="AJ934" s="51" t="s">
        <v>1001</v>
      </c>
      <c r="AK934" s="51" t="s">
        <v>1002</v>
      </c>
      <c r="AL934" s="51" t="s">
        <v>74</v>
      </c>
      <c r="AM934" s="51" t="s">
        <v>74</v>
      </c>
      <c r="AN934" s="52">
        <v>0</v>
      </c>
      <c r="AO934" s="52">
        <v>0</v>
      </c>
      <c r="AP934" s="52">
        <v>0</v>
      </c>
      <c r="AQ934" s="52">
        <v>0</v>
      </c>
      <c r="AR934" s="52">
        <v>0</v>
      </c>
      <c r="AS934" s="52">
        <f t="shared" si="155"/>
        <v>0</v>
      </c>
      <c r="AT934" s="70" t="s">
        <v>74</v>
      </c>
      <c r="AU934" s="52">
        <v>0</v>
      </c>
      <c r="AV934" s="52"/>
      <c r="AW934" s="52">
        <v>0</v>
      </c>
      <c r="AX934" s="52"/>
      <c r="AY934" s="52"/>
      <c r="AZ934" s="52">
        <v>0</v>
      </c>
      <c r="BA934" s="52">
        <f t="shared" si="156"/>
        <v>0</v>
      </c>
      <c r="BB934" s="52" t="s">
        <v>74</v>
      </c>
      <c r="BC934" s="52" t="s">
        <v>74</v>
      </c>
      <c r="BD934" s="52" t="s">
        <v>74</v>
      </c>
      <c r="BE934" s="52" t="s">
        <v>74</v>
      </c>
      <c r="BF934" s="52" t="s">
        <v>74</v>
      </c>
      <c r="BG934" s="52"/>
      <c r="BH934" s="52">
        <f t="shared" si="157"/>
        <v>0</v>
      </c>
      <c r="BI934" s="52">
        <f t="shared" si="158"/>
        <v>8224566.4500000002</v>
      </c>
      <c r="BJ934" s="52">
        <v>8224566.4500000002</v>
      </c>
      <c r="BK934" s="56">
        <v>44317</v>
      </c>
      <c r="BL934" s="63">
        <v>8224566.4500000002</v>
      </c>
      <c r="BM934" s="47">
        <v>0</v>
      </c>
      <c r="BN934" s="9"/>
      <c r="BO934" s="9"/>
      <c r="BP934" s="9"/>
      <c r="BQ934" s="9"/>
      <c r="BR934" s="9"/>
      <c r="BS934" s="9"/>
      <c r="BT934" s="9"/>
      <c r="BU934" s="9"/>
      <c r="BV934" s="9"/>
      <c r="BW934" s="9"/>
    </row>
    <row r="935" spans="1:75" ht="39" hidden="1" outlineLevel="2" x14ac:dyDescent="0.25">
      <c r="A935" s="43" t="s">
        <v>275</v>
      </c>
      <c r="B935" s="110" t="s">
        <v>939</v>
      </c>
      <c r="C935" s="45">
        <v>2021</v>
      </c>
      <c r="D935" s="110" t="s">
        <v>83</v>
      </c>
      <c r="E935" s="47">
        <v>8931696.7200000007</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f t="shared" si="153"/>
        <v>8931696.7200000007</v>
      </c>
      <c r="Z935" s="204">
        <v>704881.19</v>
      </c>
      <c r="AA935" s="148">
        <v>704881.19</v>
      </c>
      <c r="AB935" s="159">
        <v>0</v>
      </c>
      <c r="AC935" s="159"/>
      <c r="AD935" s="148">
        <v>25763.93</v>
      </c>
      <c r="AE935" s="50">
        <v>0</v>
      </c>
      <c r="AF935" s="50">
        <v>0</v>
      </c>
      <c r="AG935" s="49">
        <f t="shared" si="154"/>
        <v>730645.12</v>
      </c>
      <c r="AH935" s="51" t="s">
        <v>104</v>
      </c>
      <c r="AI935" s="51" t="s">
        <v>74</v>
      </c>
      <c r="AJ935" s="51" t="s">
        <v>74</v>
      </c>
      <c r="AK935" s="51" t="s">
        <v>1003</v>
      </c>
      <c r="AL935" s="51" t="s">
        <v>74</v>
      </c>
      <c r="AM935" s="51" t="s">
        <v>74</v>
      </c>
      <c r="AN935" s="52">
        <v>0</v>
      </c>
      <c r="AO935" s="52">
        <v>0</v>
      </c>
      <c r="AP935" s="52">
        <v>0</v>
      </c>
      <c r="AQ935" s="52">
        <v>0</v>
      </c>
      <c r="AR935" s="52">
        <v>0</v>
      </c>
      <c r="AS935" s="52">
        <f t="shared" si="155"/>
        <v>0</v>
      </c>
      <c r="AT935" s="70" t="s">
        <v>74</v>
      </c>
      <c r="AU935" s="52">
        <v>0</v>
      </c>
      <c r="AV935" s="52"/>
      <c r="AW935" s="52">
        <v>0</v>
      </c>
      <c r="AX935" s="52"/>
      <c r="AY935" s="52"/>
      <c r="AZ935" s="52">
        <v>0</v>
      </c>
      <c r="BA935" s="52">
        <f t="shared" si="156"/>
        <v>0</v>
      </c>
      <c r="BB935" s="52" t="s">
        <v>74</v>
      </c>
      <c r="BC935" s="52" t="s">
        <v>74</v>
      </c>
      <c r="BD935" s="52" t="s">
        <v>74</v>
      </c>
      <c r="BE935" s="52" t="s">
        <v>74</v>
      </c>
      <c r="BF935" s="52" t="s">
        <v>74</v>
      </c>
      <c r="BG935" s="52"/>
      <c r="BH935" s="52">
        <f t="shared" si="157"/>
        <v>0</v>
      </c>
      <c r="BI935" s="52">
        <f t="shared" si="158"/>
        <v>8201051.6000000006</v>
      </c>
      <c r="BJ935" s="52">
        <f>Y935-AG935+AX935</f>
        <v>8201051.6000000006</v>
      </c>
      <c r="BK935" s="56">
        <v>44348</v>
      </c>
      <c r="BL935" s="63">
        <f>7954196.72+246854.88</f>
        <v>8201051.5999999996</v>
      </c>
      <c r="BM935" s="47">
        <v>0</v>
      </c>
      <c r="BN935" s="9"/>
      <c r="BO935" s="9"/>
      <c r="BP935" s="9"/>
      <c r="BQ935" s="9"/>
      <c r="BR935" s="9"/>
      <c r="BS935" s="9"/>
      <c r="BT935" s="9"/>
      <c r="BU935" s="9"/>
      <c r="BV935" s="9"/>
      <c r="BW935" s="9"/>
    </row>
    <row r="936" spans="1:75" ht="115.5" hidden="1" outlineLevel="2" x14ac:dyDescent="0.25">
      <c r="A936" s="43" t="s">
        <v>275</v>
      </c>
      <c r="B936" s="110" t="s">
        <v>939</v>
      </c>
      <c r="C936" s="45">
        <v>2021</v>
      </c>
      <c r="D936" s="110" t="s">
        <v>84</v>
      </c>
      <c r="E936" s="47">
        <v>8931696.7200000007</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f t="shared" si="153"/>
        <v>8931696.7200000007</v>
      </c>
      <c r="Z936" s="205">
        <f>443114.91+22611.17+9829.55+125544.41+85662.15</f>
        <v>686762.19</v>
      </c>
      <c r="AA936" s="148">
        <f>443114.91+22611.17+9829.55+125544.41+85662.15</f>
        <v>686762.19</v>
      </c>
      <c r="AB936" s="50">
        <v>0</v>
      </c>
      <c r="AC936" s="50"/>
      <c r="AD936" s="148">
        <f>24259.35+4886</f>
        <v>29145.35</v>
      </c>
      <c r="AE936" s="50">
        <v>0</v>
      </c>
      <c r="AF936" s="50">
        <v>0</v>
      </c>
      <c r="AG936" s="49">
        <f t="shared" si="154"/>
        <v>715907.53999999992</v>
      </c>
      <c r="AH936" s="51" t="s">
        <v>1004</v>
      </c>
      <c r="AI936" s="51" t="s">
        <v>74</v>
      </c>
      <c r="AJ936" s="51"/>
      <c r="AK936" s="51" t="s">
        <v>1005</v>
      </c>
      <c r="AL936" s="51" t="s">
        <v>74</v>
      </c>
      <c r="AM936" s="51" t="s">
        <v>74</v>
      </c>
      <c r="AN936" s="52">
        <v>0</v>
      </c>
      <c r="AO936" s="52">
        <v>0</v>
      </c>
      <c r="AP936" s="52">
        <v>0</v>
      </c>
      <c r="AQ936" s="52">
        <v>0</v>
      </c>
      <c r="AR936" s="52">
        <v>0</v>
      </c>
      <c r="AS936" s="52">
        <f t="shared" si="155"/>
        <v>0</v>
      </c>
      <c r="AT936" s="70" t="s">
        <v>74</v>
      </c>
      <c r="AU936" s="52">
        <v>0</v>
      </c>
      <c r="AV936" s="52"/>
      <c r="AW936" s="52">
        <v>0</v>
      </c>
      <c r="AX936" s="52"/>
      <c r="AY936" s="52"/>
      <c r="AZ936" s="52">
        <v>0</v>
      </c>
      <c r="BA936" s="52">
        <f t="shared" si="156"/>
        <v>0</v>
      </c>
      <c r="BB936" s="52" t="s">
        <v>74</v>
      </c>
      <c r="BC936" s="52" t="s">
        <v>74</v>
      </c>
      <c r="BD936" s="52" t="s">
        <v>74</v>
      </c>
      <c r="BE936" s="52" t="s">
        <v>74</v>
      </c>
      <c r="BF936" s="52" t="s">
        <v>74</v>
      </c>
      <c r="BG936" s="52"/>
      <c r="BH936" s="52">
        <f t="shared" si="157"/>
        <v>0</v>
      </c>
      <c r="BI936" s="52">
        <f t="shared" si="158"/>
        <v>8215789.1800000006</v>
      </c>
      <c r="BJ936" s="52">
        <f>Y936-AG936+AX936</f>
        <v>8215789.1800000006</v>
      </c>
      <c r="BK936" s="56">
        <v>44378</v>
      </c>
      <c r="BL936" s="63">
        <f>7954196.72+261592.46</f>
        <v>8215789.1799999997</v>
      </c>
      <c r="BM936" s="47">
        <v>0</v>
      </c>
      <c r="BN936" s="9"/>
      <c r="BO936" s="9"/>
      <c r="BP936" s="9"/>
      <c r="BQ936" s="9"/>
      <c r="BR936" s="9"/>
      <c r="BS936" s="9"/>
      <c r="BT936" s="9"/>
      <c r="BU936" s="9"/>
      <c r="BV936" s="9"/>
      <c r="BW936" s="9"/>
    </row>
    <row r="937" spans="1:75" ht="115.5" hidden="1" outlineLevel="2" x14ac:dyDescent="0.25">
      <c r="A937" s="43" t="s">
        <v>275</v>
      </c>
      <c r="B937" s="110" t="s">
        <v>939</v>
      </c>
      <c r="C937" s="45">
        <v>2021</v>
      </c>
      <c r="D937" s="110" t="s">
        <v>86</v>
      </c>
      <c r="E937" s="47">
        <v>8931696.7200000007</v>
      </c>
      <c r="F937" s="47">
        <v>0</v>
      </c>
      <c r="G937" s="47">
        <v>0</v>
      </c>
      <c r="H937" s="47">
        <v>0</v>
      </c>
      <c r="I937" s="47">
        <v>0</v>
      </c>
      <c r="J937" s="47">
        <v>0</v>
      </c>
      <c r="K937" s="47">
        <v>0</v>
      </c>
      <c r="L937" s="47">
        <v>0</v>
      </c>
      <c r="M937" s="47">
        <v>0</v>
      </c>
      <c r="N937" s="47">
        <v>0</v>
      </c>
      <c r="O937" s="47">
        <v>0</v>
      </c>
      <c r="P937" s="47">
        <v>0</v>
      </c>
      <c r="Q937" s="47">
        <v>0</v>
      </c>
      <c r="R937" s="47">
        <v>0</v>
      </c>
      <c r="S937" s="47">
        <v>0</v>
      </c>
      <c r="T937" s="47">
        <v>0</v>
      </c>
      <c r="U937" s="47">
        <v>0</v>
      </c>
      <c r="V937" s="47">
        <v>0</v>
      </c>
      <c r="W937" s="47">
        <v>0</v>
      </c>
      <c r="X937" s="47">
        <v>0</v>
      </c>
      <c r="Y937" s="48">
        <f t="shared" si="153"/>
        <v>8931696.7200000007</v>
      </c>
      <c r="Z937" s="204">
        <f>447183.02+22366.72+10892.31+126391.47+88472.65</f>
        <v>695306.17</v>
      </c>
      <c r="AA937" s="148">
        <f>447183.02+22366.72+10892.31+126391.47+88472.65</f>
        <v>695306.17</v>
      </c>
      <c r="AB937" s="159">
        <v>0</v>
      </c>
      <c r="AC937" s="159">
        <v>0</v>
      </c>
      <c r="AD937" s="148">
        <f>24943.57+4286.71</f>
        <v>29230.28</v>
      </c>
      <c r="AE937" s="50">
        <v>0</v>
      </c>
      <c r="AF937" s="50">
        <v>0</v>
      </c>
      <c r="AG937" s="49">
        <f t="shared" si="154"/>
        <v>724536.45000000007</v>
      </c>
      <c r="AH937" s="51" t="s">
        <v>1006</v>
      </c>
      <c r="AI937" s="51" t="s">
        <v>74</v>
      </c>
      <c r="AJ937" s="51" t="s">
        <v>74</v>
      </c>
      <c r="AK937" s="51" t="s">
        <v>1007</v>
      </c>
      <c r="AL937" s="51" t="s">
        <v>74</v>
      </c>
      <c r="AM937" s="51" t="s">
        <v>74</v>
      </c>
      <c r="AN937" s="52">
        <v>0</v>
      </c>
      <c r="AO937" s="52">
        <v>0</v>
      </c>
      <c r="AP937" s="52">
        <v>0</v>
      </c>
      <c r="AQ937" s="52">
        <v>0</v>
      </c>
      <c r="AR937" s="52">
        <v>0</v>
      </c>
      <c r="AS937" s="52">
        <f t="shared" si="155"/>
        <v>0</v>
      </c>
      <c r="AT937" s="70" t="s">
        <v>74</v>
      </c>
      <c r="AU937" s="52">
        <v>0</v>
      </c>
      <c r="AV937" s="52"/>
      <c r="AW937" s="52">
        <v>0</v>
      </c>
      <c r="AX937" s="52"/>
      <c r="AY937" s="52"/>
      <c r="AZ937" s="52">
        <v>0</v>
      </c>
      <c r="BA937" s="52">
        <f t="shared" si="156"/>
        <v>0</v>
      </c>
      <c r="BB937" s="52" t="s">
        <v>74</v>
      </c>
      <c r="BC937" s="52" t="s">
        <v>74</v>
      </c>
      <c r="BD937" s="52" t="s">
        <v>74</v>
      </c>
      <c r="BE937" s="52" t="s">
        <v>74</v>
      </c>
      <c r="BF937" s="52" t="s">
        <v>74</v>
      </c>
      <c r="BG937" s="52"/>
      <c r="BH937" s="52">
        <f t="shared" si="157"/>
        <v>0</v>
      </c>
      <c r="BI937" s="52">
        <f t="shared" si="158"/>
        <v>8207160.2700000005</v>
      </c>
      <c r="BJ937" s="52">
        <f>Y937-AG937+AX937</f>
        <v>8207160.2700000005</v>
      </c>
      <c r="BK937" s="56">
        <v>44409</v>
      </c>
      <c r="BL937" s="57">
        <f>7956696.72+250463.55</f>
        <v>8207160.2699999996</v>
      </c>
      <c r="BM937" s="47">
        <v>0</v>
      </c>
      <c r="BN937" s="9"/>
      <c r="BO937" s="9"/>
      <c r="BP937" s="9"/>
      <c r="BQ937" s="9"/>
      <c r="BR937" s="9"/>
      <c r="BS937" s="9"/>
      <c r="BT937" s="9"/>
      <c r="BU937" s="9"/>
      <c r="BV937" s="9"/>
      <c r="BW937" s="9"/>
    </row>
    <row r="938" spans="1:75" hidden="1" outlineLevel="2" x14ac:dyDescent="0.25">
      <c r="A938" s="43" t="s">
        <v>275</v>
      </c>
      <c r="B938" s="110" t="s">
        <v>939</v>
      </c>
      <c r="C938" s="45">
        <v>2021</v>
      </c>
      <c r="D938" s="110" t="s">
        <v>88</v>
      </c>
      <c r="E938" s="47">
        <v>8931696.7200000007</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f t="shared" si="153"/>
        <v>8931696.7200000007</v>
      </c>
      <c r="Z938" s="102">
        <v>0</v>
      </c>
      <c r="AA938" s="159">
        <v>950000</v>
      </c>
      <c r="AB938" s="159">
        <v>0</v>
      </c>
      <c r="AC938" s="159">
        <v>0</v>
      </c>
      <c r="AD938" s="159">
        <v>25000</v>
      </c>
      <c r="AE938" s="50">
        <v>0</v>
      </c>
      <c r="AF938" s="50">
        <v>0</v>
      </c>
      <c r="AG938" s="49">
        <f t="shared" si="154"/>
        <v>975000</v>
      </c>
      <c r="AH938" s="51" t="s">
        <v>595</v>
      </c>
      <c r="AI938" s="51" t="s">
        <v>74</v>
      </c>
      <c r="AJ938" s="51" t="s">
        <v>74</v>
      </c>
      <c r="AK938" s="51" t="s">
        <v>595</v>
      </c>
      <c r="AL938" s="51" t="s">
        <v>74</v>
      </c>
      <c r="AM938" s="51" t="s">
        <v>74</v>
      </c>
      <c r="AN938" s="52">
        <v>0</v>
      </c>
      <c r="AO938" s="52">
        <v>0</v>
      </c>
      <c r="AP938" s="52">
        <v>0</v>
      </c>
      <c r="AQ938" s="52">
        <v>0</v>
      </c>
      <c r="AR938" s="52">
        <v>0</v>
      </c>
      <c r="AS938" s="52">
        <f t="shared" si="155"/>
        <v>0</v>
      </c>
      <c r="AT938" s="70" t="s">
        <v>74</v>
      </c>
      <c r="AU938" s="52">
        <v>0</v>
      </c>
      <c r="AV938" s="52"/>
      <c r="AW938" s="52">
        <v>0</v>
      </c>
      <c r="AX938" s="52"/>
      <c r="AY938" s="52"/>
      <c r="AZ938" s="52">
        <v>0</v>
      </c>
      <c r="BA938" s="52">
        <f t="shared" si="156"/>
        <v>0</v>
      </c>
      <c r="BB938" s="52" t="s">
        <v>74</v>
      </c>
      <c r="BC938" s="52" t="s">
        <v>74</v>
      </c>
      <c r="BD938" s="52" t="s">
        <v>74</v>
      </c>
      <c r="BE938" s="52" t="s">
        <v>74</v>
      </c>
      <c r="BF938" s="52" t="s">
        <v>74</v>
      </c>
      <c r="BG938" s="52"/>
      <c r="BH938" s="52">
        <f t="shared" si="157"/>
        <v>0</v>
      </c>
      <c r="BI938" s="52">
        <f t="shared" si="158"/>
        <v>7956696.7200000007</v>
      </c>
      <c r="BJ938" s="52">
        <f>BI938-BH938</f>
        <v>7956696.7200000007</v>
      </c>
      <c r="BK938" s="56">
        <v>44440</v>
      </c>
      <c r="BL938" s="63">
        <v>7956696.7199999997</v>
      </c>
      <c r="BM938" s="47">
        <v>0</v>
      </c>
      <c r="BN938" s="9"/>
      <c r="BO938" s="9"/>
      <c r="BP938" s="9"/>
      <c r="BQ938" s="9"/>
      <c r="BR938" s="9"/>
      <c r="BS938" s="9"/>
      <c r="BT938" s="9"/>
      <c r="BU938" s="9"/>
      <c r="BV938" s="9"/>
      <c r="BW938" s="9"/>
    </row>
    <row r="939" spans="1:75" hidden="1" outlineLevel="2" x14ac:dyDescent="0.25">
      <c r="A939" s="71" t="s">
        <v>275</v>
      </c>
      <c r="B939" s="116" t="s">
        <v>939</v>
      </c>
      <c r="C939" s="73">
        <v>2021</v>
      </c>
      <c r="D939" s="116" t="s">
        <v>89</v>
      </c>
      <c r="E939" s="75">
        <v>8931696.7200000007</v>
      </c>
      <c r="F939" s="75">
        <v>0</v>
      </c>
      <c r="G939" s="75">
        <v>0</v>
      </c>
      <c r="H939" s="75">
        <v>0</v>
      </c>
      <c r="I939" s="75">
        <v>0</v>
      </c>
      <c r="J939" s="75">
        <v>0</v>
      </c>
      <c r="K939" s="75">
        <v>0</v>
      </c>
      <c r="L939" s="75">
        <v>0</v>
      </c>
      <c r="M939" s="75">
        <v>0</v>
      </c>
      <c r="N939" s="75">
        <v>0</v>
      </c>
      <c r="O939" s="75">
        <v>0</v>
      </c>
      <c r="P939" s="75">
        <v>0</v>
      </c>
      <c r="Q939" s="75">
        <v>0</v>
      </c>
      <c r="R939" s="75">
        <v>0</v>
      </c>
      <c r="S939" s="75">
        <v>0</v>
      </c>
      <c r="T939" s="75">
        <v>0</v>
      </c>
      <c r="U939" s="75">
        <v>0</v>
      </c>
      <c r="V939" s="75">
        <v>0</v>
      </c>
      <c r="W939" s="75">
        <v>0</v>
      </c>
      <c r="X939" s="75">
        <v>0</v>
      </c>
      <c r="Y939" s="76">
        <f t="shared" si="153"/>
        <v>8931696.7200000007</v>
      </c>
      <c r="Z939" s="80">
        <v>0</v>
      </c>
      <c r="AA939" s="160">
        <v>950000</v>
      </c>
      <c r="AB939" s="79">
        <v>0</v>
      </c>
      <c r="AC939" s="79">
        <v>0</v>
      </c>
      <c r="AD939" s="160">
        <v>25000</v>
      </c>
      <c r="AE939" s="79">
        <v>0</v>
      </c>
      <c r="AF939" s="79">
        <v>0</v>
      </c>
      <c r="AG939" s="80">
        <f t="shared" si="154"/>
        <v>975000</v>
      </c>
      <c r="AH939" s="123" t="s">
        <v>595</v>
      </c>
      <c r="AI939" s="123" t="s">
        <v>74</v>
      </c>
      <c r="AJ939" s="123" t="s">
        <v>74</v>
      </c>
      <c r="AK939" s="123" t="s">
        <v>595</v>
      </c>
      <c r="AL939" s="123" t="s">
        <v>74</v>
      </c>
      <c r="AM939" s="123" t="s">
        <v>74</v>
      </c>
      <c r="AN939" s="82">
        <v>0</v>
      </c>
      <c r="AO939" s="82">
        <v>0</v>
      </c>
      <c r="AP939" s="82">
        <v>0</v>
      </c>
      <c r="AQ939" s="82">
        <v>0</v>
      </c>
      <c r="AR939" s="82">
        <v>0</v>
      </c>
      <c r="AS939" s="82">
        <f t="shared" si="155"/>
        <v>0</v>
      </c>
      <c r="AT939" s="81" t="s">
        <v>74</v>
      </c>
      <c r="AU939" s="82">
        <v>0</v>
      </c>
      <c r="AV939" s="82"/>
      <c r="AW939" s="82">
        <v>0</v>
      </c>
      <c r="AX939" s="82"/>
      <c r="AY939" s="82"/>
      <c r="AZ939" s="82">
        <v>0</v>
      </c>
      <c r="BA939" s="82">
        <f t="shared" si="156"/>
        <v>0</v>
      </c>
      <c r="BB939" s="82" t="s">
        <v>74</v>
      </c>
      <c r="BC939" s="82" t="s">
        <v>74</v>
      </c>
      <c r="BD939" s="82" t="s">
        <v>74</v>
      </c>
      <c r="BE939" s="82" t="s">
        <v>74</v>
      </c>
      <c r="BF939" s="82" t="s">
        <v>74</v>
      </c>
      <c r="BG939" s="82"/>
      <c r="BH939" s="82">
        <f t="shared" si="157"/>
        <v>0</v>
      </c>
      <c r="BI939" s="82">
        <f t="shared" si="158"/>
        <v>7956696.7200000007</v>
      </c>
      <c r="BJ939" s="52">
        <f>BI939-BH939</f>
        <v>7956696.7200000007</v>
      </c>
      <c r="BK939" s="56">
        <v>44470</v>
      </c>
      <c r="BL939" s="83">
        <v>7956696.7199999997</v>
      </c>
      <c r="BM939" s="75">
        <v>0</v>
      </c>
      <c r="BN939" s="9"/>
      <c r="BO939" s="9"/>
      <c r="BP939" s="9"/>
      <c r="BQ939" s="9"/>
      <c r="BR939" s="9"/>
      <c r="BS939" s="9"/>
      <c r="BT939" s="9"/>
      <c r="BU939" s="9"/>
      <c r="BV939" s="9"/>
      <c r="BW939" s="9"/>
    </row>
    <row r="940" spans="1:75" hidden="1" outlineLevel="1" collapsed="1" x14ac:dyDescent="0.25">
      <c r="A940" s="84"/>
      <c r="B940" s="120" t="s">
        <v>1008</v>
      </c>
      <c r="C940" s="86"/>
      <c r="D940" s="120"/>
      <c r="E940" s="88"/>
      <c r="F940" s="88"/>
      <c r="G940" s="88"/>
      <c r="H940" s="88"/>
      <c r="I940" s="88"/>
      <c r="J940" s="88"/>
      <c r="K940" s="88"/>
      <c r="L940" s="88"/>
      <c r="M940" s="88"/>
      <c r="N940" s="88"/>
      <c r="O940" s="88"/>
      <c r="P940" s="88"/>
      <c r="Q940" s="88"/>
      <c r="R940" s="88"/>
      <c r="S940" s="88"/>
      <c r="T940" s="88"/>
      <c r="U940" s="88"/>
      <c r="V940" s="88"/>
      <c r="W940" s="88"/>
      <c r="X940" s="88"/>
      <c r="Y940" s="89">
        <f t="shared" ref="Y940:AG940" si="159">SUBTOTAL(9,Y903:Y939)</f>
        <v>0</v>
      </c>
      <c r="Z940" s="89">
        <f t="shared" si="159"/>
        <v>0</v>
      </c>
      <c r="AA940" s="162">
        <f t="shared" si="159"/>
        <v>0</v>
      </c>
      <c r="AB940" s="89">
        <f t="shared" si="159"/>
        <v>0</v>
      </c>
      <c r="AC940" s="89">
        <f t="shared" si="159"/>
        <v>0</v>
      </c>
      <c r="AD940" s="162">
        <f t="shared" si="159"/>
        <v>0</v>
      </c>
      <c r="AE940" s="89">
        <f t="shared" si="159"/>
        <v>0</v>
      </c>
      <c r="AF940" s="89">
        <f t="shared" si="159"/>
        <v>0</v>
      </c>
      <c r="AG940" s="89">
        <f t="shared" si="159"/>
        <v>0</v>
      </c>
      <c r="AH940" s="129"/>
      <c r="AI940" s="129"/>
      <c r="AJ940" s="129"/>
      <c r="AK940" s="129"/>
      <c r="AL940" s="129"/>
      <c r="AM940" s="129"/>
      <c r="AN940" s="92">
        <f t="shared" ref="AN940:AS940" si="160">SUBTOTAL(9,AN903:AN939)</f>
        <v>0</v>
      </c>
      <c r="AO940" s="92">
        <f t="shared" si="160"/>
        <v>0</v>
      </c>
      <c r="AP940" s="92">
        <f t="shared" si="160"/>
        <v>0</v>
      </c>
      <c r="AQ940" s="92">
        <f t="shared" si="160"/>
        <v>0</v>
      </c>
      <c r="AR940" s="92">
        <f t="shared" si="160"/>
        <v>0</v>
      </c>
      <c r="AS940" s="92">
        <f t="shared" si="160"/>
        <v>0</v>
      </c>
      <c r="AT940" s="91"/>
      <c r="AU940" s="92">
        <f t="shared" ref="AU940:BA940" si="161">SUBTOTAL(9,AU903:AU939)</f>
        <v>0</v>
      </c>
      <c r="AV940" s="92">
        <f t="shared" si="161"/>
        <v>0</v>
      </c>
      <c r="AW940" s="92">
        <f t="shared" si="161"/>
        <v>0</v>
      </c>
      <c r="AX940" s="92">
        <f t="shared" si="161"/>
        <v>0</v>
      </c>
      <c r="AY940" s="92">
        <f t="shared" si="161"/>
        <v>0</v>
      </c>
      <c r="AZ940" s="92">
        <f t="shared" si="161"/>
        <v>0</v>
      </c>
      <c r="BA940" s="92">
        <f t="shared" si="161"/>
        <v>0</v>
      </c>
      <c r="BB940" s="92"/>
      <c r="BC940" s="92"/>
      <c r="BD940" s="92"/>
      <c r="BE940" s="92"/>
      <c r="BF940" s="92"/>
      <c r="BG940" s="92"/>
      <c r="BH940" s="92">
        <f>SUBTOTAL(9,BH903:BH939)</f>
        <v>0</v>
      </c>
      <c r="BI940" s="92">
        <f>SUBTOTAL(9,BI903:BI939)</f>
        <v>0</v>
      </c>
      <c r="BJ940" s="93"/>
      <c r="BK940" s="94"/>
      <c r="BL940" s="95">
        <f>SUBTOTAL(9,BL903:BL939)</f>
        <v>0</v>
      </c>
      <c r="BM940" s="88">
        <f>SUBTOTAL(9,BM903:BM939)</f>
        <v>0</v>
      </c>
      <c r="BN940" s="9"/>
      <c r="BO940" s="9"/>
      <c r="BP940" s="9"/>
      <c r="BQ940" s="9"/>
      <c r="BR940" s="9"/>
      <c r="BS940" s="9"/>
      <c r="BT940" s="9"/>
      <c r="BU940" s="9"/>
      <c r="BV940" s="9"/>
      <c r="BW940" s="9"/>
    </row>
    <row r="941" spans="1:75" hidden="1" outlineLevel="2" x14ac:dyDescent="0.25">
      <c r="A941" s="96" t="s">
        <v>1009</v>
      </c>
      <c r="B941" s="97" t="s">
        <v>1010</v>
      </c>
      <c r="C941" s="98">
        <v>2018</v>
      </c>
      <c r="D941" s="97" t="s">
        <v>90</v>
      </c>
      <c r="E941" s="100">
        <v>1097531.6000000001</v>
      </c>
      <c r="F941" s="100">
        <v>0</v>
      </c>
      <c r="G941" s="100">
        <v>0</v>
      </c>
      <c r="H941" s="100">
        <v>0</v>
      </c>
      <c r="I941" s="100">
        <v>0</v>
      </c>
      <c r="J941" s="100">
        <v>0</v>
      </c>
      <c r="K941" s="100">
        <v>0</v>
      </c>
      <c r="L941" s="100">
        <v>0</v>
      </c>
      <c r="M941" s="100">
        <v>0</v>
      </c>
      <c r="N941" s="100">
        <v>0</v>
      </c>
      <c r="O941" s="100">
        <v>0</v>
      </c>
      <c r="P941" s="100">
        <v>0</v>
      </c>
      <c r="Q941" s="100">
        <v>0</v>
      </c>
      <c r="R941" s="100">
        <v>0</v>
      </c>
      <c r="S941" s="100">
        <v>0</v>
      </c>
      <c r="T941" s="100">
        <v>0</v>
      </c>
      <c r="U941" s="100">
        <v>0</v>
      </c>
      <c r="V941" s="100">
        <v>0</v>
      </c>
      <c r="W941" s="100">
        <v>0</v>
      </c>
      <c r="X941" s="100">
        <v>0</v>
      </c>
      <c r="Y941" s="101">
        <v>1097531.6000000001</v>
      </c>
      <c r="Z941" s="102">
        <v>0</v>
      </c>
      <c r="AA941" s="103">
        <v>0</v>
      </c>
      <c r="AB941" s="103">
        <v>0</v>
      </c>
      <c r="AC941" s="103">
        <v>0</v>
      </c>
      <c r="AD941" s="103">
        <v>0</v>
      </c>
      <c r="AE941" s="103">
        <v>0</v>
      </c>
      <c r="AF941" s="103">
        <v>0</v>
      </c>
      <c r="AG941" s="102">
        <v>0</v>
      </c>
      <c r="AH941" s="104" t="s">
        <v>74</v>
      </c>
      <c r="AI941" s="104" t="s">
        <v>74</v>
      </c>
      <c r="AJ941" s="104" t="s">
        <v>74</v>
      </c>
      <c r="AK941" s="104" t="s">
        <v>74</v>
      </c>
      <c r="AL941" s="104" t="s">
        <v>74</v>
      </c>
      <c r="AM941" s="104" t="s">
        <v>74</v>
      </c>
      <c r="AN941" s="105">
        <v>0</v>
      </c>
      <c r="AO941" s="105">
        <v>0</v>
      </c>
      <c r="AP941" s="105">
        <v>0</v>
      </c>
      <c r="AQ941" s="105">
        <v>0</v>
      </c>
      <c r="AR941" s="105">
        <v>0</v>
      </c>
      <c r="AS941" s="105">
        <v>0</v>
      </c>
      <c r="AT941" s="106" t="s">
        <v>74</v>
      </c>
      <c r="AU941" s="105">
        <v>0</v>
      </c>
      <c r="AV941" s="105"/>
      <c r="AW941" s="105">
        <v>0</v>
      </c>
      <c r="AX941" s="105"/>
      <c r="AY941" s="105"/>
      <c r="AZ941" s="105">
        <v>0</v>
      </c>
      <c r="BA941" s="105">
        <v>0</v>
      </c>
      <c r="BB941" s="107" t="s">
        <v>74</v>
      </c>
      <c r="BC941" s="107" t="s">
        <v>74</v>
      </c>
      <c r="BD941" s="107" t="s">
        <v>74</v>
      </c>
      <c r="BE941" s="107" t="s">
        <v>74</v>
      </c>
      <c r="BF941" s="107" t="s">
        <v>74</v>
      </c>
      <c r="BG941" s="107" t="s">
        <v>74</v>
      </c>
      <c r="BH941" s="105">
        <v>0</v>
      </c>
      <c r="BI941" s="105">
        <v>1097531.6000000001</v>
      </c>
      <c r="BJ941" s="52">
        <v>1097531.6000000001</v>
      </c>
      <c r="BK941" s="56">
        <v>43405</v>
      </c>
      <c r="BL941" s="109">
        <v>1097531.6000000001</v>
      </c>
      <c r="BM941" s="100">
        <v>0</v>
      </c>
      <c r="BN941" s="9"/>
      <c r="BO941" s="9"/>
      <c r="BP941" s="9"/>
      <c r="BQ941" s="9"/>
      <c r="BR941" s="9"/>
      <c r="BS941" s="9"/>
      <c r="BT941" s="9"/>
      <c r="BU941" s="9"/>
      <c r="BV941" s="9"/>
      <c r="BW941" s="9"/>
    </row>
    <row r="942" spans="1:75" ht="115.5" hidden="1" outlineLevel="2" x14ac:dyDescent="0.25">
      <c r="A942" s="43" t="s">
        <v>1009</v>
      </c>
      <c r="B942" s="110" t="s">
        <v>1010</v>
      </c>
      <c r="C942" s="45">
        <v>2018</v>
      </c>
      <c r="D942" s="110" t="s">
        <v>93</v>
      </c>
      <c r="E942" s="47">
        <v>1371914.5</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1371914.5</v>
      </c>
      <c r="Z942" s="58">
        <v>658052.99</v>
      </c>
      <c r="AA942" s="50">
        <v>658052.99</v>
      </c>
      <c r="AB942" s="50">
        <v>0</v>
      </c>
      <c r="AC942" s="50">
        <v>0</v>
      </c>
      <c r="AD942" s="50">
        <v>0</v>
      </c>
      <c r="AE942" s="50">
        <v>0</v>
      </c>
      <c r="AF942" s="111">
        <v>65310.29</v>
      </c>
      <c r="AG942" s="49">
        <v>723363.28</v>
      </c>
      <c r="AH942" s="51" t="s">
        <v>104</v>
      </c>
      <c r="AI942" s="51" t="s">
        <v>74</v>
      </c>
      <c r="AJ942" s="51" t="s">
        <v>74</v>
      </c>
      <c r="AK942" s="51" t="s">
        <v>74</v>
      </c>
      <c r="AL942" s="51" t="s">
        <v>74</v>
      </c>
      <c r="AM942" s="51" t="s">
        <v>1011</v>
      </c>
      <c r="AN942" s="52">
        <v>0</v>
      </c>
      <c r="AO942" s="52">
        <v>0</v>
      </c>
      <c r="AP942" s="52">
        <v>0</v>
      </c>
      <c r="AQ942" s="52">
        <v>0</v>
      </c>
      <c r="AR942" s="52">
        <v>0</v>
      </c>
      <c r="AS942" s="52">
        <v>0</v>
      </c>
      <c r="AT942" s="53" t="s">
        <v>74</v>
      </c>
      <c r="AU942" s="52">
        <v>0</v>
      </c>
      <c r="AV942" s="52"/>
      <c r="AW942" s="52">
        <v>0</v>
      </c>
      <c r="AX942" s="52"/>
      <c r="AY942" s="52"/>
      <c r="AZ942" s="52">
        <v>0</v>
      </c>
      <c r="BA942" s="52">
        <v>0</v>
      </c>
      <c r="BB942" s="54" t="s">
        <v>74</v>
      </c>
      <c r="BC942" s="54" t="s">
        <v>74</v>
      </c>
      <c r="BD942" s="54" t="s">
        <v>74</v>
      </c>
      <c r="BE942" s="54" t="s">
        <v>74</v>
      </c>
      <c r="BF942" s="54" t="s">
        <v>74</v>
      </c>
      <c r="BG942" s="54" t="s">
        <v>74</v>
      </c>
      <c r="BH942" s="52">
        <v>0</v>
      </c>
      <c r="BI942" s="52">
        <v>648551.22</v>
      </c>
      <c r="BJ942" s="52">
        <v>648551.22</v>
      </c>
      <c r="BK942" s="56">
        <v>43435</v>
      </c>
      <c r="BL942" s="57">
        <v>648551.22</v>
      </c>
      <c r="BM942" s="47">
        <v>0</v>
      </c>
      <c r="BN942" s="9"/>
      <c r="BO942" s="9"/>
      <c r="BP942" s="9"/>
      <c r="BQ942" s="9"/>
      <c r="BR942" s="9"/>
      <c r="BS942" s="9"/>
      <c r="BT942" s="9"/>
      <c r="BU942" s="9"/>
      <c r="BV942" s="9"/>
      <c r="BW942" s="9"/>
    </row>
    <row r="943" spans="1:75" ht="26.25" hidden="1" outlineLevel="2" x14ac:dyDescent="0.25">
      <c r="A943" s="43" t="s">
        <v>1009</v>
      </c>
      <c r="B943" s="110" t="s">
        <v>1010</v>
      </c>
      <c r="C943" s="45">
        <v>2019</v>
      </c>
      <c r="D943" s="110" t="s">
        <v>73</v>
      </c>
      <c r="E943" s="47">
        <v>1371914.5</v>
      </c>
      <c r="F943" s="47">
        <v>0</v>
      </c>
      <c r="G943" s="47">
        <v>0</v>
      </c>
      <c r="H943" s="47">
        <v>0</v>
      </c>
      <c r="I943" s="47">
        <v>0</v>
      </c>
      <c r="J943" s="47">
        <v>0</v>
      </c>
      <c r="K943" s="47">
        <v>0</v>
      </c>
      <c r="L943" s="47">
        <v>0</v>
      </c>
      <c r="M943" s="47">
        <v>0</v>
      </c>
      <c r="N943" s="47">
        <v>0</v>
      </c>
      <c r="O943" s="47">
        <v>0</v>
      </c>
      <c r="P943" s="47">
        <v>0</v>
      </c>
      <c r="Q943" s="47">
        <v>0</v>
      </c>
      <c r="R943" s="47">
        <v>0</v>
      </c>
      <c r="S943" s="47">
        <v>0</v>
      </c>
      <c r="T943" s="47">
        <v>0</v>
      </c>
      <c r="U943" s="47">
        <v>0</v>
      </c>
      <c r="V943" s="47">
        <v>0</v>
      </c>
      <c r="W943" s="47">
        <v>0</v>
      </c>
      <c r="X943" s="47">
        <v>0</v>
      </c>
      <c r="Y943" s="48">
        <v>1371914.5</v>
      </c>
      <c r="Z943" s="58">
        <v>609165.63</v>
      </c>
      <c r="AA943" s="50">
        <v>609165.63</v>
      </c>
      <c r="AB943" s="50">
        <v>0</v>
      </c>
      <c r="AC943" s="50">
        <v>0</v>
      </c>
      <c r="AD943" s="50">
        <v>0</v>
      </c>
      <c r="AE943" s="50">
        <v>0</v>
      </c>
      <c r="AF943" s="50">
        <v>0</v>
      </c>
      <c r="AG943" s="49">
        <v>609165.63</v>
      </c>
      <c r="AH943" s="51" t="s">
        <v>104</v>
      </c>
      <c r="AI943" s="51" t="s">
        <v>74</v>
      </c>
      <c r="AJ943" s="51" t="s">
        <v>74</v>
      </c>
      <c r="AK943" s="51" t="s">
        <v>74</v>
      </c>
      <c r="AL943" s="51" t="s">
        <v>74</v>
      </c>
      <c r="AM943" s="51" t="s">
        <v>74</v>
      </c>
      <c r="AN943" s="52">
        <v>0</v>
      </c>
      <c r="AO943" s="52">
        <v>0</v>
      </c>
      <c r="AP943" s="52">
        <v>0</v>
      </c>
      <c r="AQ943" s="52">
        <v>0</v>
      </c>
      <c r="AR943" s="52">
        <v>0</v>
      </c>
      <c r="AS943" s="52">
        <v>0</v>
      </c>
      <c r="AT943" s="53" t="s">
        <v>74</v>
      </c>
      <c r="AU943" s="52">
        <v>0</v>
      </c>
      <c r="AV943" s="52"/>
      <c r="AW943" s="52">
        <v>0</v>
      </c>
      <c r="AX943" s="52"/>
      <c r="AY943" s="52"/>
      <c r="AZ943" s="52">
        <v>0</v>
      </c>
      <c r="BA943" s="52">
        <v>0</v>
      </c>
      <c r="BB943" s="54" t="s">
        <v>74</v>
      </c>
      <c r="BC943" s="54" t="s">
        <v>74</v>
      </c>
      <c r="BD943" s="54" t="s">
        <v>74</v>
      </c>
      <c r="BE943" s="54" t="s">
        <v>74</v>
      </c>
      <c r="BF943" s="54" t="s">
        <v>74</v>
      </c>
      <c r="BG943" s="54" t="s">
        <v>74</v>
      </c>
      <c r="BH943" s="52">
        <v>0</v>
      </c>
      <c r="BI943" s="52">
        <v>762748.87</v>
      </c>
      <c r="BJ943" s="52">
        <v>762748.87</v>
      </c>
      <c r="BK943" s="56">
        <v>43466</v>
      </c>
      <c r="BL943" s="57">
        <v>762748.87</v>
      </c>
      <c r="BM943" s="47">
        <v>0</v>
      </c>
      <c r="BN943" s="9"/>
      <c r="BO943" s="9"/>
      <c r="BP943" s="9"/>
      <c r="BQ943" s="9"/>
      <c r="BR943" s="9"/>
      <c r="BS943" s="9"/>
      <c r="BT943" s="9"/>
      <c r="BU943" s="9"/>
      <c r="BV943" s="9"/>
      <c r="BW943" s="9"/>
    </row>
    <row r="944" spans="1:75" ht="64.5" hidden="1" outlineLevel="2" x14ac:dyDescent="0.25">
      <c r="A944" s="43" t="s">
        <v>1009</v>
      </c>
      <c r="B944" s="110" t="s">
        <v>1010</v>
      </c>
      <c r="C944" s="45">
        <v>2019</v>
      </c>
      <c r="D944" s="110" t="s">
        <v>75</v>
      </c>
      <c r="E944" s="47">
        <v>1371914.5</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1371914.5</v>
      </c>
      <c r="Z944" s="58">
        <v>590001.88</v>
      </c>
      <c r="AA944" s="50">
        <v>519129.32</v>
      </c>
      <c r="AB944" s="50">
        <v>0</v>
      </c>
      <c r="AC944" s="50">
        <v>0</v>
      </c>
      <c r="AD944" s="50">
        <v>0</v>
      </c>
      <c r="AE944" s="50">
        <v>0</v>
      </c>
      <c r="AF944" s="50">
        <v>0</v>
      </c>
      <c r="AG944" s="49">
        <v>519129.32</v>
      </c>
      <c r="AH944" s="51" t="s">
        <v>1012</v>
      </c>
      <c r="AI944" s="51" t="s">
        <v>74</v>
      </c>
      <c r="AJ944" s="51" t="s">
        <v>74</v>
      </c>
      <c r="AK944" s="51" t="s">
        <v>74</v>
      </c>
      <c r="AL944" s="51" t="s">
        <v>74</v>
      </c>
      <c r="AM944" s="51" t="s">
        <v>74</v>
      </c>
      <c r="AN944" s="52">
        <v>0</v>
      </c>
      <c r="AO944" s="52">
        <v>0</v>
      </c>
      <c r="AP944" s="52">
        <v>0</v>
      </c>
      <c r="AQ944" s="52">
        <v>0</v>
      </c>
      <c r="AR944" s="52">
        <v>0</v>
      </c>
      <c r="AS944" s="52">
        <v>0</v>
      </c>
      <c r="AT944" s="53" t="s">
        <v>74</v>
      </c>
      <c r="AU944" s="52">
        <v>0</v>
      </c>
      <c r="AV944" s="52"/>
      <c r="AW944" s="52">
        <v>0</v>
      </c>
      <c r="AX944" s="52"/>
      <c r="AY944" s="52"/>
      <c r="AZ944" s="52">
        <v>0</v>
      </c>
      <c r="BA944" s="52">
        <v>0</v>
      </c>
      <c r="BB944" s="54" t="s">
        <v>74</v>
      </c>
      <c r="BC944" s="54" t="s">
        <v>74</v>
      </c>
      <c r="BD944" s="54" t="s">
        <v>74</v>
      </c>
      <c r="BE944" s="54" t="s">
        <v>74</v>
      </c>
      <c r="BF944" s="54" t="s">
        <v>74</v>
      </c>
      <c r="BG944" s="54" t="s">
        <v>74</v>
      </c>
      <c r="BH944" s="52">
        <v>0</v>
      </c>
      <c r="BI944" s="52">
        <v>852785.18</v>
      </c>
      <c r="BJ944" s="52">
        <v>852785.18</v>
      </c>
      <c r="BK944" s="56">
        <v>43497</v>
      </c>
      <c r="BL944" s="57">
        <v>852785.18</v>
      </c>
      <c r="BM944" s="47">
        <v>0</v>
      </c>
      <c r="BN944" s="9"/>
      <c r="BO944" s="9"/>
      <c r="BP944" s="9"/>
      <c r="BQ944" s="9"/>
      <c r="BR944" s="9"/>
      <c r="BS944" s="9"/>
      <c r="BT944" s="9"/>
      <c r="BU944" s="9"/>
      <c r="BV944" s="9"/>
      <c r="BW944" s="9"/>
    </row>
    <row r="945" spans="1:75" ht="141" hidden="1" outlineLevel="2" x14ac:dyDescent="0.25">
      <c r="A945" s="43" t="s">
        <v>1009</v>
      </c>
      <c r="B945" s="110" t="s">
        <v>1010</v>
      </c>
      <c r="C945" s="45">
        <v>2019</v>
      </c>
      <c r="D945" s="110" t="s">
        <v>77</v>
      </c>
      <c r="E945" s="47">
        <v>1371914.5</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1371914.5</v>
      </c>
      <c r="Z945" s="58">
        <v>625579.53</v>
      </c>
      <c r="AA945" s="50">
        <v>519129.32</v>
      </c>
      <c r="AB945" s="50">
        <v>70872.56</v>
      </c>
      <c r="AC945" s="50">
        <v>2121.52</v>
      </c>
      <c r="AD945" s="50">
        <v>10626.09</v>
      </c>
      <c r="AE945" s="50">
        <v>0</v>
      </c>
      <c r="AF945" s="50">
        <v>0</v>
      </c>
      <c r="AG945" s="49">
        <v>602749.49</v>
      </c>
      <c r="AH945" s="51" t="s">
        <v>1013</v>
      </c>
      <c r="AI945" s="51" t="s">
        <v>1014</v>
      </c>
      <c r="AJ945" s="51" t="s">
        <v>1015</v>
      </c>
      <c r="AK945" s="51" t="s">
        <v>1016</v>
      </c>
      <c r="AL945" s="51" t="s">
        <v>74</v>
      </c>
      <c r="AM945" s="51" t="s">
        <v>74</v>
      </c>
      <c r="AN945" s="52">
        <v>0</v>
      </c>
      <c r="AO945" s="52">
        <v>0</v>
      </c>
      <c r="AP945" s="52">
        <v>0</v>
      </c>
      <c r="AQ945" s="52">
        <v>0</v>
      </c>
      <c r="AR945" s="52">
        <v>0</v>
      </c>
      <c r="AS945" s="52">
        <v>0</v>
      </c>
      <c r="AT945" s="53" t="s">
        <v>74</v>
      </c>
      <c r="AU945" s="52">
        <v>0</v>
      </c>
      <c r="AV945" s="52"/>
      <c r="AW945" s="52">
        <v>0</v>
      </c>
      <c r="AX945" s="52"/>
      <c r="AY945" s="52"/>
      <c r="AZ945" s="52">
        <v>0</v>
      </c>
      <c r="BA945" s="52">
        <v>0</v>
      </c>
      <c r="BB945" s="54" t="s">
        <v>74</v>
      </c>
      <c r="BC945" s="54" t="s">
        <v>74</v>
      </c>
      <c r="BD945" s="54" t="s">
        <v>74</v>
      </c>
      <c r="BE945" s="54" t="s">
        <v>74</v>
      </c>
      <c r="BF945" s="54" t="s">
        <v>74</v>
      </c>
      <c r="BG945" s="54" t="s">
        <v>74</v>
      </c>
      <c r="BH945" s="52">
        <v>0</v>
      </c>
      <c r="BI945" s="52">
        <v>769165.01</v>
      </c>
      <c r="BJ945" s="52">
        <v>769165.01</v>
      </c>
      <c r="BK945" s="56">
        <v>43525</v>
      </c>
      <c r="BL945" s="57">
        <v>769165.01</v>
      </c>
      <c r="BM945" s="47">
        <v>0</v>
      </c>
      <c r="BN945" s="9"/>
      <c r="BO945" s="9"/>
      <c r="BP945" s="9"/>
      <c r="BQ945" s="9"/>
      <c r="BR945" s="9"/>
      <c r="BS945" s="9"/>
      <c r="BT945" s="9"/>
      <c r="BU945" s="9"/>
      <c r="BV945" s="9"/>
      <c r="BW945" s="9"/>
    </row>
    <row r="946" spans="1:75" ht="90" hidden="1" outlineLevel="2" x14ac:dyDescent="0.25">
      <c r="A946" s="43" t="s">
        <v>1009</v>
      </c>
      <c r="B946" s="110" t="s">
        <v>1010</v>
      </c>
      <c r="C946" s="45">
        <v>2019</v>
      </c>
      <c r="D946" s="110" t="s">
        <v>79</v>
      </c>
      <c r="E946" s="47">
        <v>1371914.5</v>
      </c>
      <c r="F946" s="47">
        <v>0</v>
      </c>
      <c r="G946" s="47">
        <v>0</v>
      </c>
      <c r="H946" s="47">
        <v>0</v>
      </c>
      <c r="I946" s="47">
        <v>0</v>
      </c>
      <c r="J946" s="47">
        <v>0</v>
      </c>
      <c r="K946" s="47">
        <v>0</v>
      </c>
      <c r="L946" s="47">
        <v>0</v>
      </c>
      <c r="M946" s="47">
        <v>0</v>
      </c>
      <c r="N946" s="47">
        <v>0</v>
      </c>
      <c r="O946" s="47">
        <v>0</v>
      </c>
      <c r="P946" s="47">
        <v>0</v>
      </c>
      <c r="Q946" s="47">
        <v>0</v>
      </c>
      <c r="R946" s="47">
        <v>0</v>
      </c>
      <c r="S946" s="47">
        <v>0</v>
      </c>
      <c r="T946" s="47">
        <v>0</v>
      </c>
      <c r="U946" s="47">
        <v>0</v>
      </c>
      <c r="V946" s="47">
        <v>0</v>
      </c>
      <c r="W946" s="47">
        <v>0</v>
      </c>
      <c r="X946" s="47">
        <v>0</v>
      </c>
      <c r="Y946" s="48">
        <v>1371914.5</v>
      </c>
      <c r="Z946" s="58">
        <v>573579.05000000005</v>
      </c>
      <c r="AA946" s="50">
        <v>519129.32</v>
      </c>
      <c r="AB946" s="50">
        <v>106450.21</v>
      </c>
      <c r="AC946" s="50">
        <v>890.76</v>
      </c>
      <c r="AD946" s="50">
        <v>5168.2</v>
      </c>
      <c r="AE946" s="50">
        <v>0</v>
      </c>
      <c r="AF946" s="50">
        <v>0</v>
      </c>
      <c r="AG946" s="49">
        <v>631638.49</v>
      </c>
      <c r="AH946" s="51" t="s">
        <v>1017</v>
      </c>
      <c r="AI946" s="51" t="s">
        <v>1018</v>
      </c>
      <c r="AJ946" s="51" t="s">
        <v>436</v>
      </c>
      <c r="AK946" s="51" t="s">
        <v>1019</v>
      </c>
      <c r="AL946" s="51" t="s">
        <v>74</v>
      </c>
      <c r="AM946" s="51" t="s">
        <v>74</v>
      </c>
      <c r="AN946" s="52">
        <v>0</v>
      </c>
      <c r="AO946" s="52">
        <v>0</v>
      </c>
      <c r="AP946" s="52">
        <v>0</v>
      </c>
      <c r="AQ946" s="52">
        <v>0</v>
      </c>
      <c r="AR946" s="52">
        <v>0</v>
      </c>
      <c r="AS946" s="52">
        <v>0</v>
      </c>
      <c r="AT946" s="53" t="s">
        <v>74</v>
      </c>
      <c r="AU946" s="52">
        <v>0</v>
      </c>
      <c r="AV946" s="52"/>
      <c r="AW946" s="52">
        <v>0</v>
      </c>
      <c r="AX946" s="52"/>
      <c r="AY946" s="52"/>
      <c r="AZ946" s="52">
        <v>0</v>
      </c>
      <c r="BA946" s="52">
        <v>0</v>
      </c>
      <c r="BB946" s="54" t="s">
        <v>74</v>
      </c>
      <c r="BC946" s="54" t="s">
        <v>74</v>
      </c>
      <c r="BD946" s="54" t="s">
        <v>74</v>
      </c>
      <c r="BE946" s="54" t="s">
        <v>74</v>
      </c>
      <c r="BF946" s="54" t="s">
        <v>74</v>
      </c>
      <c r="BG946" s="54" t="s">
        <v>74</v>
      </c>
      <c r="BH946" s="52">
        <v>0</v>
      </c>
      <c r="BI946" s="52">
        <v>740276.01</v>
      </c>
      <c r="BJ946" s="52">
        <v>740276.01</v>
      </c>
      <c r="BK946" s="56">
        <v>43556</v>
      </c>
      <c r="BL946" s="57">
        <v>740276.01</v>
      </c>
      <c r="BM946" s="47">
        <v>0</v>
      </c>
      <c r="BN946" s="9"/>
      <c r="BO946" s="9"/>
      <c r="BP946" s="9"/>
      <c r="BQ946" s="9"/>
      <c r="BR946" s="9"/>
      <c r="BS946" s="9"/>
      <c r="BT946" s="9"/>
      <c r="BU946" s="9"/>
      <c r="BV946" s="9"/>
      <c r="BW946" s="9"/>
    </row>
    <row r="947" spans="1:75" ht="90" hidden="1" outlineLevel="2" x14ac:dyDescent="0.25">
      <c r="A947" s="43" t="s">
        <v>1009</v>
      </c>
      <c r="B947" s="110" t="s">
        <v>1010</v>
      </c>
      <c r="C947" s="45">
        <v>2019</v>
      </c>
      <c r="D947" s="110" t="s">
        <v>81</v>
      </c>
      <c r="E947" s="47">
        <v>1491990.07</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1491990.07</v>
      </c>
      <c r="Z947" s="58">
        <v>537908.19999999995</v>
      </c>
      <c r="AA947" s="50">
        <v>519129.32</v>
      </c>
      <c r="AB947" s="50">
        <v>54449.73</v>
      </c>
      <c r="AC947" s="50">
        <v>365.11</v>
      </c>
      <c r="AD947" s="50">
        <v>4492.96</v>
      </c>
      <c r="AE947" s="50">
        <v>0</v>
      </c>
      <c r="AF947" s="50">
        <v>0</v>
      </c>
      <c r="AG947" s="49">
        <v>578437.12</v>
      </c>
      <c r="AH947" s="51" t="s">
        <v>1020</v>
      </c>
      <c r="AI947" s="51" t="s">
        <v>1021</v>
      </c>
      <c r="AJ947" s="51" t="s">
        <v>437</v>
      </c>
      <c r="AK947" s="51" t="s">
        <v>1022</v>
      </c>
      <c r="AL947" s="51" t="s">
        <v>74</v>
      </c>
      <c r="AM947" s="51" t="s">
        <v>74</v>
      </c>
      <c r="AN947" s="52">
        <v>0</v>
      </c>
      <c r="AO947" s="52">
        <v>0</v>
      </c>
      <c r="AP947" s="52">
        <v>0</v>
      </c>
      <c r="AQ947" s="52">
        <v>0</v>
      </c>
      <c r="AR947" s="52">
        <v>0</v>
      </c>
      <c r="AS947" s="52">
        <v>0</v>
      </c>
      <c r="AT947" s="53" t="s">
        <v>74</v>
      </c>
      <c r="AU947" s="52">
        <v>0</v>
      </c>
      <c r="AV947" s="52"/>
      <c r="AW947" s="52">
        <v>0</v>
      </c>
      <c r="AX947" s="52"/>
      <c r="AY947" s="52"/>
      <c r="AZ947" s="52">
        <v>0</v>
      </c>
      <c r="BA947" s="52">
        <v>0</v>
      </c>
      <c r="BB947" s="54" t="s">
        <v>74</v>
      </c>
      <c r="BC947" s="54" t="s">
        <v>74</v>
      </c>
      <c r="BD947" s="54" t="s">
        <v>74</v>
      </c>
      <c r="BE947" s="54" t="s">
        <v>74</v>
      </c>
      <c r="BF947" s="54" t="s">
        <v>74</v>
      </c>
      <c r="BG947" s="54" t="s">
        <v>74</v>
      </c>
      <c r="BH947" s="52">
        <v>0</v>
      </c>
      <c r="BI947" s="52">
        <v>913552.95</v>
      </c>
      <c r="BJ947" s="52">
        <v>913552.95</v>
      </c>
      <c r="BK947" s="56">
        <v>43586</v>
      </c>
      <c r="BL947" s="57">
        <v>913552.95</v>
      </c>
      <c r="BM947" s="47">
        <v>0</v>
      </c>
      <c r="BN947" s="9"/>
      <c r="BO947" s="9"/>
      <c r="BP947" s="9"/>
      <c r="BQ947" s="9"/>
      <c r="BR947" s="9"/>
      <c r="BS947" s="9"/>
      <c r="BT947" s="9"/>
      <c r="BU947" s="9"/>
      <c r="BV947" s="9"/>
      <c r="BW947" s="9"/>
    </row>
    <row r="948" spans="1:75" ht="90" hidden="1" outlineLevel="2" x14ac:dyDescent="0.25">
      <c r="A948" s="43" t="s">
        <v>1009</v>
      </c>
      <c r="B948" s="110" t="s">
        <v>1010</v>
      </c>
      <c r="C948" s="45">
        <v>2019</v>
      </c>
      <c r="D948" s="110" t="s">
        <v>83</v>
      </c>
      <c r="E948" s="47">
        <v>1522008.96</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1522008.96</v>
      </c>
      <c r="Z948" s="58">
        <v>521164.13</v>
      </c>
      <c r="AA948" s="50">
        <v>519129.32</v>
      </c>
      <c r="AB948" s="50">
        <v>18778.88</v>
      </c>
      <c r="AC948" s="50">
        <v>365.11</v>
      </c>
      <c r="AD948" s="50">
        <v>4284.3999999999996</v>
      </c>
      <c r="AE948" s="50">
        <v>0</v>
      </c>
      <c r="AF948" s="50">
        <v>0</v>
      </c>
      <c r="AG948" s="49">
        <v>542557.71</v>
      </c>
      <c r="AH948" s="51" t="s">
        <v>1023</v>
      </c>
      <c r="AI948" s="51" t="s">
        <v>1024</v>
      </c>
      <c r="AJ948" s="51" t="s">
        <v>137</v>
      </c>
      <c r="AK948" s="51" t="s">
        <v>1025</v>
      </c>
      <c r="AL948" s="51" t="s">
        <v>74</v>
      </c>
      <c r="AM948" s="51" t="s">
        <v>74</v>
      </c>
      <c r="AN948" s="52">
        <v>0</v>
      </c>
      <c r="AO948" s="52">
        <v>0</v>
      </c>
      <c r="AP948" s="52">
        <v>0</v>
      </c>
      <c r="AQ948" s="52">
        <v>0</v>
      </c>
      <c r="AR948" s="52">
        <v>0</v>
      </c>
      <c r="AS948" s="52">
        <v>0</v>
      </c>
      <c r="AT948" s="53" t="s">
        <v>74</v>
      </c>
      <c r="AU948" s="52">
        <v>0</v>
      </c>
      <c r="AV948" s="52"/>
      <c r="AW948" s="52">
        <v>0</v>
      </c>
      <c r="AX948" s="52"/>
      <c r="AY948" s="52"/>
      <c r="AZ948" s="52">
        <v>0</v>
      </c>
      <c r="BA948" s="52">
        <v>0</v>
      </c>
      <c r="BB948" s="54" t="s">
        <v>74</v>
      </c>
      <c r="BC948" s="54" t="s">
        <v>74</v>
      </c>
      <c r="BD948" s="54" t="s">
        <v>74</v>
      </c>
      <c r="BE948" s="54" t="s">
        <v>74</v>
      </c>
      <c r="BF948" s="54" t="s">
        <v>74</v>
      </c>
      <c r="BG948" s="54" t="s">
        <v>74</v>
      </c>
      <c r="BH948" s="52">
        <v>0</v>
      </c>
      <c r="BI948" s="52">
        <v>979451.25</v>
      </c>
      <c r="BJ948" s="52">
        <v>979451.25</v>
      </c>
      <c r="BK948" s="56">
        <v>43617</v>
      </c>
      <c r="BL948" s="57">
        <v>979451.25</v>
      </c>
      <c r="BM948" s="47">
        <v>0</v>
      </c>
      <c r="BN948" s="9"/>
      <c r="BO948" s="9"/>
      <c r="BP948" s="9"/>
      <c r="BQ948" s="9"/>
      <c r="BR948" s="9"/>
      <c r="BS948" s="9"/>
      <c r="BT948" s="9"/>
      <c r="BU948" s="9"/>
      <c r="BV948" s="9"/>
      <c r="BW948" s="9"/>
    </row>
    <row r="949" spans="1:75" ht="64.5" hidden="1" outlineLevel="2" x14ac:dyDescent="0.25">
      <c r="A949" s="43" t="s">
        <v>1009</v>
      </c>
      <c r="B949" s="110" t="s">
        <v>1010</v>
      </c>
      <c r="C949" s="45">
        <v>2019</v>
      </c>
      <c r="D949" s="110" t="s">
        <v>84</v>
      </c>
      <c r="E949" s="47">
        <v>1619109.44</v>
      </c>
      <c r="F949" s="47">
        <v>0</v>
      </c>
      <c r="G949" s="47">
        <v>0</v>
      </c>
      <c r="H949" s="47">
        <v>0</v>
      </c>
      <c r="I949" s="47">
        <v>0</v>
      </c>
      <c r="J949" s="47">
        <v>0</v>
      </c>
      <c r="K949" s="47">
        <v>0</v>
      </c>
      <c r="L949" s="47">
        <v>0</v>
      </c>
      <c r="M949" s="47">
        <v>0</v>
      </c>
      <c r="N949" s="47">
        <v>0</v>
      </c>
      <c r="O949" s="47">
        <v>0</v>
      </c>
      <c r="P949" s="47">
        <v>0</v>
      </c>
      <c r="Q949" s="47">
        <v>0</v>
      </c>
      <c r="R949" s="47">
        <v>0</v>
      </c>
      <c r="S949" s="47">
        <v>0</v>
      </c>
      <c r="T949" s="47">
        <v>0</v>
      </c>
      <c r="U949" s="47">
        <v>0</v>
      </c>
      <c r="V949" s="47">
        <v>0</v>
      </c>
      <c r="W949" s="47">
        <v>0</v>
      </c>
      <c r="X949" s="47">
        <v>0</v>
      </c>
      <c r="Y949" s="48">
        <v>1619109.44</v>
      </c>
      <c r="Z949" s="58">
        <v>535977.5</v>
      </c>
      <c r="AA949" s="50">
        <v>519129.32</v>
      </c>
      <c r="AB949" s="50">
        <v>2034.81</v>
      </c>
      <c r="AC949" s="50">
        <v>365.11</v>
      </c>
      <c r="AD949" s="50">
        <v>4060.93</v>
      </c>
      <c r="AE949" s="50">
        <v>0</v>
      </c>
      <c r="AF949" s="50">
        <v>0</v>
      </c>
      <c r="AG949" s="49">
        <v>525590.17000000004</v>
      </c>
      <c r="AH949" s="51" t="s">
        <v>1026</v>
      </c>
      <c r="AI949" s="51" t="s">
        <v>1027</v>
      </c>
      <c r="AJ949" s="51" t="s">
        <v>1028</v>
      </c>
      <c r="AK949" s="51" t="s">
        <v>1029</v>
      </c>
      <c r="AL949" s="51" t="s">
        <v>74</v>
      </c>
      <c r="AM949" s="51" t="s">
        <v>74</v>
      </c>
      <c r="AN949" s="52">
        <v>0</v>
      </c>
      <c r="AO949" s="52">
        <v>0</v>
      </c>
      <c r="AP949" s="52">
        <v>0</v>
      </c>
      <c r="AQ949" s="52">
        <v>0</v>
      </c>
      <c r="AR949" s="52">
        <v>0</v>
      </c>
      <c r="AS949" s="52">
        <v>0</v>
      </c>
      <c r="AT949" s="53" t="s">
        <v>74</v>
      </c>
      <c r="AU949" s="52">
        <v>0</v>
      </c>
      <c r="AV949" s="52"/>
      <c r="AW949" s="52">
        <v>0</v>
      </c>
      <c r="AX949" s="52"/>
      <c r="AY949" s="52"/>
      <c r="AZ949" s="52">
        <v>0</v>
      </c>
      <c r="BA949" s="52">
        <v>0</v>
      </c>
      <c r="BB949" s="54" t="s">
        <v>74</v>
      </c>
      <c r="BC949" s="54" t="s">
        <v>74</v>
      </c>
      <c r="BD949" s="54" t="s">
        <v>74</v>
      </c>
      <c r="BE949" s="54" t="s">
        <v>74</v>
      </c>
      <c r="BF949" s="54" t="s">
        <v>74</v>
      </c>
      <c r="BG949" s="54" t="s">
        <v>74</v>
      </c>
      <c r="BH949" s="52">
        <v>0</v>
      </c>
      <c r="BI949" s="52">
        <v>1093519.27</v>
      </c>
      <c r="BJ949" s="52">
        <v>1093519.27</v>
      </c>
      <c r="BK949" s="56">
        <v>43647</v>
      </c>
      <c r="BL949" s="57">
        <v>1093519.27</v>
      </c>
      <c r="BM949" s="47">
        <v>0</v>
      </c>
      <c r="BN949" s="9"/>
      <c r="BO949" s="9"/>
      <c r="BP949" s="9"/>
      <c r="BQ949" s="9"/>
      <c r="BR949" s="9"/>
      <c r="BS949" s="9"/>
      <c r="BT949" s="9"/>
      <c r="BU949" s="9"/>
      <c r="BV949" s="9"/>
      <c r="BW949" s="9"/>
    </row>
    <row r="950" spans="1:75" ht="64.5" hidden="1" outlineLevel="2" x14ac:dyDescent="0.25">
      <c r="A950" s="43" t="s">
        <v>1009</v>
      </c>
      <c r="B950" s="110" t="s">
        <v>1010</v>
      </c>
      <c r="C950" s="45">
        <v>2019</v>
      </c>
      <c r="D950" s="110" t="s">
        <v>86</v>
      </c>
      <c r="E950" s="47">
        <v>1643384.56</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1643384.56</v>
      </c>
      <c r="Z950" s="58">
        <v>565130.31000000006</v>
      </c>
      <c r="AA950" s="50">
        <v>519129.32</v>
      </c>
      <c r="AB950" s="50">
        <v>16848.18</v>
      </c>
      <c r="AC950" s="50">
        <v>365.11</v>
      </c>
      <c r="AD950" s="50">
        <v>3579.56</v>
      </c>
      <c r="AE950" s="50">
        <v>0</v>
      </c>
      <c r="AF950" s="50">
        <v>0</v>
      </c>
      <c r="AG950" s="49">
        <v>539922.17000000004</v>
      </c>
      <c r="AH950" s="51" t="s">
        <v>1030</v>
      </c>
      <c r="AI950" s="51" t="s">
        <v>1031</v>
      </c>
      <c r="AJ950" s="51" t="s">
        <v>142</v>
      </c>
      <c r="AK950" s="51" t="s">
        <v>1032</v>
      </c>
      <c r="AL950" s="51" t="s">
        <v>74</v>
      </c>
      <c r="AM950" s="51" t="s">
        <v>74</v>
      </c>
      <c r="AN950" s="52">
        <v>0</v>
      </c>
      <c r="AO950" s="52">
        <v>0</v>
      </c>
      <c r="AP950" s="52">
        <v>0</v>
      </c>
      <c r="AQ950" s="52">
        <v>0</v>
      </c>
      <c r="AR950" s="52">
        <v>0</v>
      </c>
      <c r="AS950" s="52">
        <v>0</v>
      </c>
      <c r="AT950" s="53" t="s">
        <v>74</v>
      </c>
      <c r="AU950" s="52">
        <v>0</v>
      </c>
      <c r="AV950" s="52"/>
      <c r="AW950" s="52">
        <v>0</v>
      </c>
      <c r="AX950" s="52"/>
      <c r="AY950" s="52"/>
      <c r="AZ950" s="52">
        <v>0</v>
      </c>
      <c r="BA950" s="52">
        <v>0</v>
      </c>
      <c r="BB950" s="54" t="s">
        <v>74</v>
      </c>
      <c r="BC950" s="54" t="s">
        <v>74</v>
      </c>
      <c r="BD950" s="54" t="s">
        <v>74</v>
      </c>
      <c r="BE950" s="54" t="s">
        <v>74</v>
      </c>
      <c r="BF950" s="54" t="s">
        <v>74</v>
      </c>
      <c r="BG950" s="54" t="s">
        <v>74</v>
      </c>
      <c r="BH950" s="52">
        <v>0</v>
      </c>
      <c r="BI950" s="52">
        <v>1103462.3899999999</v>
      </c>
      <c r="BJ950" s="52">
        <v>1103462.3899999999</v>
      </c>
      <c r="BK950" s="56">
        <v>43678</v>
      </c>
      <c r="BL950" s="57">
        <v>1103462.3899999999</v>
      </c>
      <c r="BM950" s="47">
        <v>0</v>
      </c>
      <c r="BN950" s="9"/>
      <c r="BO950" s="9"/>
      <c r="BP950" s="9"/>
      <c r="BQ950" s="9"/>
      <c r="BR950" s="9"/>
      <c r="BS950" s="9"/>
      <c r="BT950" s="9"/>
      <c r="BU950" s="9"/>
      <c r="BV950" s="9"/>
      <c r="BW950" s="9"/>
    </row>
    <row r="951" spans="1:75" ht="115.5" hidden="1" outlineLevel="2" x14ac:dyDescent="0.25">
      <c r="A951" s="43" t="s">
        <v>1009</v>
      </c>
      <c r="B951" s="110" t="s">
        <v>1010</v>
      </c>
      <c r="C951" s="45">
        <v>2019</v>
      </c>
      <c r="D951" s="110" t="s">
        <v>88</v>
      </c>
      <c r="E951" s="47">
        <v>1803499.25</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1803499.25</v>
      </c>
      <c r="Z951" s="58">
        <v>528464.06999999995</v>
      </c>
      <c r="AA951" s="50">
        <v>528464.06999999995</v>
      </c>
      <c r="AB951" s="50">
        <v>46000.99</v>
      </c>
      <c r="AC951" s="50">
        <v>733.14</v>
      </c>
      <c r="AD951" s="50">
        <v>7256.11</v>
      </c>
      <c r="AE951" s="50">
        <v>0</v>
      </c>
      <c r="AF951" s="50">
        <v>0</v>
      </c>
      <c r="AG951" s="49">
        <v>582454.31000000006</v>
      </c>
      <c r="AH951" s="51" t="s">
        <v>104</v>
      </c>
      <c r="AI951" s="51" t="s">
        <v>1033</v>
      </c>
      <c r="AJ951" s="51" t="s">
        <v>1034</v>
      </c>
      <c r="AK951" s="51" t="s">
        <v>1035</v>
      </c>
      <c r="AL951" s="51" t="s">
        <v>74</v>
      </c>
      <c r="AM951" s="51" t="s">
        <v>74</v>
      </c>
      <c r="AN951" s="52">
        <v>0</v>
      </c>
      <c r="AO951" s="52">
        <v>0</v>
      </c>
      <c r="AP951" s="52">
        <v>0</v>
      </c>
      <c r="AQ951" s="52">
        <v>0</v>
      </c>
      <c r="AR951" s="52">
        <v>0</v>
      </c>
      <c r="AS951" s="52">
        <v>0</v>
      </c>
      <c r="AT951" s="53" t="s">
        <v>74</v>
      </c>
      <c r="AU951" s="52">
        <v>0</v>
      </c>
      <c r="AV951" s="52"/>
      <c r="AW951" s="52">
        <v>0</v>
      </c>
      <c r="AX951" s="52"/>
      <c r="AY951" s="52"/>
      <c r="AZ951" s="52">
        <v>0</v>
      </c>
      <c r="BA951" s="52">
        <v>0</v>
      </c>
      <c r="BB951" s="54" t="s">
        <v>74</v>
      </c>
      <c r="BC951" s="54" t="s">
        <v>74</v>
      </c>
      <c r="BD951" s="54" t="s">
        <v>74</v>
      </c>
      <c r="BE951" s="54" t="s">
        <v>74</v>
      </c>
      <c r="BF951" s="54" t="s">
        <v>74</v>
      </c>
      <c r="BG951" s="54" t="s">
        <v>74</v>
      </c>
      <c r="BH951" s="52">
        <v>0</v>
      </c>
      <c r="BI951" s="52">
        <v>1221044.94</v>
      </c>
      <c r="BJ951" s="52">
        <v>1221044.94</v>
      </c>
      <c r="BK951" s="56">
        <v>43709</v>
      </c>
      <c r="BL951" s="57">
        <v>1221044.94</v>
      </c>
      <c r="BM951" s="47">
        <v>0</v>
      </c>
      <c r="BN951" s="9"/>
      <c r="BO951" s="9"/>
      <c r="BP951" s="9"/>
      <c r="BQ951" s="9"/>
      <c r="BR951" s="9"/>
      <c r="BS951" s="9"/>
      <c r="BT951" s="9"/>
      <c r="BU951" s="9"/>
      <c r="BV951" s="9"/>
      <c r="BW951" s="9"/>
    </row>
    <row r="952" spans="1:75" ht="64.5" hidden="1" outlineLevel="2" x14ac:dyDescent="0.25">
      <c r="A952" s="43" t="s">
        <v>1009</v>
      </c>
      <c r="B952" s="110" t="s">
        <v>1010</v>
      </c>
      <c r="C952" s="45">
        <v>2019</v>
      </c>
      <c r="D952" s="110" t="s">
        <v>89</v>
      </c>
      <c r="E952" s="47">
        <v>1843527.92</v>
      </c>
      <c r="F952" s="47">
        <v>0</v>
      </c>
      <c r="G952" s="47">
        <v>0</v>
      </c>
      <c r="H952" s="47">
        <v>0</v>
      </c>
      <c r="I952" s="47">
        <v>0</v>
      </c>
      <c r="J952" s="47">
        <v>0</v>
      </c>
      <c r="K952" s="47">
        <v>0</v>
      </c>
      <c r="L952" s="47">
        <v>0</v>
      </c>
      <c r="M952" s="47">
        <v>0</v>
      </c>
      <c r="N952" s="47">
        <v>0</v>
      </c>
      <c r="O952" s="47">
        <v>0</v>
      </c>
      <c r="P952" s="47">
        <v>0</v>
      </c>
      <c r="Q952" s="47">
        <v>0</v>
      </c>
      <c r="R952" s="47">
        <v>0</v>
      </c>
      <c r="S952" s="47">
        <v>0</v>
      </c>
      <c r="T952" s="47">
        <v>0</v>
      </c>
      <c r="U952" s="47">
        <v>0</v>
      </c>
      <c r="V952" s="47">
        <v>0</v>
      </c>
      <c r="W952" s="47">
        <v>0</v>
      </c>
      <c r="X952" s="47">
        <v>0</v>
      </c>
      <c r="Y952" s="48">
        <v>1843527.92</v>
      </c>
      <c r="Z952" s="58">
        <v>582623.16</v>
      </c>
      <c r="AA952" s="50">
        <v>519129.32</v>
      </c>
      <c r="AB952" s="50">
        <v>0</v>
      </c>
      <c r="AC952" s="50">
        <v>0</v>
      </c>
      <c r="AD952" s="50">
        <v>0</v>
      </c>
      <c r="AE952" s="50">
        <v>0</v>
      </c>
      <c r="AF952" s="50">
        <v>0</v>
      </c>
      <c r="AG952" s="49">
        <v>519129.32</v>
      </c>
      <c r="AH952" s="51" t="s">
        <v>1036</v>
      </c>
      <c r="AI952" s="51" t="s">
        <v>74</v>
      </c>
      <c r="AJ952" s="51" t="s">
        <v>74</v>
      </c>
      <c r="AK952" s="51" t="s">
        <v>74</v>
      </c>
      <c r="AL952" s="51" t="s">
        <v>74</v>
      </c>
      <c r="AM952" s="51" t="s">
        <v>74</v>
      </c>
      <c r="AN952" s="52">
        <v>0</v>
      </c>
      <c r="AO952" s="52">
        <v>0</v>
      </c>
      <c r="AP952" s="52">
        <v>0</v>
      </c>
      <c r="AQ952" s="52">
        <v>0</v>
      </c>
      <c r="AR952" s="52">
        <v>0</v>
      </c>
      <c r="AS952" s="52">
        <v>0</v>
      </c>
      <c r="AT952" s="53" t="s">
        <v>74</v>
      </c>
      <c r="AU952" s="52">
        <v>0</v>
      </c>
      <c r="AV952" s="52"/>
      <c r="AW952" s="52">
        <v>0</v>
      </c>
      <c r="AX952" s="52"/>
      <c r="AY952" s="52"/>
      <c r="AZ952" s="52">
        <v>0</v>
      </c>
      <c r="BA952" s="52">
        <v>0</v>
      </c>
      <c r="BB952" s="54" t="s">
        <v>74</v>
      </c>
      <c r="BC952" s="54" t="s">
        <v>74</v>
      </c>
      <c r="BD952" s="54" t="s">
        <v>74</v>
      </c>
      <c r="BE952" s="54" t="s">
        <v>74</v>
      </c>
      <c r="BF952" s="54" t="s">
        <v>74</v>
      </c>
      <c r="BG952" s="54" t="s">
        <v>74</v>
      </c>
      <c r="BH952" s="52">
        <v>0</v>
      </c>
      <c r="BI952" s="52">
        <v>1324398.6000000001</v>
      </c>
      <c r="BJ952" s="52">
        <v>1324398.6000000001</v>
      </c>
      <c r="BK952" s="56">
        <v>43739</v>
      </c>
      <c r="BL952" s="57">
        <v>1324398.6000000001</v>
      </c>
      <c r="BM952" s="47">
        <v>0</v>
      </c>
      <c r="BN952" s="9"/>
      <c r="BO952" s="9"/>
      <c r="BP952" s="9"/>
      <c r="BQ952" s="9"/>
      <c r="BR952" s="9"/>
      <c r="BS952" s="9"/>
      <c r="BT952" s="9"/>
      <c r="BU952" s="9"/>
      <c r="BV952" s="9"/>
      <c r="BW952" s="9"/>
    </row>
    <row r="953" spans="1:75" ht="64.5" hidden="1" outlineLevel="2" x14ac:dyDescent="0.25">
      <c r="A953" s="43" t="s">
        <v>1009</v>
      </c>
      <c r="B953" s="110" t="s">
        <v>1010</v>
      </c>
      <c r="C953" s="45">
        <v>2019</v>
      </c>
      <c r="D953" s="110" t="s">
        <v>90</v>
      </c>
      <c r="E953" s="47">
        <v>1843527.92</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1843527.92</v>
      </c>
      <c r="Z953" s="58">
        <v>559675.71</v>
      </c>
      <c r="AA953" s="50">
        <v>519129.32</v>
      </c>
      <c r="AB953" s="50">
        <v>63493.84</v>
      </c>
      <c r="AC953" s="50">
        <v>365.11</v>
      </c>
      <c r="AD953" s="50">
        <v>5497.56</v>
      </c>
      <c r="AE953" s="50">
        <v>0</v>
      </c>
      <c r="AF953" s="50">
        <v>0</v>
      </c>
      <c r="AG953" s="49">
        <v>588485.82999999996</v>
      </c>
      <c r="AH953" s="51" t="s">
        <v>1037</v>
      </c>
      <c r="AI953" s="51" t="s">
        <v>1038</v>
      </c>
      <c r="AJ953" s="51" t="s">
        <v>149</v>
      </c>
      <c r="AK953" s="51" t="s">
        <v>1039</v>
      </c>
      <c r="AL953" s="51" t="s">
        <v>74</v>
      </c>
      <c r="AM953" s="51" t="s">
        <v>74</v>
      </c>
      <c r="AN953" s="52">
        <v>0</v>
      </c>
      <c r="AO953" s="52">
        <v>0</v>
      </c>
      <c r="AP953" s="52">
        <v>0</v>
      </c>
      <c r="AQ953" s="52">
        <v>0</v>
      </c>
      <c r="AR953" s="52">
        <v>0</v>
      </c>
      <c r="AS953" s="52">
        <v>0</v>
      </c>
      <c r="AT953" s="53" t="s">
        <v>74</v>
      </c>
      <c r="AU953" s="52">
        <v>0</v>
      </c>
      <c r="AV953" s="52"/>
      <c r="AW953" s="52">
        <v>0</v>
      </c>
      <c r="AX953" s="52"/>
      <c r="AY953" s="52"/>
      <c r="AZ953" s="52">
        <v>0</v>
      </c>
      <c r="BA953" s="52">
        <v>0</v>
      </c>
      <c r="BB953" s="54" t="s">
        <v>74</v>
      </c>
      <c r="BC953" s="54" t="s">
        <v>74</v>
      </c>
      <c r="BD953" s="54" t="s">
        <v>74</v>
      </c>
      <c r="BE953" s="54" t="s">
        <v>74</v>
      </c>
      <c r="BF953" s="54" t="s">
        <v>74</v>
      </c>
      <c r="BG953" s="54" t="s">
        <v>74</v>
      </c>
      <c r="BH953" s="52">
        <v>0</v>
      </c>
      <c r="BI953" s="52">
        <v>1255042.0900000001</v>
      </c>
      <c r="BJ953" s="52">
        <v>1255042.0900000001</v>
      </c>
      <c r="BK953" s="56">
        <v>43770</v>
      </c>
      <c r="BL953" s="57">
        <v>1255042.0900000001</v>
      </c>
      <c r="BM953" s="47">
        <v>0</v>
      </c>
      <c r="BN953" s="9"/>
      <c r="BO953" s="9"/>
      <c r="BP953" s="9"/>
      <c r="BQ953" s="9"/>
      <c r="BR953" s="9"/>
      <c r="BS953" s="9"/>
      <c r="BT953" s="9"/>
      <c r="BU953" s="9"/>
      <c r="BV953" s="9"/>
      <c r="BW953" s="9"/>
    </row>
    <row r="954" spans="1:75" ht="115.5" hidden="1" outlineLevel="2" x14ac:dyDescent="0.25">
      <c r="A954" s="43" t="s">
        <v>1009</v>
      </c>
      <c r="B954" s="110" t="s">
        <v>1010</v>
      </c>
      <c r="C954" s="45">
        <v>2019</v>
      </c>
      <c r="D954" s="110" t="s">
        <v>93</v>
      </c>
      <c r="E954" s="47">
        <v>1843527.92</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1843527.92</v>
      </c>
      <c r="Z954" s="58">
        <v>537817.88</v>
      </c>
      <c r="AA954" s="50">
        <v>519811.82</v>
      </c>
      <c r="AB954" s="50">
        <v>40546.39</v>
      </c>
      <c r="AC954" s="50">
        <v>2943.49</v>
      </c>
      <c r="AD954" s="50">
        <v>10312.620000000001</v>
      </c>
      <c r="AE954" s="50">
        <v>0</v>
      </c>
      <c r="AF954" s="50">
        <v>0</v>
      </c>
      <c r="AG954" s="49">
        <v>573614.31999999995</v>
      </c>
      <c r="AH954" s="51" t="s">
        <v>1040</v>
      </c>
      <c r="AI954" s="51" t="s">
        <v>1041</v>
      </c>
      <c r="AJ954" s="51" t="s">
        <v>1042</v>
      </c>
      <c r="AK954" s="51" t="s">
        <v>1043</v>
      </c>
      <c r="AL954" s="51" t="s">
        <v>74</v>
      </c>
      <c r="AM954" s="51" t="s">
        <v>74</v>
      </c>
      <c r="AN954" s="52">
        <v>0</v>
      </c>
      <c r="AO954" s="52">
        <v>0</v>
      </c>
      <c r="AP954" s="52">
        <v>0</v>
      </c>
      <c r="AQ954" s="52">
        <v>0</v>
      </c>
      <c r="AR954" s="52">
        <v>0</v>
      </c>
      <c r="AS954" s="52">
        <v>0</v>
      </c>
      <c r="AT954" s="53" t="s">
        <v>74</v>
      </c>
      <c r="AU954" s="52">
        <v>0</v>
      </c>
      <c r="AV954" s="52"/>
      <c r="AW954" s="52">
        <v>0</v>
      </c>
      <c r="AX954" s="52"/>
      <c r="AY954" s="52"/>
      <c r="AZ954" s="52">
        <v>0</v>
      </c>
      <c r="BA954" s="52">
        <v>0</v>
      </c>
      <c r="BB954" s="54" t="s">
        <v>74</v>
      </c>
      <c r="BC954" s="54" t="s">
        <v>74</v>
      </c>
      <c r="BD954" s="54" t="s">
        <v>74</v>
      </c>
      <c r="BE954" s="54" t="s">
        <v>74</v>
      </c>
      <c r="BF954" s="54" t="s">
        <v>74</v>
      </c>
      <c r="BG954" s="54" t="s">
        <v>74</v>
      </c>
      <c r="BH954" s="52">
        <v>0</v>
      </c>
      <c r="BI954" s="52">
        <v>1269913.6000000001</v>
      </c>
      <c r="BJ954" s="52">
        <v>1269913.6000000001</v>
      </c>
      <c r="BK954" s="56">
        <v>43800</v>
      </c>
      <c r="BL954" s="57">
        <v>1269913.6000000001</v>
      </c>
      <c r="BM954" s="47">
        <v>0</v>
      </c>
      <c r="BN954" s="9"/>
      <c r="BO954" s="9"/>
      <c r="BP954" s="9"/>
      <c r="BQ954" s="9"/>
      <c r="BR954" s="9"/>
      <c r="BS954" s="9"/>
      <c r="BT954" s="9"/>
      <c r="BU954" s="9"/>
      <c r="BV954" s="9"/>
      <c r="BW954" s="9"/>
    </row>
    <row r="955" spans="1:75" ht="179.25" hidden="1" outlineLevel="2" x14ac:dyDescent="0.25">
      <c r="A955" s="43" t="s">
        <v>1009</v>
      </c>
      <c r="B955" s="110" t="s">
        <v>1010</v>
      </c>
      <c r="C955" s="45">
        <v>2020</v>
      </c>
      <c r="D955" s="110" t="s">
        <v>73</v>
      </c>
      <c r="E955" s="47">
        <v>1843527.92</v>
      </c>
      <c r="F955" s="47">
        <v>0</v>
      </c>
      <c r="G955" s="47">
        <v>0</v>
      </c>
      <c r="H955" s="47">
        <v>0</v>
      </c>
      <c r="I955" s="47">
        <v>0</v>
      </c>
      <c r="J955" s="47">
        <v>0</v>
      </c>
      <c r="K955" s="47">
        <v>0</v>
      </c>
      <c r="L955" s="47">
        <v>0</v>
      </c>
      <c r="M955" s="47">
        <v>0</v>
      </c>
      <c r="N955" s="47">
        <v>0</v>
      </c>
      <c r="O955" s="47">
        <v>0</v>
      </c>
      <c r="P955" s="47">
        <v>0</v>
      </c>
      <c r="Q955" s="47">
        <v>0</v>
      </c>
      <c r="R955" s="47">
        <v>0</v>
      </c>
      <c r="S955" s="47">
        <v>0</v>
      </c>
      <c r="T955" s="47">
        <v>0</v>
      </c>
      <c r="U955" s="47">
        <v>0</v>
      </c>
      <c r="V955" s="47">
        <v>0</v>
      </c>
      <c r="W955" s="47">
        <v>0</v>
      </c>
      <c r="X955" s="47">
        <v>0</v>
      </c>
      <c r="Y955" s="48">
        <v>1843527.92</v>
      </c>
      <c r="Z955" s="58">
        <v>541739.91</v>
      </c>
      <c r="AA955" s="50">
        <v>521965.92</v>
      </c>
      <c r="AB955" s="50">
        <v>18006.060000000001</v>
      </c>
      <c r="AC955" s="50">
        <v>163581.85</v>
      </c>
      <c r="AD955" s="50">
        <v>3880.79</v>
      </c>
      <c r="AE955" s="50">
        <v>0</v>
      </c>
      <c r="AF955" s="50">
        <v>0</v>
      </c>
      <c r="AG955" s="49">
        <v>707434.62</v>
      </c>
      <c r="AH955" s="51" t="s">
        <v>1044</v>
      </c>
      <c r="AI955" s="51" t="s">
        <v>1045</v>
      </c>
      <c r="AJ955" s="51" t="s">
        <v>1046</v>
      </c>
      <c r="AK955" s="51" t="s">
        <v>1047</v>
      </c>
      <c r="AL955" s="51" t="s">
        <v>74</v>
      </c>
      <c r="AM955" s="51" t="s">
        <v>74</v>
      </c>
      <c r="AN955" s="52">
        <v>0</v>
      </c>
      <c r="AO955" s="52">
        <v>0</v>
      </c>
      <c r="AP955" s="52">
        <v>0</v>
      </c>
      <c r="AQ955" s="52">
        <v>0</v>
      </c>
      <c r="AR955" s="52">
        <v>0</v>
      </c>
      <c r="AS955" s="52">
        <v>0</v>
      </c>
      <c r="AT955" s="53" t="s">
        <v>74</v>
      </c>
      <c r="AU955" s="52">
        <v>0</v>
      </c>
      <c r="AV955" s="52"/>
      <c r="AW955" s="52">
        <v>0</v>
      </c>
      <c r="AX955" s="52"/>
      <c r="AY955" s="52"/>
      <c r="AZ955" s="52">
        <v>0</v>
      </c>
      <c r="BA955" s="52">
        <v>0</v>
      </c>
      <c r="BB955" s="54" t="s">
        <v>74</v>
      </c>
      <c r="BC955" s="54" t="s">
        <v>74</v>
      </c>
      <c r="BD955" s="54" t="s">
        <v>74</v>
      </c>
      <c r="BE955" s="54" t="s">
        <v>74</v>
      </c>
      <c r="BF955" s="54" t="s">
        <v>74</v>
      </c>
      <c r="BG955" s="54" t="s">
        <v>74</v>
      </c>
      <c r="BH955" s="52">
        <v>0</v>
      </c>
      <c r="BI955" s="52">
        <v>1136093.3</v>
      </c>
      <c r="BJ955" s="52">
        <v>1136093.3</v>
      </c>
      <c r="BK955" s="56">
        <v>43831</v>
      </c>
      <c r="BL955" s="57">
        <v>1136093.3</v>
      </c>
      <c r="BM955" s="47">
        <v>0</v>
      </c>
      <c r="BN955" s="9"/>
      <c r="BO955" s="9"/>
      <c r="BP955" s="9"/>
      <c r="BQ955" s="9"/>
      <c r="BR955" s="9"/>
      <c r="BS955" s="9"/>
      <c r="BT955" s="9"/>
      <c r="BU955" s="9"/>
      <c r="BV955" s="9"/>
      <c r="BW955" s="9"/>
    </row>
    <row r="956" spans="1:75" ht="64.5" hidden="1" outlineLevel="2" x14ac:dyDescent="0.25">
      <c r="A956" s="43" t="s">
        <v>1009</v>
      </c>
      <c r="B956" s="110" t="s">
        <v>1010</v>
      </c>
      <c r="C956" s="45">
        <v>2020</v>
      </c>
      <c r="D956" s="110" t="s">
        <v>75</v>
      </c>
      <c r="E956" s="47">
        <v>1843527.92</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1843527.92</v>
      </c>
      <c r="Z956" s="58">
        <v>522683.71</v>
      </c>
      <c r="AA956" s="50">
        <v>522683.71</v>
      </c>
      <c r="AB956" s="50">
        <v>19773.990000000002</v>
      </c>
      <c r="AC956" s="50">
        <v>0</v>
      </c>
      <c r="AD956" s="62">
        <v>4194.37</v>
      </c>
      <c r="AE956" s="50">
        <v>0</v>
      </c>
      <c r="AF956" s="50">
        <v>0</v>
      </c>
      <c r="AG956" s="49">
        <v>546652.06999999995</v>
      </c>
      <c r="AH956" s="51" t="s">
        <v>104</v>
      </c>
      <c r="AI956" s="51" t="s">
        <v>1048</v>
      </c>
      <c r="AJ956" s="51" t="s">
        <v>74</v>
      </c>
      <c r="AK956" s="51" t="s">
        <v>1049</v>
      </c>
      <c r="AL956" s="51" t="s">
        <v>74</v>
      </c>
      <c r="AM956" s="51" t="s">
        <v>74</v>
      </c>
      <c r="AN956" s="52">
        <v>0</v>
      </c>
      <c r="AO956" s="52">
        <v>0</v>
      </c>
      <c r="AP956" s="52">
        <v>0</v>
      </c>
      <c r="AQ956" s="52">
        <v>0</v>
      </c>
      <c r="AR956" s="52">
        <v>0</v>
      </c>
      <c r="AS956" s="52">
        <v>0</v>
      </c>
      <c r="AT956" s="53" t="s">
        <v>74</v>
      </c>
      <c r="AU956" s="52">
        <v>0</v>
      </c>
      <c r="AV956" s="52"/>
      <c r="AW956" s="52">
        <v>0</v>
      </c>
      <c r="AX956" s="52"/>
      <c r="AY956" s="52"/>
      <c r="AZ956" s="52">
        <v>0</v>
      </c>
      <c r="BA956" s="52">
        <v>0</v>
      </c>
      <c r="BB956" s="54" t="s">
        <v>74</v>
      </c>
      <c r="BC956" s="54" t="s">
        <v>74</v>
      </c>
      <c r="BD956" s="54" t="s">
        <v>74</v>
      </c>
      <c r="BE956" s="54" t="s">
        <v>74</v>
      </c>
      <c r="BF956" s="54" t="s">
        <v>74</v>
      </c>
      <c r="BG956" s="54" t="s">
        <v>74</v>
      </c>
      <c r="BH956" s="52">
        <v>0</v>
      </c>
      <c r="BI956" s="52">
        <v>1296875.8500000001</v>
      </c>
      <c r="BJ956" s="52">
        <v>1295124.6100000001</v>
      </c>
      <c r="BK956" s="56">
        <v>43862</v>
      </c>
      <c r="BL956" s="57">
        <v>1296875.8500000001</v>
      </c>
      <c r="BM956" s="47">
        <v>0</v>
      </c>
      <c r="BN956" s="9"/>
      <c r="BO956" s="9"/>
      <c r="BP956" s="9"/>
      <c r="BQ956" s="9"/>
      <c r="BR956" s="9"/>
      <c r="BS956" s="9"/>
      <c r="BT956" s="9"/>
      <c r="BU956" s="9"/>
      <c r="BV956" s="9"/>
      <c r="BW956" s="9"/>
    </row>
    <row r="957" spans="1:75" ht="26.25" hidden="1" outlineLevel="2" x14ac:dyDescent="0.25">
      <c r="A957" s="43" t="s">
        <v>1009</v>
      </c>
      <c r="B957" s="110" t="s">
        <v>1010</v>
      </c>
      <c r="C957" s="45">
        <v>2020</v>
      </c>
      <c r="D957" s="110" t="s">
        <v>77</v>
      </c>
      <c r="E957" s="47">
        <v>1843527.92</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1843527.92</v>
      </c>
      <c r="Z957" s="58">
        <v>516490.69</v>
      </c>
      <c r="AA957" s="50">
        <v>516490.69</v>
      </c>
      <c r="AB957" s="50">
        <v>0</v>
      </c>
      <c r="AC957" s="50">
        <v>0</v>
      </c>
      <c r="AD957" s="62">
        <v>4980.9799999999996</v>
      </c>
      <c r="AE957" s="50">
        <v>0</v>
      </c>
      <c r="AF957" s="50">
        <v>0</v>
      </c>
      <c r="AG957" s="49">
        <v>521471.67</v>
      </c>
      <c r="AH957" s="51" t="s">
        <v>104</v>
      </c>
      <c r="AI957" s="51" t="s">
        <v>74</v>
      </c>
      <c r="AJ957" s="51" t="s">
        <v>74</v>
      </c>
      <c r="AK957" s="51" t="s">
        <v>313</v>
      </c>
      <c r="AL957" s="51" t="s">
        <v>74</v>
      </c>
      <c r="AM957" s="51" t="s">
        <v>74</v>
      </c>
      <c r="AN957" s="52">
        <v>0</v>
      </c>
      <c r="AO957" s="52">
        <v>0</v>
      </c>
      <c r="AP957" s="52">
        <v>0</v>
      </c>
      <c r="AQ957" s="52">
        <v>0</v>
      </c>
      <c r="AR957" s="52">
        <v>0</v>
      </c>
      <c r="AS957" s="52">
        <v>0</v>
      </c>
      <c r="AT957" s="53" t="s">
        <v>74</v>
      </c>
      <c r="AU957" s="52">
        <v>0</v>
      </c>
      <c r="AV957" s="52"/>
      <c r="AW957" s="52">
        <v>0</v>
      </c>
      <c r="AX957" s="52"/>
      <c r="AY957" s="52"/>
      <c r="AZ957" s="52">
        <v>0</v>
      </c>
      <c r="BA957" s="52">
        <v>0</v>
      </c>
      <c r="BB957" s="54" t="s">
        <v>74</v>
      </c>
      <c r="BC957" s="54" t="s">
        <v>74</v>
      </c>
      <c r="BD957" s="54" t="s">
        <v>74</v>
      </c>
      <c r="BE957" s="54" t="s">
        <v>74</v>
      </c>
      <c r="BF957" s="54" t="s">
        <v>74</v>
      </c>
      <c r="BG957" s="54" t="s">
        <v>74</v>
      </c>
      <c r="BH957" s="52">
        <v>0</v>
      </c>
      <c r="BI957" s="52">
        <v>1322056.25</v>
      </c>
      <c r="BJ957" s="52">
        <v>1322056.25</v>
      </c>
      <c r="BK957" s="56">
        <v>43891</v>
      </c>
      <c r="BL957" s="57">
        <v>1322056.25</v>
      </c>
      <c r="BM957" s="47">
        <v>0</v>
      </c>
      <c r="BN957" s="9"/>
      <c r="BO957" s="9"/>
      <c r="BP957" s="9"/>
      <c r="BQ957" s="9"/>
      <c r="BR957" s="9"/>
      <c r="BS957" s="9"/>
      <c r="BT957" s="9"/>
      <c r="BU957" s="9"/>
      <c r="BV957" s="9"/>
      <c r="BW957" s="9"/>
    </row>
    <row r="958" spans="1:75" ht="64.5" hidden="1" outlineLevel="2" x14ac:dyDescent="0.25">
      <c r="A958" s="43" t="s">
        <v>1009</v>
      </c>
      <c r="B958" s="110" t="s">
        <v>1010</v>
      </c>
      <c r="C958" s="45">
        <v>2020</v>
      </c>
      <c r="D958" s="110" t="s">
        <v>79</v>
      </c>
      <c r="E958" s="47">
        <v>1843527.92</v>
      </c>
      <c r="F958" s="47">
        <v>0</v>
      </c>
      <c r="G958" s="47">
        <v>0</v>
      </c>
      <c r="H958" s="47">
        <v>0</v>
      </c>
      <c r="I958" s="47">
        <v>0</v>
      </c>
      <c r="J958" s="47">
        <v>0</v>
      </c>
      <c r="K958" s="47">
        <v>0</v>
      </c>
      <c r="L958" s="47">
        <v>0</v>
      </c>
      <c r="M958" s="47">
        <v>0</v>
      </c>
      <c r="N958" s="47">
        <v>0</v>
      </c>
      <c r="O958" s="47">
        <v>0</v>
      </c>
      <c r="P958" s="47">
        <v>0</v>
      </c>
      <c r="Q958" s="47">
        <v>0</v>
      </c>
      <c r="R958" s="47">
        <v>0</v>
      </c>
      <c r="S958" s="47">
        <v>0</v>
      </c>
      <c r="T958" s="47">
        <v>0</v>
      </c>
      <c r="U958" s="47">
        <v>0</v>
      </c>
      <c r="V958" s="47">
        <v>0</v>
      </c>
      <c r="W958" s="47">
        <v>0</v>
      </c>
      <c r="X958" s="47">
        <v>0</v>
      </c>
      <c r="Y958" s="48">
        <v>1843527.92</v>
      </c>
      <c r="Z958" s="58">
        <v>520859.51</v>
      </c>
      <c r="AA958" s="50">
        <v>518159.02</v>
      </c>
      <c r="AB958" s="50">
        <v>0</v>
      </c>
      <c r="AC958" s="50">
        <v>0</v>
      </c>
      <c r="AD958" s="62">
        <v>4970.3</v>
      </c>
      <c r="AE958" s="50">
        <v>0</v>
      </c>
      <c r="AF958" s="50">
        <v>0</v>
      </c>
      <c r="AG958" s="49">
        <v>523129.32</v>
      </c>
      <c r="AH958" s="51" t="s">
        <v>1050</v>
      </c>
      <c r="AI958" s="51" t="s">
        <v>74</v>
      </c>
      <c r="AJ958" s="51" t="s">
        <v>74</v>
      </c>
      <c r="AK958" s="51" t="s">
        <v>1051</v>
      </c>
      <c r="AL958" s="51" t="s">
        <v>74</v>
      </c>
      <c r="AM958" s="51" t="s">
        <v>74</v>
      </c>
      <c r="AN958" s="52">
        <v>0</v>
      </c>
      <c r="AO958" s="52">
        <v>0</v>
      </c>
      <c r="AP958" s="52">
        <v>0</v>
      </c>
      <c r="AQ958" s="52">
        <v>0</v>
      </c>
      <c r="AR958" s="52">
        <v>0</v>
      </c>
      <c r="AS958" s="52">
        <v>0</v>
      </c>
      <c r="AT958" s="53" t="s">
        <v>74</v>
      </c>
      <c r="AU958" s="52">
        <v>0</v>
      </c>
      <c r="AV958" s="52"/>
      <c r="AW958" s="52">
        <v>0</v>
      </c>
      <c r="AX958" s="52"/>
      <c r="AY958" s="52"/>
      <c r="AZ958" s="52">
        <v>0</v>
      </c>
      <c r="BA958" s="52">
        <v>0</v>
      </c>
      <c r="BB958" s="54" t="s">
        <v>74</v>
      </c>
      <c r="BC958" s="54" t="s">
        <v>74</v>
      </c>
      <c r="BD958" s="54" t="s">
        <v>74</v>
      </c>
      <c r="BE958" s="54" t="s">
        <v>74</v>
      </c>
      <c r="BF958" s="54" t="s">
        <v>74</v>
      </c>
      <c r="BG958" s="54" t="s">
        <v>74</v>
      </c>
      <c r="BH958" s="52">
        <v>0</v>
      </c>
      <c r="BI958" s="52">
        <v>1320398.6000000001</v>
      </c>
      <c r="BJ958" s="52">
        <v>1320398.6000000001</v>
      </c>
      <c r="BK958" s="56">
        <v>43922</v>
      </c>
      <c r="BL958" s="57">
        <v>1320398.6000000001</v>
      </c>
      <c r="BM958" s="47">
        <v>0</v>
      </c>
      <c r="BN958" s="9"/>
      <c r="BO958" s="9"/>
      <c r="BP958" s="9"/>
      <c r="BQ958" s="9"/>
      <c r="BR958" s="9"/>
      <c r="BS958" s="9"/>
      <c r="BT958" s="9"/>
      <c r="BU958" s="9"/>
      <c r="BV958" s="9"/>
      <c r="BW958" s="9"/>
    </row>
    <row r="959" spans="1:75" ht="64.5" hidden="1" outlineLevel="2" x14ac:dyDescent="0.25">
      <c r="A959" s="43" t="s">
        <v>1009</v>
      </c>
      <c r="B959" s="110" t="s">
        <v>1010</v>
      </c>
      <c r="C959" s="45">
        <v>2020</v>
      </c>
      <c r="D959" s="110" t="s">
        <v>81</v>
      </c>
      <c r="E959" s="47">
        <v>1843527.92</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1843527.92</v>
      </c>
      <c r="Z959" s="58">
        <v>484636.96</v>
      </c>
      <c r="AA959" s="50">
        <v>484636.96</v>
      </c>
      <c r="AB959" s="50">
        <v>2700.49</v>
      </c>
      <c r="AC959" s="50">
        <v>0</v>
      </c>
      <c r="AD959" s="62">
        <v>4888.92</v>
      </c>
      <c r="AE959" s="50">
        <v>0</v>
      </c>
      <c r="AF959" s="50">
        <v>0</v>
      </c>
      <c r="AG959" s="49">
        <v>492226.37</v>
      </c>
      <c r="AH959" s="51" t="s">
        <v>104</v>
      </c>
      <c r="AI959" s="51" t="s">
        <v>389</v>
      </c>
      <c r="AJ959" s="51" t="s">
        <v>74</v>
      </c>
      <c r="AK959" s="51" t="s">
        <v>1052</v>
      </c>
      <c r="AL959" s="51" t="s">
        <v>74</v>
      </c>
      <c r="AM959" s="51" t="s">
        <v>74</v>
      </c>
      <c r="AN959" s="52">
        <v>0</v>
      </c>
      <c r="AO959" s="52">
        <v>0</v>
      </c>
      <c r="AP959" s="52">
        <v>0</v>
      </c>
      <c r="AQ959" s="52">
        <v>0</v>
      </c>
      <c r="AR959" s="52">
        <v>0</v>
      </c>
      <c r="AS959" s="52">
        <v>0</v>
      </c>
      <c r="AT959" s="53" t="s">
        <v>74</v>
      </c>
      <c r="AU959" s="52">
        <v>0</v>
      </c>
      <c r="AV959" s="52"/>
      <c r="AW959" s="52">
        <v>0</v>
      </c>
      <c r="AX959" s="52"/>
      <c r="AY959" s="52"/>
      <c r="AZ959" s="52">
        <v>0</v>
      </c>
      <c r="BA959" s="52">
        <v>0</v>
      </c>
      <c r="BB959" s="54" t="s">
        <v>74</v>
      </c>
      <c r="BC959" s="54" t="s">
        <v>74</v>
      </c>
      <c r="BD959" s="54" t="s">
        <v>74</v>
      </c>
      <c r="BE959" s="54" t="s">
        <v>74</v>
      </c>
      <c r="BF959" s="54" t="s">
        <v>74</v>
      </c>
      <c r="BG959" s="54" t="s">
        <v>74</v>
      </c>
      <c r="BH959" s="52">
        <v>0</v>
      </c>
      <c r="BI959" s="52">
        <v>1351301.55</v>
      </c>
      <c r="BJ959" s="52">
        <v>1351301.55</v>
      </c>
      <c r="BK959" s="56">
        <v>43952</v>
      </c>
      <c r="BL959" s="57">
        <v>1351301.55</v>
      </c>
      <c r="BM959" s="47">
        <v>0</v>
      </c>
      <c r="BN959" s="9"/>
      <c r="BO959" s="9"/>
      <c r="BP959" s="9"/>
      <c r="BQ959" s="9"/>
      <c r="BR959" s="9"/>
      <c r="BS959" s="9"/>
      <c r="BT959" s="9"/>
      <c r="BU959" s="9"/>
      <c r="BV959" s="9"/>
      <c r="BW959" s="9"/>
    </row>
    <row r="960" spans="1:75" ht="64.5" hidden="1" outlineLevel="2" x14ac:dyDescent="0.25">
      <c r="A960" s="43" t="s">
        <v>1009</v>
      </c>
      <c r="B960" s="110" t="s">
        <v>1010</v>
      </c>
      <c r="C960" s="45">
        <v>2020</v>
      </c>
      <c r="D960" s="110" t="s">
        <v>83</v>
      </c>
      <c r="E960" s="47">
        <v>1843527.92</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1843527.92</v>
      </c>
      <c r="Z960" s="58">
        <v>518447.55</v>
      </c>
      <c r="AA960" s="50">
        <v>518266.52</v>
      </c>
      <c r="AB960" s="50">
        <v>0</v>
      </c>
      <c r="AC960" s="50">
        <v>0</v>
      </c>
      <c r="AD960" s="62">
        <v>3892.5</v>
      </c>
      <c r="AE960" s="50">
        <v>0</v>
      </c>
      <c r="AF960" s="50">
        <v>0</v>
      </c>
      <c r="AG960" s="49">
        <v>522159.02</v>
      </c>
      <c r="AH960" s="51" t="s">
        <v>1053</v>
      </c>
      <c r="AI960" s="51" t="s">
        <v>74</v>
      </c>
      <c r="AJ960" s="51" t="s">
        <v>74</v>
      </c>
      <c r="AK960" s="51" t="s">
        <v>1054</v>
      </c>
      <c r="AL960" s="51" t="s">
        <v>74</v>
      </c>
      <c r="AM960" s="51" t="s">
        <v>74</v>
      </c>
      <c r="AN960" s="52">
        <v>0</v>
      </c>
      <c r="AO960" s="52">
        <v>0</v>
      </c>
      <c r="AP960" s="52">
        <v>0</v>
      </c>
      <c r="AQ960" s="52">
        <v>0</v>
      </c>
      <c r="AR960" s="52">
        <v>0</v>
      </c>
      <c r="AS960" s="52">
        <v>0</v>
      </c>
      <c r="AT960" s="53" t="s">
        <v>74</v>
      </c>
      <c r="AU960" s="52">
        <v>0</v>
      </c>
      <c r="AV960" s="52"/>
      <c r="AW960" s="52">
        <v>0</v>
      </c>
      <c r="AX960" s="52"/>
      <c r="AY960" s="52"/>
      <c r="AZ960" s="52">
        <v>0</v>
      </c>
      <c r="BA960" s="52">
        <v>0</v>
      </c>
      <c r="BB960" s="54" t="s">
        <v>74</v>
      </c>
      <c r="BC960" s="54" t="s">
        <v>74</v>
      </c>
      <c r="BD960" s="54" t="s">
        <v>74</v>
      </c>
      <c r="BE960" s="54" t="s">
        <v>74</v>
      </c>
      <c r="BF960" s="54" t="s">
        <v>74</v>
      </c>
      <c r="BG960" s="54" t="s">
        <v>74</v>
      </c>
      <c r="BH960" s="52">
        <v>0</v>
      </c>
      <c r="BI960" s="52">
        <v>1321368.8999999999</v>
      </c>
      <c r="BJ960" s="52">
        <v>1321368.8999999999</v>
      </c>
      <c r="BK960" s="56">
        <v>43983</v>
      </c>
      <c r="BL960" s="57">
        <v>1321368.8999999999</v>
      </c>
      <c r="BM960" s="47">
        <v>0</v>
      </c>
      <c r="BN960" s="9"/>
      <c r="BO960" s="9"/>
      <c r="BP960" s="9"/>
      <c r="BQ960" s="9"/>
      <c r="BR960" s="9"/>
      <c r="BS960" s="9"/>
      <c r="BT960" s="9"/>
      <c r="BU960" s="9"/>
      <c r="BV960" s="9"/>
      <c r="BW960" s="9"/>
    </row>
    <row r="961" spans="1:75" ht="64.5" hidden="1" outlineLevel="2" x14ac:dyDescent="0.25">
      <c r="A961" s="43" t="s">
        <v>1009</v>
      </c>
      <c r="B961" s="110" t="s">
        <v>1010</v>
      </c>
      <c r="C961" s="45">
        <v>2020</v>
      </c>
      <c r="D961" s="110" t="s">
        <v>84</v>
      </c>
      <c r="E961" s="47">
        <v>1843527.92</v>
      </c>
      <c r="F961" s="47">
        <v>0</v>
      </c>
      <c r="G961" s="47">
        <v>0</v>
      </c>
      <c r="H961" s="47">
        <v>0</v>
      </c>
      <c r="I961" s="47">
        <v>0</v>
      </c>
      <c r="J961" s="47">
        <v>0</v>
      </c>
      <c r="K961" s="47">
        <v>0</v>
      </c>
      <c r="L961" s="47">
        <v>0</v>
      </c>
      <c r="M961" s="47">
        <v>0</v>
      </c>
      <c r="N961" s="47">
        <v>0</v>
      </c>
      <c r="O961" s="47">
        <v>0</v>
      </c>
      <c r="P961" s="47">
        <v>0</v>
      </c>
      <c r="Q961" s="47">
        <v>0</v>
      </c>
      <c r="R961" s="47">
        <v>0</v>
      </c>
      <c r="S961" s="47">
        <v>0</v>
      </c>
      <c r="T961" s="47">
        <v>0</v>
      </c>
      <c r="U961" s="47">
        <v>0</v>
      </c>
      <c r="V961" s="47">
        <v>0</v>
      </c>
      <c r="W961" s="47">
        <v>0</v>
      </c>
      <c r="X961" s="47">
        <v>0</v>
      </c>
      <c r="Y961" s="48">
        <v>1843527.92</v>
      </c>
      <c r="Z961" s="66">
        <v>508195.29</v>
      </c>
      <c r="AA961" s="50">
        <v>506879.43</v>
      </c>
      <c r="AB961" s="50">
        <v>181.03</v>
      </c>
      <c r="AC961" s="62">
        <v>369.35</v>
      </c>
      <c r="AD961" s="62">
        <v>14910.24</v>
      </c>
      <c r="AE961" s="50">
        <v>0</v>
      </c>
      <c r="AF961" s="50">
        <v>0</v>
      </c>
      <c r="AG961" s="49">
        <v>522340.05</v>
      </c>
      <c r="AH961" s="51" t="s">
        <v>1055</v>
      </c>
      <c r="AI961" s="51" t="s">
        <v>924</v>
      </c>
      <c r="AJ961" s="51" t="s">
        <v>164</v>
      </c>
      <c r="AK961" s="51" t="s">
        <v>1056</v>
      </c>
      <c r="AL961" s="51" t="s">
        <v>74</v>
      </c>
      <c r="AM961" s="51" t="s">
        <v>74</v>
      </c>
      <c r="AN961" s="52">
        <v>0</v>
      </c>
      <c r="AO961" s="52">
        <v>0</v>
      </c>
      <c r="AP961" s="52">
        <v>0</v>
      </c>
      <c r="AQ961" s="52">
        <v>0</v>
      </c>
      <c r="AR961" s="52">
        <v>0</v>
      </c>
      <c r="AS961" s="52">
        <v>0</v>
      </c>
      <c r="AT961" s="53" t="s">
        <v>74</v>
      </c>
      <c r="AU961" s="52">
        <v>0</v>
      </c>
      <c r="AV961" s="52"/>
      <c r="AW961" s="52">
        <v>0</v>
      </c>
      <c r="AX961" s="52"/>
      <c r="AY961" s="52"/>
      <c r="AZ961" s="52">
        <v>0</v>
      </c>
      <c r="BA961" s="52">
        <v>0</v>
      </c>
      <c r="BB961" s="54" t="s">
        <v>74</v>
      </c>
      <c r="BC961" s="54" t="s">
        <v>74</v>
      </c>
      <c r="BD961" s="54" t="s">
        <v>74</v>
      </c>
      <c r="BE961" s="54" t="s">
        <v>74</v>
      </c>
      <c r="BF961" s="54" t="s">
        <v>74</v>
      </c>
      <c r="BG961" s="54" t="s">
        <v>74</v>
      </c>
      <c r="BH961" s="52">
        <v>0</v>
      </c>
      <c r="BI961" s="52">
        <v>1321187.8700000001</v>
      </c>
      <c r="BJ961" s="52">
        <v>1321187.8700000001</v>
      </c>
      <c r="BK961" s="56">
        <v>44013</v>
      </c>
      <c r="BL961" s="57">
        <v>1321187.8700000001</v>
      </c>
      <c r="BM961" s="47">
        <v>0</v>
      </c>
      <c r="BN961" s="9"/>
      <c r="BO961" s="9"/>
      <c r="BP961" s="9"/>
      <c r="BQ961" s="9"/>
      <c r="BR961" s="9"/>
      <c r="BS961" s="9"/>
      <c r="BT961" s="9"/>
      <c r="BU961" s="9"/>
      <c r="BV961" s="9"/>
      <c r="BW961" s="9"/>
    </row>
    <row r="962" spans="1:75" ht="64.5" hidden="1" outlineLevel="2" x14ac:dyDescent="0.25">
      <c r="A962" s="43" t="s">
        <v>1009</v>
      </c>
      <c r="B962" s="110" t="s">
        <v>1010</v>
      </c>
      <c r="C962" s="45">
        <v>2020</v>
      </c>
      <c r="D962" s="110" t="s">
        <v>86</v>
      </c>
      <c r="E962" s="47">
        <v>1843527.92</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1843527.92</v>
      </c>
      <c r="Z962" s="65">
        <v>540134.88</v>
      </c>
      <c r="AA962" s="50">
        <v>513895.78</v>
      </c>
      <c r="AB962" s="50">
        <v>1315.86</v>
      </c>
      <c r="AC962" s="62">
        <v>923.59</v>
      </c>
      <c r="AD962" s="62">
        <v>7339.65</v>
      </c>
      <c r="AE962" s="50">
        <v>0</v>
      </c>
      <c r="AF962" s="50">
        <v>0</v>
      </c>
      <c r="AG962" s="49">
        <v>523474.88</v>
      </c>
      <c r="AH962" s="51" t="s">
        <v>1057</v>
      </c>
      <c r="AI962" s="51" t="s">
        <v>926</v>
      </c>
      <c r="AJ962" s="51" t="s">
        <v>167</v>
      </c>
      <c r="AK962" s="51" t="s">
        <v>1058</v>
      </c>
      <c r="AL962" s="51" t="s">
        <v>74</v>
      </c>
      <c r="AM962" s="51" t="s">
        <v>74</v>
      </c>
      <c r="AN962" s="52">
        <v>0</v>
      </c>
      <c r="AO962" s="52">
        <v>0</v>
      </c>
      <c r="AP962" s="52">
        <v>0</v>
      </c>
      <c r="AQ962" s="52">
        <v>0</v>
      </c>
      <c r="AR962" s="52">
        <v>0</v>
      </c>
      <c r="AS962" s="52">
        <v>0</v>
      </c>
      <c r="AT962" s="53" t="s">
        <v>74</v>
      </c>
      <c r="AU962" s="52">
        <v>0</v>
      </c>
      <c r="AV962" s="52"/>
      <c r="AW962" s="52">
        <v>0</v>
      </c>
      <c r="AX962" s="52"/>
      <c r="AY962" s="52"/>
      <c r="AZ962" s="52">
        <v>0</v>
      </c>
      <c r="BA962" s="52">
        <v>0</v>
      </c>
      <c r="BB962" s="54" t="s">
        <v>74</v>
      </c>
      <c r="BC962" s="54" t="s">
        <v>74</v>
      </c>
      <c r="BD962" s="54" t="s">
        <v>74</v>
      </c>
      <c r="BE962" s="54" t="s">
        <v>74</v>
      </c>
      <c r="BF962" s="54" t="s">
        <v>74</v>
      </c>
      <c r="BG962" s="54" t="s">
        <v>74</v>
      </c>
      <c r="BH962" s="52">
        <v>0</v>
      </c>
      <c r="BI962" s="52">
        <v>1320053.04</v>
      </c>
      <c r="BJ962" s="52">
        <v>1320053.04</v>
      </c>
      <c r="BK962" s="56">
        <v>44044</v>
      </c>
      <c r="BL962" s="63">
        <v>1320053.04</v>
      </c>
      <c r="BM962" s="47">
        <v>0</v>
      </c>
      <c r="BN962" s="9"/>
      <c r="BO962" s="9"/>
      <c r="BP962" s="9"/>
      <c r="BQ962" s="9"/>
      <c r="BR962" s="9"/>
      <c r="BS962" s="9"/>
      <c r="BT962" s="9"/>
      <c r="BU962" s="9"/>
      <c r="BV962" s="9"/>
      <c r="BW962" s="9"/>
    </row>
    <row r="963" spans="1:75" ht="64.5" hidden="1" outlineLevel="2" x14ac:dyDescent="0.25">
      <c r="A963" s="43" t="s">
        <v>1009</v>
      </c>
      <c r="B963" s="110" t="s">
        <v>1010</v>
      </c>
      <c r="C963" s="45">
        <v>2020</v>
      </c>
      <c r="D963" s="110" t="s">
        <v>88</v>
      </c>
      <c r="E963" s="47">
        <v>1843527.92</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1843527.92</v>
      </c>
      <c r="Z963" s="65">
        <v>494738.86</v>
      </c>
      <c r="AA963" s="61">
        <v>494738.86</v>
      </c>
      <c r="AB963" s="50">
        <v>26239.1</v>
      </c>
      <c r="AC963" s="62">
        <v>369.35</v>
      </c>
      <c r="AD963" s="62">
        <v>5654.44</v>
      </c>
      <c r="AE963" s="50">
        <v>0</v>
      </c>
      <c r="AF963" s="50"/>
      <c r="AG963" s="49">
        <v>527001.75</v>
      </c>
      <c r="AH963" s="51" t="s">
        <v>104</v>
      </c>
      <c r="AI963" s="51" t="s">
        <v>1059</v>
      </c>
      <c r="AJ963" s="51" t="s">
        <v>169</v>
      </c>
      <c r="AK963" s="51" t="s">
        <v>1060</v>
      </c>
      <c r="AL963" s="51" t="s">
        <v>74</v>
      </c>
      <c r="AM963" s="51" t="s">
        <v>74</v>
      </c>
      <c r="AN963" s="52">
        <v>0</v>
      </c>
      <c r="AO963" s="52">
        <v>0</v>
      </c>
      <c r="AP963" s="52">
        <v>0</v>
      </c>
      <c r="AQ963" s="52">
        <v>0</v>
      </c>
      <c r="AR963" s="52">
        <v>0</v>
      </c>
      <c r="AS963" s="52">
        <v>0</v>
      </c>
      <c r="AT963" s="53" t="s">
        <v>74</v>
      </c>
      <c r="AU963" s="52">
        <v>0</v>
      </c>
      <c r="AV963" s="52"/>
      <c r="AW963" s="52">
        <v>0</v>
      </c>
      <c r="AX963" s="52"/>
      <c r="AY963" s="52"/>
      <c r="AZ963" s="52">
        <v>0</v>
      </c>
      <c r="BA963" s="52">
        <v>0</v>
      </c>
      <c r="BB963" s="54" t="s">
        <v>74</v>
      </c>
      <c r="BC963" s="54" t="s">
        <v>74</v>
      </c>
      <c r="BD963" s="54" t="s">
        <v>74</v>
      </c>
      <c r="BE963" s="54" t="s">
        <v>74</v>
      </c>
      <c r="BF963" s="54" t="s">
        <v>74</v>
      </c>
      <c r="BG963" s="54" t="s">
        <v>74</v>
      </c>
      <c r="BH963" s="52">
        <v>0</v>
      </c>
      <c r="BI963" s="52">
        <v>1316526.17</v>
      </c>
      <c r="BJ963" s="52">
        <v>1316526.17</v>
      </c>
      <c r="BK963" s="56">
        <v>44075</v>
      </c>
      <c r="BL963" s="63">
        <v>1283850.21</v>
      </c>
      <c r="BM963" s="47">
        <v>32675.96</v>
      </c>
      <c r="BN963" s="9"/>
      <c r="BO963" s="9"/>
      <c r="BP963" s="9"/>
      <c r="BQ963" s="9"/>
      <c r="BR963" s="9"/>
      <c r="BS963" s="9"/>
      <c r="BT963" s="9"/>
      <c r="BU963" s="9"/>
      <c r="BV963" s="9"/>
      <c r="BW963" s="9"/>
    </row>
    <row r="964" spans="1:75" ht="51.75" hidden="1" outlineLevel="2" x14ac:dyDescent="0.25">
      <c r="A964" s="43" t="s">
        <v>1009</v>
      </c>
      <c r="B964" s="110" t="s">
        <v>1010</v>
      </c>
      <c r="C964" s="45">
        <v>2020</v>
      </c>
      <c r="D964" s="110" t="s">
        <v>89</v>
      </c>
      <c r="E964" s="47">
        <v>1843527.92</v>
      </c>
      <c r="F964" s="47">
        <v>0</v>
      </c>
      <c r="G964" s="47">
        <v>0</v>
      </c>
      <c r="H964" s="47">
        <v>0</v>
      </c>
      <c r="I964" s="47">
        <v>0</v>
      </c>
      <c r="J964" s="47">
        <v>0</v>
      </c>
      <c r="K964" s="47">
        <v>0</v>
      </c>
      <c r="L964" s="47">
        <v>0</v>
      </c>
      <c r="M964" s="47">
        <v>0</v>
      </c>
      <c r="N964" s="47">
        <v>0</v>
      </c>
      <c r="O964" s="47">
        <v>0</v>
      </c>
      <c r="P964" s="47">
        <v>0</v>
      </c>
      <c r="Q964" s="47">
        <v>0</v>
      </c>
      <c r="R964" s="47">
        <v>0</v>
      </c>
      <c r="S964" s="47">
        <v>0</v>
      </c>
      <c r="T964" s="47">
        <v>0</v>
      </c>
      <c r="U964" s="47">
        <v>0</v>
      </c>
      <c r="V964" s="47">
        <v>0</v>
      </c>
      <c r="W964" s="47">
        <v>0</v>
      </c>
      <c r="X964" s="47">
        <v>0</v>
      </c>
      <c r="Y964" s="48">
        <v>1843527.92</v>
      </c>
      <c r="Z964" s="66">
        <v>562915</v>
      </c>
      <c r="AA964" s="62">
        <v>562915</v>
      </c>
      <c r="AB964" s="50">
        <v>0</v>
      </c>
      <c r="AC964" s="62">
        <v>2168.2600000000002</v>
      </c>
      <c r="AD964" s="62">
        <v>5324.55</v>
      </c>
      <c r="AE964" s="50">
        <v>0</v>
      </c>
      <c r="AF964" s="50"/>
      <c r="AG964" s="49">
        <v>570407.81000000006</v>
      </c>
      <c r="AH964" s="51" t="s">
        <v>104</v>
      </c>
      <c r="AI964" s="51" t="s">
        <v>74</v>
      </c>
      <c r="AJ964" s="51" t="s">
        <v>171</v>
      </c>
      <c r="AK964" s="51" t="s">
        <v>1061</v>
      </c>
      <c r="AL964" s="51" t="s">
        <v>74</v>
      </c>
      <c r="AM964" s="51" t="s">
        <v>74</v>
      </c>
      <c r="AN964" s="52">
        <v>0</v>
      </c>
      <c r="AO964" s="52">
        <v>0</v>
      </c>
      <c r="AP964" s="52">
        <v>0</v>
      </c>
      <c r="AQ964" s="52">
        <v>0</v>
      </c>
      <c r="AR964" s="52">
        <v>0</v>
      </c>
      <c r="AS964" s="52">
        <v>0</v>
      </c>
      <c r="AT964" s="53" t="s">
        <v>74</v>
      </c>
      <c r="AU964" s="52">
        <v>0</v>
      </c>
      <c r="AV964" s="52"/>
      <c r="AW964" s="52">
        <v>0</v>
      </c>
      <c r="AX964" s="52"/>
      <c r="AY964" s="52"/>
      <c r="AZ964" s="52">
        <v>0</v>
      </c>
      <c r="BA964" s="52">
        <v>0</v>
      </c>
      <c r="BB964" s="54" t="s">
        <v>74</v>
      </c>
      <c r="BC964" s="54" t="s">
        <v>74</v>
      </c>
      <c r="BD964" s="54" t="s">
        <v>74</v>
      </c>
      <c r="BE964" s="54" t="s">
        <v>74</v>
      </c>
      <c r="BF964" s="54" t="s">
        <v>74</v>
      </c>
      <c r="BG964" s="54" t="s">
        <v>74</v>
      </c>
      <c r="BH964" s="52">
        <v>0</v>
      </c>
      <c r="BI964" s="52">
        <v>1273120.1100000001</v>
      </c>
      <c r="BJ964" s="52">
        <v>1273120.1100000001</v>
      </c>
      <c r="BK964" s="56">
        <v>44105</v>
      </c>
      <c r="BL964" s="63">
        <v>524035.72</v>
      </c>
      <c r="BM964" s="47">
        <v>749084.39</v>
      </c>
      <c r="BN964" s="9"/>
      <c r="BO964" s="9"/>
      <c r="BP964" s="9"/>
      <c r="BQ964" s="9"/>
      <c r="BR964" s="9"/>
      <c r="BS964" s="9"/>
      <c r="BT964" s="9"/>
      <c r="BU964" s="9"/>
      <c r="BV964" s="9"/>
      <c r="BW964" s="9"/>
    </row>
    <row r="965" spans="1:75" ht="51.75" hidden="1" outlineLevel="2" x14ac:dyDescent="0.25">
      <c r="A965" s="43" t="s">
        <v>1009</v>
      </c>
      <c r="B965" s="110" t="s">
        <v>1010</v>
      </c>
      <c r="C965" s="45">
        <v>2020</v>
      </c>
      <c r="D965" s="110" t="s">
        <v>90</v>
      </c>
      <c r="E965" s="47">
        <v>1843527.92</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1843527.92</v>
      </c>
      <c r="Z965" s="66">
        <v>526083</v>
      </c>
      <c r="AA965" s="62">
        <v>526083</v>
      </c>
      <c r="AB965" s="50">
        <v>0</v>
      </c>
      <c r="AC965" s="62">
        <v>358.79</v>
      </c>
      <c r="AD965" s="62">
        <v>5687.16</v>
      </c>
      <c r="AE965" s="50">
        <v>0</v>
      </c>
      <c r="AF965" s="50"/>
      <c r="AG965" s="49">
        <v>532128.94999999995</v>
      </c>
      <c r="AH965" s="51" t="s">
        <v>104</v>
      </c>
      <c r="AI965" s="51" t="s">
        <v>74</v>
      </c>
      <c r="AJ965" s="51" t="s">
        <v>174</v>
      </c>
      <c r="AK965" s="51" t="s">
        <v>1062</v>
      </c>
      <c r="AL965" s="51" t="s">
        <v>74</v>
      </c>
      <c r="AM965" s="51" t="s">
        <v>74</v>
      </c>
      <c r="AN965" s="52">
        <v>0</v>
      </c>
      <c r="AO965" s="52">
        <v>0</v>
      </c>
      <c r="AP965" s="52">
        <v>0</v>
      </c>
      <c r="AQ965" s="52">
        <v>0</v>
      </c>
      <c r="AR965" s="52">
        <v>0</v>
      </c>
      <c r="AS965" s="52">
        <v>0</v>
      </c>
      <c r="AT965" s="53" t="s">
        <v>74</v>
      </c>
      <c r="AU965" s="52">
        <v>0</v>
      </c>
      <c r="AV965" s="52"/>
      <c r="AW965" s="52">
        <v>0</v>
      </c>
      <c r="AX965" s="52"/>
      <c r="AY965" s="52"/>
      <c r="AZ965" s="52">
        <v>0</v>
      </c>
      <c r="BA965" s="52">
        <v>0</v>
      </c>
      <c r="BB965" s="54" t="s">
        <v>74</v>
      </c>
      <c r="BC965" s="54" t="s">
        <v>74</v>
      </c>
      <c r="BD965" s="54" t="s">
        <v>74</v>
      </c>
      <c r="BE965" s="54" t="s">
        <v>74</v>
      </c>
      <c r="BF965" s="54" t="s">
        <v>74</v>
      </c>
      <c r="BG965" s="54" t="s">
        <v>74</v>
      </c>
      <c r="BH965" s="52">
        <v>0</v>
      </c>
      <c r="BI965" s="52">
        <v>1311398.97</v>
      </c>
      <c r="BJ965" s="52">
        <v>1311398.97</v>
      </c>
      <c r="BK965" s="56">
        <v>44136</v>
      </c>
      <c r="BL965" s="57"/>
      <c r="BM965" s="47">
        <v>1311398.97</v>
      </c>
      <c r="BN965" s="9"/>
      <c r="BO965" s="9"/>
      <c r="BP965" s="9"/>
      <c r="BQ965" s="9"/>
      <c r="BR965" s="9"/>
      <c r="BS965" s="9"/>
      <c r="BT965" s="9"/>
      <c r="BU965" s="9"/>
      <c r="BV965" s="9"/>
      <c r="BW965" s="9"/>
    </row>
    <row r="966" spans="1:75" ht="77.25" hidden="1" outlineLevel="2" x14ac:dyDescent="0.25">
      <c r="A966" s="43" t="s">
        <v>1009</v>
      </c>
      <c r="B966" s="110" t="s">
        <v>1010</v>
      </c>
      <c r="C966" s="45">
        <v>2020</v>
      </c>
      <c r="D966" s="110" t="s">
        <v>93</v>
      </c>
      <c r="E966" s="47">
        <v>1843527.92</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1843527.92</v>
      </c>
      <c r="Z966" s="67">
        <v>512437.47</v>
      </c>
      <c r="AA966" s="62">
        <v>512437.47</v>
      </c>
      <c r="AB966" s="50">
        <v>0</v>
      </c>
      <c r="AC966" s="62">
        <v>369.35</v>
      </c>
      <c r="AD966" s="62">
        <v>8393.17</v>
      </c>
      <c r="AE966" s="50">
        <v>0</v>
      </c>
      <c r="AF966" s="50"/>
      <c r="AG966" s="49">
        <v>521199.99</v>
      </c>
      <c r="AH966" s="51" t="s">
        <v>104</v>
      </c>
      <c r="AI966" s="51" t="s">
        <v>74</v>
      </c>
      <c r="AJ966" s="51" t="s">
        <v>176</v>
      </c>
      <c r="AK966" s="51" t="s">
        <v>1063</v>
      </c>
      <c r="AL966" s="51" t="s">
        <v>74</v>
      </c>
      <c r="AM966" s="51" t="s">
        <v>74</v>
      </c>
      <c r="AN966" s="52">
        <v>0</v>
      </c>
      <c r="AO966" s="52">
        <v>0</v>
      </c>
      <c r="AP966" s="52">
        <v>0</v>
      </c>
      <c r="AQ966" s="52">
        <v>0</v>
      </c>
      <c r="AR966" s="52">
        <v>0</v>
      </c>
      <c r="AS966" s="52">
        <v>0</v>
      </c>
      <c r="AT966" s="53" t="s">
        <v>74</v>
      </c>
      <c r="AU966" s="52">
        <v>0</v>
      </c>
      <c r="AV966" s="52"/>
      <c r="AW966" s="52">
        <v>0</v>
      </c>
      <c r="AX966" s="52"/>
      <c r="AY966" s="52"/>
      <c r="AZ966" s="52">
        <v>0</v>
      </c>
      <c r="BA966" s="52">
        <v>0</v>
      </c>
      <c r="BB966" s="54" t="s">
        <v>74</v>
      </c>
      <c r="BC966" s="54" t="s">
        <v>74</v>
      </c>
      <c r="BD966" s="54" t="s">
        <v>74</v>
      </c>
      <c r="BE966" s="54" t="s">
        <v>74</v>
      </c>
      <c r="BF966" s="54" t="s">
        <v>74</v>
      </c>
      <c r="BG966" s="54" t="s">
        <v>74</v>
      </c>
      <c r="BH966" s="52">
        <v>0</v>
      </c>
      <c r="BI966" s="52">
        <v>1322327.93</v>
      </c>
      <c r="BJ966" s="52">
        <v>1322327.93</v>
      </c>
      <c r="BK966" s="56">
        <v>44166</v>
      </c>
      <c r="BL966" s="57"/>
      <c r="BM966" s="47">
        <v>1322327.93</v>
      </c>
      <c r="BN966" s="9"/>
      <c r="BO966" s="9"/>
      <c r="BP966" s="9"/>
      <c r="BQ966" s="9"/>
      <c r="BR966" s="9"/>
      <c r="BS966" s="9"/>
      <c r="BT966" s="9"/>
      <c r="BU966" s="9"/>
      <c r="BV966" s="9"/>
      <c r="BW966" s="9"/>
    </row>
    <row r="967" spans="1:75" ht="51.75" hidden="1" outlineLevel="2" x14ac:dyDescent="0.25">
      <c r="A967" s="43" t="s">
        <v>1009</v>
      </c>
      <c r="B967" s="110" t="s">
        <v>1010</v>
      </c>
      <c r="C967" s="45">
        <v>2021</v>
      </c>
      <c r="D967" s="110" t="s">
        <v>73</v>
      </c>
      <c r="E967" s="47">
        <v>1843527.92</v>
      </c>
      <c r="F967" s="47">
        <v>0</v>
      </c>
      <c r="G967" s="47">
        <v>0</v>
      </c>
      <c r="H967" s="47">
        <v>0</v>
      </c>
      <c r="I967" s="47">
        <v>0</v>
      </c>
      <c r="J967" s="47">
        <v>0</v>
      </c>
      <c r="K967" s="47">
        <v>0</v>
      </c>
      <c r="L967" s="47">
        <v>0</v>
      </c>
      <c r="M967" s="47">
        <v>0</v>
      </c>
      <c r="N967" s="47">
        <v>0</v>
      </c>
      <c r="O967" s="47">
        <v>0</v>
      </c>
      <c r="P967" s="47">
        <v>0</v>
      </c>
      <c r="Q967" s="47">
        <v>0</v>
      </c>
      <c r="R967" s="47">
        <v>0</v>
      </c>
      <c r="S967" s="47">
        <v>0</v>
      </c>
      <c r="T967" s="47">
        <v>0</v>
      </c>
      <c r="U967" s="47">
        <v>0</v>
      </c>
      <c r="V967" s="47">
        <v>0</v>
      </c>
      <c r="W967" s="47">
        <v>0</v>
      </c>
      <c r="X967" s="47">
        <v>0</v>
      </c>
      <c r="Y967" s="48">
        <f t="shared" ref="Y967:Y976" si="162">SUM(E967:X967)</f>
        <v>1843527.92</v>
      </c>
      <c r="Z967" s="66">
        <v>497020.47</v>
      </c>
      <c r="AA967" s="62">
        <v>497020.47</v>
      </c>
      <c r="AB967" s="50">
        <v>0</v>
      </c>
      <c r="AC967" s="62">
        <v>283.12</v>
      </c>
      <c r="AD967" s="62">
        <v>2097.86</v>
      </c>
      <c r="AE967" s="50">
        <v>0</v>
      </c>
      <c r="AF967" s="50"/>
      <c r="AG967" s="49">
        <f t="shared" ref="AG967:AG976" si="163">SUM(AA967:AF967)</f>
        <v>499401.44999999995</v>
      </c>
      <c r="AH967" s="51" t="s">
        <v>104</v>
      </c>
      <c r="AI967" s="51" t="s">
        <v>74</v>
      </c>
      <c r="AJ967" s="51" t="s">
        <v>178</v>
      </c>
      <c r="AK967" s="51" t="s">
        <v>1064</v>
      </c>
      <c r="AL967" s="51" t="s">
        <v>74</v>
      </c>
      <c r="AM967" s="51" t="s">
        <v>74</v>
      </c>
      <c r="AN967" s="52">
        <v>0</v>
      </c>
      <c r="AO967" s="52">
        <v>0</v>
      </c>
      <c r="AP967" s="52">
        <v>0</v>
      </c>
      <c r="AQ967" s="52">
        <v>0</v>
      </c>
      <c r="AR967" s="52">
        <v>0</v>
      </c>
      <c r="AS967" s="52">
        <f t="shared" ref="AS967:AS976" si="164">AN967+AO967+AP967+AQ967+AR967</f>
        <v>0</v>
      </c>
      <c r="AT967" s="53" t="s">
        <v>74</v>
      </c>
      <c r="AU967" s="52">
        <v>0</v>
      </c>
      <c r="AV967" s="52"/>
      <c r="AW967" s="52">
        <v>0</v>
      </c>
      <c r="AX967" s="52"/>
      <c r="AY967" s="52"/>
      <c r="AZ967" s="52">
        <v>0</v>
      </c>
      <c r="BA967" s="52">
        <f t="shared" ref="BA967:BA976" si="165">AU967+AW967+AX967+AZ967</f>
        <v>0</v>
      </c>
      <c r="BB967" s="54" t="s">
        <v>74</v>
      </c>
      <c r="BC967" s="54" t="s">
        <v>74</v>
      </c>
      <c r="BD967" s="54" t="s">
        <v>74</v>
      </c>
      <c r="BE967" s="54" t="s">
        <v>74</v>
      </c>
      <c r="BF967" s="54" t="s">
        <v>74</v>
      </c>
      <c r="BG967" s="54" t="s">
        <v>74</v>
      </c>
      <c r="BH967" s="52">
        <f t="shared" ref="BH967:BH976" si="166">AS967+BA967</f>
        <v>0</v>
      </c>
      <c r="BI967" s="52">
        <f t="shared" ref="BI967:BI976" si="167">Y967-AG967+BH967</f>
        <v>1344126.47</v>
      </c>
      <c r="BJ967" s="52">
        <v>1344126.47</v>
      </c>
      <c r="BK967" s="56">
        <v>44197</v>
      </c>
      <c r="BL967" s="63">
        <v>1344126.47</v>
      </c>
      <c r="BM967" s="47">
        <v>0</v>
      </c>
      <c r="BN967" s="9"/>
      <c r="BO967" s="9"/>
      <c r="BP967" s="9"/>
      <c r="BQ967" s="9"/>
      <c r="BR967" s="9"/>
      <c r="BS967" s="9"/>
      <c r="BT967" s="9"/>
      <c r="BU967" s="9"/>
      <c r="BV967" s="9"/>
      <c r="BW967" s="9"/>
    </row>
    <row r="968" spans="1:75" ht="51.75" hidden="1" outlineLevel="2" x14ac:dyDescent="0.25">
      <c r="A968" s="43" t="s">
        <v>1009</v>
      </c>
      <c r="B968" s="110" t="s">
        <v>1010</v>
      </c>
      <c r="C968" s="45">
        <v>2021</v>
      </c>
      <c r="D968" s="110" t="s">
        <v>75</v>
      </c>
      <c r="E968" s="47">
        <v>1843527.92</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f t="shared" si="162"/>
        <v>1843527.92</v>
      </c>
      <c r="Z968" s="66">
        <v>491956.93</v>
      </c>
      <c r="AA968" s="62">
        <v>491956.93</v>
      </c>
      <c r="AB968" s="50">
        <v>0</v>
      </c>
      <c r="AC968" s="50">
        <v>0</v>
      </c>
      <c r="AD968" s="62">
        <v>4702.25</v>
      </c>
      <c r="AE968" s="50">
        <v>0</v>
      </c>
      <c r="AF968" s="50"/>
      <c r="AG968" s="49">
        <f t="shared" si="163"/>
        <v>496659.18</v>
      </c>
      <c r="AH968" s="51" t="s">
        <v>104</v>
      </c>
      <c r="AI968" s="51" t="s">
        <v>74</v>
      </c>
      <c r="AJ968" s="51" t="s">
        <v>74</v>
      </c>
      <c r="AK968" s="51" t="s">
        <v>1065</v>
      </c>
      <c r="AL968" s="51" t="s">
        <v>74</v>
      </c>
      <c r="AM968" s="51" t="s">
        <v>74</v>
      </c>
      <c r="AN968" s="52">
        <v>0</v>
      </c>
      <c r="AO968" s="52">
        <v>0</v>
      </c>
      <c r="AP968" s="52">
        <v>0</v>
      </c>
      <c r="AQ968" s="52">
        <v>0</v>
      </c>
      <c r="AR968" s="52">
        <v>0</v>
      </c>
      <c r="AS968" s="52">
        <f t="shared" si="164"/>
        <v>0</v>
      </c>
      <c r="AT968" s="53" t="s">
        <v>74</v>
      </c>
      <c r="AU968" s="52">
        <v>0</v>
      </c>
      <c r="AV968" s="52"/>
      <c r="AW968" s="52">
        <v>0</v>
      </c>
      <c r="AX968" s="52"/>
      <c r="AY968" s="52"/>
      <c r="AZ968" s="52">
        <v>0</v>
      </c>
      <c r="BA968" s="52">
        <f t="shared" si="165"/>
        <v>0</v>
      </c>
      <c r="BB968" s="54" t="s">
        <v>74</v>
      </c>
      <c r="BC968" s="54" t="s">
        <v>74</v>
      </c>
      <c r="BD968" s="54" t="s">
        <v>74</v>
      </c>
      <c r="BE968" s="54" t="s">
        <v>74</v>
      </c>
      <c r="BF968" s="54" t="s">
        <v>74</v>
      </c>
      <c r="BG968" s="54" t="s">
        <v>74</v>
      </c>
      <c r="BH968" s="52">
        <f t="shared" si="166"/>
        <v>0</v>
      </c>
      <c r="BI968" s="52">
        <f t="shared" si="167"/>
        <v>1346868.74</v>
      </c>
      <c r="BJ968" s="52">
        <v>1346868.74</v>
      </c>
      <c r="BK968" s="56">
        <v>44228</v>
      </c>
      <c r="BL968" s="63">
        <v>1346868.74</v>
      </c>
      <c r="BM968" s="47">
        <v>0</v>
      </c>
      <c r="BN968" s="9"/>
      <c r="BO968" s="9"/>
      <c r="BP968" s="9"/>
      <c r="BQ968" s="9"/>
      <c r="BR968" s="9"/>
      <c r="BS968" s="9"/>
      <c r="BT968" s="9"/>
      <c r="BU968" s="9"/>
      <c r="BV968" s="9"/>
      <c r="BW968" s="9"/>
    </row>
    <row r="969" spans="1:75" ht="64.5" hidden="1" outlineLevel="2" x14ac:dyDescent="0.25">
      <c r="A969" s="43" t="s">
        <v>1009</v>
      </c>
      <c r="B969" s="110" t="s">
        <v>1010</v>
      </c>
      <c r="C969" s="45">
        <v>2021</v>
      </c>
      <c r="D969" s="110" t="s">
        <v>77</v>
      </c>
      <c r="E969" s="206">
        <v>1843527.92</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f t="shared" si="162"/>
        <v>1843527.92</v>
      </c>
      <c r="Z969" s="66">
        <v>472593.65</v>
      </c>
      <c r="AA969" s="62">
        <v>472593.65</v>
      </c>
      <c r="AB969" s="50">
        <v>0</v>
      </c>
      <c r="AC969" s="50">
        <v>0</v>
      </c>
      <c r="AD969" s="62">
        <v>6065.39</v>
      </c>
      <c r="AE969" s="50">
        <v>0</v>
      </c>
      <c r="AF969" s="50"/>
      <c r="AG969" s="49">
        <f t="shared" si="163"/>
        <v>478659.04000000004</v>
      </c>
      <c r="AH969" s="51" t="s">
        <v>104</v>
      </c>
      <c r="AI969" s="51" t="s">
        <v>74</v>
      </c>
      <c r="AJ969" s="51" t="s">
        <v>74</v>
      </c>
      <c r="AK969" s="51" t="s">
        <v>1066</v>
      </c>
      <c r="AL969" s="51" t="s">
        <v>74</v>
      </c>
      <c r="AM969" s="51" t="s">
        <v>74</v>
      </c>
      <c r="AN969" s="52">
        <v>0</v>
      </c>
      <c r="AO969" s="52">
        <v>0</v>
      </c>
      <c r="AP969" s="52">
        <v>0</v>
      </c>
      <c r="AQ969" s="52">
        <v>0</v>
      </c>
      <c r="AR969" s="52">
        <v>0</v>
      </c>
      <c r="AS969" s="52">
        <f t="shared" si="164"/>
        <v>0</v>
      </c>
      <c r="AT969" s="53" t="s">
        <v>74</v>
      </c>
      <c r="AU969" s="52">
        <v>0</v>
      </c>
      <c r="AV969" s="52"/>
      <c r="AW969" s="52">
        <v>0</v>
      </c>
      <c r="AX969" s="52"/>
      <c r="AY969" s="52"/>
      <c r="AZ969" s="52">
        <v>0</v>
      </c>
      <c r="BA969" s="52">
        <f t="shared" si="165"/>
        <v>0</v>
      </c>
      <c r="BB969" s="54" t="s">
        <v>74</v>
      </c>
      <c r="BC969" s="54" t="s">
        <v>74</v>
      </c>
      <c r="BD969" s="54" t="s">
        <v>74</v>
      </c>
      <c r="BE969" s="54" t="s">
        <v>74</v>
      </c>
      <c r="BF969" s="54" t="s">
        <v>74</v>
      </c>
      <c r="BG969" s="54" t="s">
        <v>74</v>
      </c>
      <c r="BH969" s="52">
        <f t="shared" si="166"/>
        <v>0</v>
      </c>
      <c r="BI969" s="52">
        <f t="shared" si="167"/>
        <v>1364868.88</v>
      </c>
      <c r="BJ969" s="52">
        <v>1364868.88</v>
      </c>
      <c r="BK969" s="56">
        <v>44256</v>
      </c>
      <c r="BL969" s="63">
        <v>1364868.88</v>
      </c>
      <c r="BM969" s="47">
        <v>0</v>
      </c>
      <c r="BN969" s="9"/>
      <c r="BO969" s="9"/>
      <c r="BP969" s="9"/>
      <c r="BQ969" s="9"/>
      <c r="BR969" s="9"/>
      <c r="BS969" s="9"/>
      <c r="BT969" s="9"/>
      <c r="BU969" s="9"/>
      <c r="BV969" s="9"/>
      <c r="BW969" s="9"/>
    </row>
    <row r="970" spans="1:75" ht="51.75" hidden="1" outlineLevel="2" x14ac:dyDescent="0.25">
      <c r="A970" s="43" t="s">
        <v>1009</v>
      </c>
      <c r="B970" s="110" t="s">
        <v>1010</v>
      </c>
      <c r="C970" s="45">
        <v>2021</v>
      </c>
      <c r="D970" s="110" t="s">
        <v>79</v>
      </c>
      <c r="E970" s="47">
        <v>1843527.92</v>
      </c>
      <c r="F970" s="47">
        <v>0</v>
      </c>
      <c r="G970" s="47">
        <v>0</v>
      </c>
      <c r="H970" s="47">
        <v>0</v>
      </c>
      <c r="I970" s="47">
        <v>0</v>
      </c>
      <c r="J970" s="47">
        <v>0</v>
      </c>
      <c r="K970" s="47">
        <v>0</v>
      </c>
      <c r="L970" s="47">
        <v>0</v>
      </c>
      <c r="M970" s="47">
        <v>0</v>
      </c>
      <c r="N970" s="47">
        <v>0</v>
      </c>
      <c r="O970" s="47">
        <v>0</v>
      </c>
      <c r="P970" s="47">
        <v>0</v>
      </c>
      <c r="Q970" s="47">
        <v>0</v>
      </c>
      <c r="R970" s="47">
        <v>0</v>
      </c>
      <c r="S970" s="47">
        <v>0</v>
      </c>
      <c r="T970" s="47">
        <v>0</v>
      </c>
      <c r="U970" s="47">
        <v>0</v>
      </c>
      <c r="V970" s="47">
        <v>0</v>
      </c>
      <c r="W970" s="47">
        <v>0</v>
      </c>
      <c r="X970" s="47">
        <v>0</v>
      </c>
      <c r="Y970" s="48">
        <f t="shared" si="162"/>
        <v>1843527.92</v>
      </c>
      <c r="Z970" s="66">
        <v>487927.47</v>
      </c>
      <c r="AA970" s="62">
        <v>487927.47</v>
      </c>
      <c r="AB970" s="50">
        <v>0</v>
      </c>
      <c r="AC970" s="50">
        <v>0</v>
      </c>
      <c r="AD970" s="62">
        <v>5821.06</v>
      </c>
      <c r="AE970" s="50">
        <v>0</v>
      </c>
      <c r="AF970" s="50"/>
      <c r="AG970" s="49">
        <f t="shared" si="163"/>
        <v>493748.52999999997</v>
      </c>
      <c r="AH970" s="51" t="s">
        <v>104</v>
      </c>
      <c r="AI970" s="51" t="s">
        <v>74</v>
      </c>
      <c r="AJ970" s="51" t="s">
        <v>74</v>
      </c>
      <c r="AK970" s="51" t="s">
        <v>1067</v>
      </c>
      <c r="AL970" s="51" t="s">
        <v>74</v>
      </c>
      <c r="AM970" s="51" t="s">
        <v>74</v>
      </c>
      <c r="AN970" s="52">
        <v>0</v>
      </c>
      <c r="AO970" s="52">
        <v>0</v>
      </c>
      <c r="AP970" s="52">
        <v>0</v>
      </c>
      <c r="AQ970" s="52">
        <v>0</v>
      </c>
      <c r="AR970" s="52">
        <v>0</v>
      </c>
      <c r="AS970" s="52">
        <f t="shared" si="164"/>
        <v>0</v>
      </c>
      <c r="AT970" s="53" t="s">
        <v>74</v>
      </c>
      <c r="AU970" s="52">
        <v>0</v>
      </c>
      <c r="AV970" s="52"/>
      <c r="AW970" s="52">
        <v>0</v>
      </c>
      <c r="AX970" s="52"/>
      <c r="AY970" s="52"/>
      <c r="AZ970" s="52">
        <v>0</v>
      </c>
      <c r="BA970" s="52">
        <f t="shared" si="165"/>
        <v>0</v>
      </c>
      <c r="BB970" s="54" t="s">
        <v>74</v>
      </c>
      <c r="BC970" s="54" t="s">
        <v>74</v>
      </c>
      <c r="BD970" s="54" t="s">
        <v>74</v>
      </c>
      <c r="BE970" s="54" t="s">
        <v>74</v>
      </c>
      <c r="BF970" s="54" t="s">
        <v>74</v>
      </c>
      <c r="BG970" s="54" t="s">
        <v>74</v>
      </c>
      <c r="BH970" s="52">
        <f t="shared" si="166"/>
        <v>0</v>
      </c>
      <c r="BI970" s="52">
        <f t="shared" si="167"/>
        <v>1349779.39</v>
      </c>
      <c r="BJ970" s="52">
        <v>1349779.39</v>
      </c>
      <c r="BK970" s="56">
        <v>44287</v>
      </c>
      <c r="BL970" s="63">
        <v>1349779.39</v>
      </c>
      <c r="BM970" s="47">
        <v>0</v>
      </c>
      <c r="BN970" s="9"/>
      <c r="BO970" s="9"/>
      <c r="BP970" s="9"/>
      <c r="BQ970" s="9"/>
      <c r="BR970" s="9"/>
      <c r="BS970" s="9"/>
      <c r="BT970" s="9"/>
      <c r="BU970" s="9"/>
      <c r="BV970" s="9"/>
      <c r="BW970" s="9"/>
    </row>
    <row r="971" spans="1:75" ht="51.75" hidden="1" outlineLevel="2" x14ac:dyDescent="0.25">
      <c r="A971" s="43" t="s">
        <v>1009</v>
      </c>
      <c r="B971" s="110" t="s">
        <v>1010</v>
      </c>
      <c r="C971" s="45">
        <v>2021</v>
      </c>
      <c r="D971" s="110" t="s">
        <v>81</v>
      </c>
      <c r="E971" s="47">
        <v>1843527.92</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f t="shared" si="162"/>
        <v>1843527.92</v>
      </c>
      <c r="Z971" s="66">
        <v>430837.81</v>
      </c>
      <c r="AA971" s="62">
        <v>430837.81</v>
      </c>
      <c r="AB971" s="50">
        <v>0</v>
      </c>
      <c r="AC971" s="50">
        <v>0</v>
      </c>
      <c r="AD971" s="62">
        <v>5819.22</v>
      </c>
      <c r="AE971" s="50">
        <v>0</v>
      </c>
      <c r="AF971" s="50"/>
      <c r="AG971" s="49">
        <f t="shared" si="163"/>
        <v>436657.02999999997</v>
      </c>
      <c r="AH971" s="51" t="s">
        <v>104</v>
      </c>
      <c r="AI971" s="51" t="s">
        <v>74</v>
      </c>
      <c r="AJ971" s="51" t="s">
        <v>74</v>
      </c>
      <c r="AK971" s="51" t="s">
        <v>1068</v>
      </c>
      <c r="AL971" s="51" t="s">
        <v>74</v>
      </c>
      <c r="AM971" s="51" t="s">
        <v>74</v>
      </c>
      <c r="AN971" s="52">
        <v>0</v>
      </c>
      <c r="AO971" s="52">
        <v>0</v>
      </c>
      <c r="AP971" s="52">
        <v>0</v>
      </c>
      <c r="AQ971" s="52">
        <v>0</v>
      </c>
      <c r="AR971" s="52">
        <v>0</v>
      </c>
      <c r="AS971" s="52">
        <f t="shared" si="164"/>
        <v>0</v>
      </c>
      <c r="AT971" s="53" t="s">
        <v>74</v>
      </c>
      <c r="AU971" s="52">
        <v>0</v>
      </c>
      <c r="AV971" s="52"/>
      <c r="AW971" s="52">
        <v>0</v>
      </c>
      <c r="AX971" s="52"/>
      <c r="AY971" s="52"/>
      <c r="AZ971" s="52">
        <v>0</v>
      </c>
      <c r="BA971" s="52">
        <f t="shared" si="165"/>
        <v>0</v>
      </c>
      <c r="BB971" s="54" t="s">
        <v>74</v>
      </c>
      <c r="BC971" s="54" t="s">
        <v>74</v>
      </c>
      <c r="BD971" s="54" t="s">
        <v>74</v>
      </c>
      <c r="BE971" s="54" t="s">
        <v>74</v>
      </c>
      <c r="BF971" s="54" t="s">
        <v>74</v>
      </c>
      <c r="BG971" s="54" t="s">
        <v>74</v>
      </c>
      <c r="BH971" s="52">
        <f t="shared" si="166"/>
        <v>0</v>
      </c>
      <c r="BI971" s="52">
        <f t="shared" si="167"/>
        <v>1406870.89</v>
      </c>
      <c r="BJ971" s="52">
        <v>1406870.89</v>
      </c>
      <c r="BK971" s="56">
        <v>44317</v>
      </c>
      <c r="BL971" s="63">
        <v>1406870.89</v>
      </c>
      <c r="BM971" s="47">
        <v>0</v>
      </c>
      <c r="BN971" s="9"/>
      <c r="BO971" s="9"/>
      <c r="BP971" s="9"/>
      <c r="BQ971" s="9"/>
      <c r="BR971" s="9"/>
      <c r="BS971" s="9"/>
      <c r="BT971" s="9"/>
      <c r="BU971" s="9"/>
      <c r="BV971" s="9"/>
      <c r="BW971" s="9"/>
    </row>
    <row r="972" spans="1:75" ht="36" hidden="1" customHeight="1" outlineLevel="2" x14ac:dyDescent="0.25">
      <c r="A972" s="43" t="s">
        <v>1009</v>
      </c>
      <c r="B972" s="110" t="s">
        <v>1010</v>
      </c>
      <c r="C972" s="45">
        <v>2021</v>
      </c>
      <c r="D972" s="110" t="s">
        <v>83</v>
      </c>
      <c r="E972" s="47">
        <v>1843527.92</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f t="shared" si="162"/>
        <v>1843527.92</v>
      </c>
      <c r="Z972" s="146">
        <v>407070.27</v>
      </c>
      <c r="AA972" s="147">
        <v>407070.27</v>
      </c>
      <c r="AB972" s="159">
        <v>0</v>
      </c>
      <c r="AC972" s="159">
        <v>0</v>
      </c>
      <c r="AD972" s="148">
        <v>6091.61</v>
      </c>
      <c r="AE972" s="50">
        <v>0</v>
      </c>
      <c r="AF972" s="50"/>
      <c r="AG972" s="49">
        <f t="shared" si="163"/>
        <v>413161.88</v>
      </c>
      <c r="AH972" s="51" t="s">
        <v>104</v>
      </c>
      <c r="AI972" s="51" t="s">
        <v>74</v>
      </c>
      <c r="AJ972" s="51" t="s">
        <v>74</v>
      </c>
      <c r="AK972" s="51" t="s">
        <v>1069</v>
      </c>
      <c r="AL972" s="51" t="s">
        <v>74</v>
      </c>
      <c r="AM972" s="51" t="s">
        <v>74</v>
      </c>
      <c r="AN972" s="52">
        <v>0</v>
      </c>
      <c r="AO972" s="52">
        <v>0</v>
      </c>
      <c r="AP972" s="52">
        <v>0</v>
      </c>
      <c r="AQ972" s="52">
        <v>0</v>
      </c>
      <c r="AR972" s="52">
        <v>0</v>
      </c>
      <c r="AS972" s="52">
        <f t="shared" si="164"/>
        <v>0</v>
      </c>
      <c r="AT972" s="53" t="s">
        <v>74</v>
      </c>
      <c r="AU972" s="52">
        <v>0</v>
      </c>
      <c r="AV972" s="52"/>
      <c r="AW972" s="52">
        <v>0</v>
      </c>
      <c r="AX972" s="52"/>
      <c r="AY972" s="52"/>
      <c r="AZ972" s="52">
        <v>0</v>
      </c>
      <c r="BA972" s="52">
        <f t="shared" si="165"/>
        <v>0</v>
      </c>
      <c r="BB972" s="54" t="s">
        <v>74</v>
      </c>
      <c r="BC972" s="54" t="s">
        <v>74</v>
      </c>
      <c r="BD972" s="54" t="s">
        <v>74</v>
      </c>
      <c r="BE972" s="54" t="s">
        <v>74</v>
      </c>
      <c r="BF972" s="54" t="s">
        <v>74</v>
      </c>
      <c r="BG972" s="54" t="s">
        <v>74</v>
      </c>
      <c r="BH972" s="52">
        <f t="shared" si="166"/>
        <v>0</v>
      </c>
      <c r="BI972" s="52">
        <f t="shared" si="167"/>
        <v>1430366.04</v>
      </c>
      <c r="BJ972" s="52">
        <f>Y972-AG972+AX972</f>
        <v>1430366.04</v>
      </c>
      <c r="BK972" s="56">
        <v>44348</v>
      </c>
      <c r="BL972" s="63">
        <f>1243527.92+186838.12</f>
        <v>1430366.04</v>
      </c>
      <c r="BM972" s="47">
        <v>0</v>
      </c>
      <c r="BN972" s="9"/>
      <c r="BO972" s="9"/>
      <c r="BP972" s="9"/>
      <c r="BQ972" s="9"/>
      <c r="BR972" s="9"/>
      <c r="BS972" s="9"/>
      <c r="BT972" s="9"/>
      <c r="BU972" s="9"/>
      <c r="BV972" s="9"/>
      <c r="BW972" s="9"/>
    </row>
    <row r="973" spans="1:75" ht="64.5" hidden="1" outlineLevel="2" x14ac:dyDescent="0.25">
      <c r="A973" s="43" t="s">
        <v>1009</v>
      </c>
      <c r="B973" s="110" t="s">
        <v>1010</v>
      </c>
      <c r="C973" s="45">
        <v>2021</v>
      </c>
      <c r="D973" s="110" t="s">
        <v>84</v>
      </c>
      <c r="E973" s="47">
        <v>1843527.92</v>
      </c>
      <c r="F973" s="47">
        <v>0</v>
      </c>
      <c r="G973" s="47">
        <v>0</v>
      </c>
      <c r="H973" s="47">
        <v>0</v>
      </c>
      <c r="I973" s="47">
        <v>0</v>
      </c>
      <c r="J973" s="47">
        <v>0</v>
      </c>
      <c r="K973" s="47">
        <v>0</v>
      </c>
      <c r="L973" s="47">
        <v>0</v>
      </c>
      <c r="M973" s="47">
        <v>0</v>
      </c>
      <c r="N973" s="47">
        <v>0</v>
      </c>
      <c r="O973" s="47">
        <v>0</v>
      </c>
      <c r="P973" s="47">
        <v>0</v>
      </c>
      <c r="Q973" s="47">
        <v>0</v>
      </c>
      <c r="R973" s="47">
        <v>0</v>
      </c>
      <c r="S973" s="47">
        <v>0</v>
      </c>
      <c r="T973" s="47">
        <v>0</v>
      </c>
      <c r="U973" s="47">
        <v>0</v>
      </c>
      <c r="V973" s="47">
        <v>0</v>
      </c>
      <c r="W973" s="47">
        <v>0</v>
      </c>
      <c r="X973" s="47">
        <v>0</v>
      </c>
      <c r="Y973" s="48">
        <f t="shared" si="162"/>
        <v>1843527.92</v>
      </c>
      <c r="Z973" s="185">
        <v>411544.52</v>
      </c>
      <c r="AA973" s="147">
        <v>411544.52</v>
      </c>
      <c r="AB973" s="50">
        <v>0</v>
      </c>
      <c r="AC973" s="50">
        <v>0</v>
      </c>
      <c r="AD973" s="148">
        <f>3916.53+2168.53</f>
        <v>6085.06</v>
      </c>
      <c r="AE973" s="50">
        <v>0</v>
      </c>
      <c r="AF973" s="50"/>
      <c r="AG973" s="49">
        <f t="shared" si="163"/>
        <v>417629.58</v>
      </c>
      <c r="AH973" s="51" t="s">
        <v>104</v>
      </c>
      <c r="AI973" s="51" t="s">
        <v>74</v>
      </c>
      <c r="AJ973" s="51" t="s">
        <v>74</v>
      </c>
      <c r="AK973" s="51" t="s">
        <v>1070</v>
      </c>
      <c r="AL973" s="51" t="s">
        <v>74</v>
      </c>
      <c r="AM973" s="51" t="s">
        <v>74</v>
      </c>
      <c r="AN973" s="52">
        <v>0</v>
      </c>
      <c r="AO973" s="52">
        <v>0</v>
      </c>
      <c r="AP973" s="52">
        <v>0</v>
      </c>
      <c r="AQ973" s="52">
        <v>0</v>
      </c>
      <c r="AR973" s="52">
        <v>0</v>
      </c>
      <c r="AS973" s="52">
        <f t="shared" si="164"/>
        <v>0</v>
      </c>
      <c r="AT973" s="53" t="s">
        <v>74</v>
      </c>
      <c r="AU973" s="52">
        <v>0</v>
      </c>
      <c r="AV973" s="52"/>
      <c r="AW973" s="52">
        <v>0</v>
      </c>
      <c r="AX973" s="52"/>
      <c r="AY973" s="52"/>
      <c r="AZ973" s="52">
        <v>0</v>
      </c>
      <c r="BA973" s="52">
        <f t="shared" si="165"/>
        <v>0</v>
      </c>
      <c r="BB973" s="54" t="s">
        <v>74</v>
      </c>
      <c r="BC973" s="54" t="s">
        <v>74</v>
      </c>
      <c r="BD973" s="54" t="s">
        <v>74</v>
      </c>
      <c r="BE973" s="54" t="s">
        <v>74</v>
      </c>
      <c r="BF973" s="54" t="s">
        <v>74</v>
      </c>
      <c r="BG973" s="54" t="s">
        <v>74</v>
      </c>
      <c r="BH973" s="52">
        <f t="shared" si="166"/>
        <v>0</v>
      </c>
      <c r="BI973" s="52">
        <f t="shared" si="167"/>
        <v>1425898.3399999999</v>
      </c>
      <c r="BJ973" s="52">
        <f>Y973-AG973+AX973</f>
        <v>1425898.3399999999</v>
      </c>
      <c r="BK973" s="56">
        <v>44378</v>
      </c>
      <c r="BL973" s="63">
        <f>1243527.92+182370.42</f>
        <v>1425898.3399999999</v>
      </c>
      <c r="BM973" s="47">
        <v>0</v>
      </c>
      <c r="BN973" s="9"/>
      <c r="BO973" s="9"/>
      <c r="BP973" s="9"/>
      <c r="BQ973" s="9"/>
      <c r="BR973" s="9"/>
      <c r="BS973" s="9"/>
      <c r="BT973" s="9"/>
      <c r="BU973" s="9"/>
      <c r="BV973" s="9"/>
      <c r="BW973" s="9"/>
    </row>
    <row r="974" spans="1:75" ht="26.25" hidden="1" outlineLevel="2" x14ac:dyDescent="0.25">
      <c r="A974" s="43" t="s">
        <v>1009</v>
      </c>
      <c r="B974" s="110" t="s">
        <v>1010</v>
      </c>
      <c r="C974" s="45">
        <v>2021</v>
      </c>
      <c r="D974" s="110" t="s">
        <v>86</v>
      </c>
      <c r="E974" s="47">
        <v>1843527.92</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f t="shared" si="162"/>
        <v>1843527.92</v>
      </c>
      <c r="Z974" s="146">
        <v>393233.14</v>
      </c>
      <c r="AA974" s="147">
        <v>393233.14</v>
      </c>
      <c r="AB974" s="50">
        <v>0</v>
      </c>
      <c r="AC974" s="50">
        <v>0</v>
      </c>
      <c r="AD974" s="148">
        <f>3340.59+2256.86</f>
        <v>5597.4500000000007</v>
      </c>
      <c r="AE974" s="50">
        <v>0</v>
      </c>
      <c r="AF974" s="50"/>
      <c r="AG974" s="49">
        <f t="shared" si="163"/>
        <v>398830.59</v>
      </c>
      <c r="AH974" s="51" t="s">
        <v>104</v>
      </c>
      <c r="AI974" s="51" t="s">
        <v>74</v>
      </c>
      <c r="AJ974" s="51" t="s">
        <v>74</v>
      </c>
      <c r="AK974" s="51" t="s">
        <v>1071</v>
      </c>
      <c r="AL974" s="51" t="s">
        <v>74</v>
      </c>
      <c r="AM974" s="51" t="s">
        <v>74</v>
      </c>
      <c r="AN974" s="52">
        <v>0</v>
      </c>
      <c r="AO974" s="52">
        <v>0</v>
      </c>
      <c r="AP974" s="52">
        <v>0</v>
      </c>
      <c r="AQ974" s="52">
        <v>0</v>
      </c>
      <c r="AR974" s="52">
        <v>0</v>
      </c>
      <c r="AS974" s="52">
        <f t="shared" si="164"/>
        <v>0</v>
      </c>
      <c r="AT974" s="53" t="s">
        <v>74</v>
      </c>
      <c r="AU974" s="52">
        <v>0</v>
      </c>
      <c r="AV974" s="52"/>
      <c r="AW974" s="52">
        <v>0</v>
      </c>
      <c r="AX974" s="52"/>
      <c r="AY974" s="52"/>
      <c r="AZ974" s="52">
        <v>0</v>
      </c>
      <c r="BA974" s="52">
        <f t="shared" si="165"/>
        <v>0</v>
      </c>
      <c r="BB974" s="54" t="s">
        <v>74</v>
      </c>
      <c r="BC974" s="54" t="s">
        <v>74</v>
      </c>
      <c r="BD974" s="54" t="s">
        <v>74</v>
      </c>
      <c r="BE974" s="54" t="s">
        <v>74</v>
      </c>
      <c r="BF974" s="54" t="s">
        <v>74</v>
      </c>
      <c r="BG974" s="54" t="s">
        <v>74</v>
      </c>
      <c r="BH974" s="52">
        <f t="shared" si="166"/>
        <v>0</v>
      </c>
      <c r="BI974" s="52">
        <f t="shared" si="167"/>
        <v>1444697.3299999998</v>
      </c>
      <c r="BJ974" s="52">
        <f>Y974-AG974+AX974</f>
        <v>1444697.3299999998</v>
      </c>
      <c r="BK974" s="56">
        <v>44409</v>
      </c>
      <c r="BL974" s="57">
        <f>1137255.58+106272.34+201169.41</f>
        <v>1444697.33</v>
      </c>
      <c r="BM974" s="47">
        <v>0</v>
      </c>
      <c r="BN974" s="9"/>
      <c r="BO974" s="9"/>
      <c r="BP974" s="9"/>
      <c r="BQ974" s="9"/>
      <c r="BR974" s="9"/>
      <c r="BS974" s="9"/>
      <c r="BT974" s="9"/>
      <c r="BU974" s="9"/>
      <c r="BV974" s="9"/>
      <c r="BW974" s="9"/>
    </row>
    <row r="975" spans="1:75" hidden="1" outlineLevel="2" x14ac:dyDescent="0.25">
      <c r="A975" s="43" t="s">
        <v>1009</v>
      </c>
      <c r="B975" s="110" t="s">
        <v>1010</v>
      </c>
      <c r="C975" s="45">
        <v>2021</v>
      </c>
      <c r="D975" s="110" t="s">
        <v>88</v>
      </c>
      <c r="E975" s="47">
        <v>1843527.92</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f t="shared" si="162"/>
        <v>1843527.92</v>
      </c>
      <c r="Z975" s="133">
        <v>0</v>
      </c>
      <c r="AA975" s="50">
        <v>600000</v>
      </c>
      <c r="AB975" s="50">
        <v>0</v>
      </c>
      <c r="AC975" s="50">
        <v>0</v>
      </c>
      <c r="AD975" s="50">
        <v>0</v>
      </c>
      <c r="AE975" s="50">
        <v>0</v>
      </c>
      <c r="AF975" s="50"/>
      <c r="AG975" s="49">
        <f t="shared" si="163"/>
        <v>600000</v>
      </c>
      <c r="AH975" s="51" t="s">
        <v>595</v>
      </c>
      <c r="AI975" s="51" t="s">
        <v>74</v>
      </c>
      <c r="AJ975" s="51" t="s">
        <v>74</v>
      </c>
      <c r="AK975" s="51"/>
      <c r="AL975" s="51" t="s">
        <v>74</v>
      </c>
      <c r="AM975" s="51" t="s">
        <v>74</v>
      </c>
      <c r="AN975" s="52">
        <v>0</v>
      </c>
      <c r="AO975" s="52">
        <v>0</v>
      </c>
      <c r="AP975" s="52">
        <v>0</v>
      </c>
      <c r="AQ975" s="52">
        <v>0</v>
      </c>
      <c r="AR975" s="52">
        <v>0</v>
      </c>
      <c r="AS975" s="52">
        <f t="shared" si="164"/>
        <v>0</v>
      </c>
      <c r="AT975" s="53" t="s">
        <v>74</v>
      </c>
      <c r="AU975" s="52">
        <v>0</v>
      </c>
      <c r="AV975" s="52"/>
      <c r="AW975" s="52">
        <v>0</v>
      </c>
      <c r="AX975" s="52"/>
      <c r="AY975" s="52"/>
      <c r="AZ975" s="52">
        <v>0</v>
      </c>
      <c r="BA975" s="52">
        <f t="shared" si="165"/>
        <v>0</v>
      </c>
      <c r="BB975" s="54" t="s">
        <v>74</v>
      </c>
      <c r="BC975" s="54" t="s">
        <v>74</v>
      </c>
      <c r="BD975" s="54" t="s">
        <v>74</v>
      </c>
      <c r="BE975" s="54" t="s">
        <v>74</v>
      </c>
      <c r="BF975" s="54" t="s">
        <v>74</v>
      </c>
      <c r="BG975" s="54" t="s">
        <v>74</v>
      </c>
      <c r="BH975" s="52">
        <f t="shared" si="166"/>
        <v>0</v>
      </c>
      <c r="BI975" s="52">
        <f t="shared" si="167"/>
        <v>1243527.92</v>
      </c>
      <c r="BJ975" s="52">
        <f>BI975-BH975</f>
        <v>1243527.92</v>
      </c>
      <c r="BK975" s="56">
        <v>44440</v>
      </c>
      <c r="BL975" s="63">
        <v>1243527.92</v>
      </c>
      <c r="BM975" s="47">
        <v>0</v>
      </c>
      <c r="BN975" s="9"/>
      <c r="BO975" s="9"/>
      <c r="BP975" s="9"/>
      <c r="BQ975" s="9"/>
      <c r="BR975" s="9"/>
      <c r="BS975" s="9"/>
      <c r="BT975" s="9"/>
      <c r="BU975" s="9"/>
      <c r="BV975" s="9"/>
      <c r="BW975" s="9"/>
    </row>
    <row r="976" spans="1:75" hidden="1" outlineLevel="2" x14ac:dyDescent="0.25">
      <c r="A976" s="71" t="s">
        <v>1009</v>
      </c>
      <c r="B976" s="116" t="s">
        <v>1010</v>
      </c>
      <c r="C976" s="73">
        <v>2021</v>
      </c>
      <c r="D976" s="116" t="s">
        <v>89</v>
      </c>
      <c r="E976" s="75">
        <v>1843527.92</v>
      </c>
      <c r="F976" s="75">
        <v>0</v>
      </c>
      <c r="G976" s="75">
        <v>0</v>
      </c>
      <c r="H976" s="75">
        <v>0</v>
      </c>
      <c r="I976" s="75">
        <v>0</v>
      </c>
      <c r="J976" s="75">
        <v>0</v>
      </c>
      <c r="K976" s="75">
        <v>0</v>
      </c>
      <c r="L976" s="75">
        <v>0</v>
      </c>
      <c r="M976" s="75">
        <v>0</v>
      </c>
      <c r="N976" s="75">
        <v>0</v>
      </c>
      <c r="O976" s="75">
        <v>0</v>
      </c>
      <c r="P976" s="75">
        <v>0</v>
      </c>
      <c r="Q976" s="75">
        <v>0</v>
      </c>
      <c r="R976" s="75">
        <v>0</v>
      </c>
      <c r="S976" s="75">
        <v>0</v>
      </c>
      <c r="T976" s="75">
        <v>0</v>
      </c>
      <c r="U976" s="75">
        <v>0</v>
      </c>
      <c r="V976" s="75">
        <v>0</v>
      </c>
      <c r="W976" s="75">
        <v>0</v>
      </c>
      <c r="X976" s="75">
        <v>0</v>
      </c>
      <c r="Y976" s="76">
        <f t="shared" si="162"/>
        <v>1843527.92</v>
      </c>
      <c r="Z976" s="115">
        <v>0</v>
      </c>
      <c r="AA976" s="79">
        <v>600000</v>
      </c>
      <c r="AB976" s="79">
        <v>0</v>
      </c>
      <c r="AC976" s="79">
        <v>0</v>
      </c>
      <c r="AD976" s="79">
        <v>0</v>
      </c>
      <c r="AE976" s="79">
        <v>0</v>
      </c>
      <c r="AF976" s="79"/>
      <c r="AG976" s="80">
        <f t="shared" si="163"/>
        <v>600000</v>
      </c>
      <c r="AH976" s="123" t="s">
        <v>595</v>
      </c>
      <c r="AI976" s="123" t="s">
        <v>74</v>
      </c>
      <c r="AJ976" s="123" t="s">
        <v>74</v>
      </c>
      <c r="AK976" s="123" t="s">
        <v>74</v>
      </c>
      <c r="AL976" s="123" t="s">
        <v>74</v>
      </c>
      <c r="AM976" s="123" t="s">
        <v>74</v>
      </c>
      <c r="AN976" s="82">
        <v>0</v>
      </c>
      <c r="AO976" s="82">
        <v>0</v>
      </c>
      <c r="AP976" s="82">
        <v>0</v>
      </c>
      <c r="AQ976" s="82">
        <v>0</v>
      </c>
      <c r="AR976" s="82">
        <v>0</v>
      </c>
      <c r="AS976" s="82">
        <f t="shared" si="164"/>
        <v>0</v>
      </c>
      <c r="AT976" s="81" t="s">
        <v>74</v>
      </c>
      <c r="AU976" s="82">
        <v>0</v>
      </c>
      <c r="AV976" s="82"/>
      <c r="AW976" s="82">
        <v>0</v>
      </c>
      <c r="AX976" s="82"/>
      <c r="AY976" s="82"/>
      <c r="AZ976" s="82">
        <v>0</v>
      </c>
      <c r="BA976" s="82">
        <f t="shared" si="165"/>
        <v>0</v>
      </c>
      <c r="BB976" s="82" t="s">
        <v>74</v>
      </c>
      <c r="BC976" s="125" t="s">
        <v>74</v>
      </c>
      <c r="BD976" s="125" t="s">
        <v>74</v>
      </c>
      <c r="BE976" s="125" t="s">
        <v>74</v>
      </c>
      <c r="BF976" s="125" t="s">
        <v>74</v>
      </c>
      <c r="BG976" s="125" t="s">
        <v>74</v>
      </c>
      <c r="BH976" s="82">
        <f t="shared" si="166"/>
        <v>0</v>
      </c>
      <c r="BI976" s="82">
        <f t="shared" si="167"/>
        <v>1243527.92</v>
      </c>
      <c r="BJ976" s="52">
        <f>BI976-BH976</f>
        <v>1243527.92</v>
      </c>
      <c r="BK976" s="56">
        <v>44470</v>
      </c>
      <c r="BL976" s="83">
        <v>1243527.92</v>
      </c>
      <c r="BM976" s="75">
        <v>0</v>
      </c>
      <c r="BN976" s="9"/>
      <c r="BO976" s="9"/>
      <c r="BP976" s="9"/>
      <c r="BQ976" s="9"/>
      <c r="BR976" s="9"/>
      <c r="BS976" s="9"/>
      <c r="BT976" s="9"/>
      <c r="BU976" s="9"/>
      <c r="BV976" s="9"/>
      <c r="BW976" s="9"/>
    </row>
    <row r="977" spans="1:75" hidden="1" outlineLevel="1" collapsed="1" x14ac:dyDescent="0.25">
      <c r="A977" s="84"/>
      <c r="B977" s="120" t="s">
        <v>1072</v>
      </c>
      <c r="C977" s="86"/>
      <c r="D977" s="120"/>
      <c r="E977" s="88"/>
      <c r="F977" s="88"/>
      <c r="G977" s="88"/>
      <c r="H977" s="88"/>
      <c r="I977" s="88"/>
      <c r="J977" s="88"/>
      <c r="K977" s="88"/>
      <c r="L977" s="88"/>
      <c r="M977" s="88"/>
      <c r="N977" s="88"/>
      <c r="O977" s="88"/>
      <c r="P977" s="88"/>
      <c r="Q977" s="88"/>
      <c r="R977" s="88"/>
      <c r="S977" s="88"/>
      <c r="T977" s="88"/>
      <c r="U977" s="88"/>
      <c r="V977" s="88"/>
      <c r="W977" s="88"/>
      <c r="X977" s="88"/>
      <c r="Y977" s="89">
        <f t="shared" ref="Y977:AG977" si="168">SUBTOTAL(9,Y941:Y976)</f>
        <v>0</v>
      </c>
      <c r="Z977" s="128">
        <f t="shared" si="168"/>
        <v>0</v>
      </c>
      <c r="AA977" s="89">
        <f t="shared" si="168"/>
        <v>0</v>
      </c>
      <c r="AB977" s="89">
        <f t="shared" si="168"/>
        <v>0</v>
      </c>
      <c r="AC977" s="89">
        <f t="shared" si="168"/>
        <v>0</v>
      </c>
      <c r="AD977" s="89">
        <f t="shared" si="168"/>
        <v>0</v>
      </c>
      <c r="AE977" s="89">
        <f t="shared" si="168"/>
        <v>0</v>
      </c>
      <c r="AF977" s="89">
        <f t="shared" si="168"/>
        <v>0</v>
      </c>
      <c r="AG977" s="89">
        <f t="shared" si="168"/>
        <v>0</v>
      </c>
      <c r="AH977" s="129"/>
      <c r="AI977" s="129"/>
      <c r="AJ977" s="129"/>
      <c r="AK977" s="129"/>
      <c r="AL977" s="129"/>
      <c r="AM977" s="129"/>
      <c r="AN977" s="92">
        <f t="shared" ref="AN977:AS977" si="169">SUBTOTAL(9,AN941:AN976)</f>
        <v>0</v>
      </c>
      <c r="AO977" s="92">
        <f t="shared" si="169"/>
        <v>0</v>
      </c>
      <c r="AP977" s="92">
        <f t="shared" si="169"/>
        <v>0</v>
      </c>
      <c r="AQ977" s="92">
        <f t="shared" si="169"/>
        <v>0</v>
      </c>
      <c r="AR977" s="92">
        <f t="shared" si="169"/>
        <v>0</v>
      </c>
      <c r="AS977" s="92">
        <f t="shared" si="169"/>
        <v>0</v>
      </c>
      <c r="AT977" s="91"/>
      <c r="AU977" s="92">
        <f t="shared" ref="AU977:BA977" si="170">SUBTOTAL(9,AU941:AU976)</f>
        <v>0</v>
      </c>
      <c r="AV977" s="92">
        <f t="shared" si="170"/>
        <v>0</v>
      </c>
      <c r="AW977" s="92">
        <f t="shared" si="170"/>
        <v>0</v>
      </c>
      <c r="AX977" s="92">
        <f t="shared" si="170"/>
        <v>0</v>
      </c>
      <c r="AY977" s="92">
        <f t="shared" si="170"/>
        <v>0</v>
      </c>
      <c r="AZ977" s="92">
        <f t="shared" si="170"/>
        <v>0</v>
      </c>
      <c r="BA977" s="92">
        <f t="shared" si="170"/>
        <v>0</v>
      </c>
      <c r="BB977" s="92"/>
      <c r="BC977" s="131"/>
      <c r="BD977" s="131"/>
      <c r="BE977" s="131"/>
      <c r="BF977" s="131"/>
      <c r="BG977" s="131"/>
      <c r="BH977" s="92">
        <f>SUBTOTAL(9,BH941:BH976)</f>
        <v>0</v>
      </c>
      <c r="BI977" s="92">
        <f>SUBTOTAL(9,BI941:BI976)</f>
        <v>0</v>
      </c>
      <c r="BJ977" s="93"/>
      <c r="BK977" s="94"/>
      <c r="BL977" s="95">
        <f>SUBTOTAL(9,BL941:BL976)</f>
        <v>0</v>
      </c>
      <c r="BM977" s="88">
        <f>SUBTOTAL(9,BM941:BM976)</f>
        <v>0</v>
      </c>
      <c r="BN977" s="9"/>
      <c r="BO977" s="9"/>
      <c r="BP977" s="9"/>
      <c r="BQ977" s="9"/>
      <c r="BR977" s="9"/>
      <c r="BS977" s="9"/>
      <c r="BT977" s="9"/>
      <c r="BU977" s="9"/>
      <c r="BV977" s="9"/>
      <c r="BW977" s="9"/>
    </row>
    <row r="978" spans="1:75" ht="306.75" outlineLevel="2" x14ac:dyDescent="0.25">
      <c r="A978" s="96" t="s">
        <v>1073</v>
      </c>
      <c r="B978" s="97" t="s">
        <v>1074</v>
      </c>
      <c r="C978" s="98">
        <v>2019</v>
      </c>
      <c r="D978" s="97" t="s">
        <v>86</v>
      </c>
      <c r="E978" s="100">
        <v>482336.82799999998</v>
      </c>
      <c r="F978" s="100">
        <v>0</v>
      </c>
      <c r="G978" s="100">
        <v>0</v>
      </c>
      <c r="H978" s="100">
        <v>0</v>
      </c>
      <c r="I978" s="100">
        <v>0</v>
      </c>
      <c r="J978" s="100">
        <v>0</v>
      </c>
      <c r="K978" s="100">
        <v>0</v>
      </c>
      <c r="L978" s="100">
        <v>0</v>
      </c>
      <c r="M978" s="100">
        <v>0</v>
      </c>
      <c r="N978" s="100">
        <v>0</v>
      </c>
      <c r="O978" s="100">
        <v>0</v>
      </c>
      <c r="P978" s="100">
        <v>0</v>
      </c>
      <c r="Q978" s="100">
        <v>0</v>
      </c>
      <c r="R978" s="100">
        <v>0</v>
      </c>
      <c r="S978" s="100">
        <v>0</v>
      </c>
      <c r="T978" s="100">
        <v>0</v>
      </c>
      <c r="U978" s="100">
        <v>0</v>
      </c>
      <c r="V978" s="100">
        <v>0</v>
      </c>
      <c r="W978" s="100">
        <v>0</v>
      </c>
      <c r="X978" s="100">
        <v>0</v>
      </c>
      <c r="Y978" s="101">
        <v>482336.82799999998</v>
      </c>
      <c r="Z978" s="102">
        <v>0</v>
      </c>
      <c r="AA978" s="103">
        <v>0</v>
      </c>
      <c r="AB978" s="103">
        <v>0</v>
      </c>
      <c r="AC978" s="103">
        <v>0</v>
      </c>
      <c r="AD978" s="103">
        <v>0</v>
      </c>
      <c r="AE978" s="103">
        <v>0</v>
      </c>
      <c r="AF978" s="103">
        <v>0</v>
      </c>
      <c r="AG978" s="102">
        <v>0</v>
      </c>
      <c r="AH978" s="104" t="s">
        <v>74</v>
      </c>
      <c r="AI978" s="104" t="s">
        <v>74</v>
      </c>
      <c r="AJ978" s="104" t="s">
        <v>74</v>
      </c>
      <c r="AK978" s="104" t="s">
        <v>74</v>
      </c>
      <c r="AL978" s="104" t="s">
        <v>74</v>
      </c>
      <c r="AM978" s="104" t="s">
        <v>74</v>
      </c>
      <c r="AN978" s="105">
        <v>0</v>
      </c>
      <c r="AO978" s="105">
        <v>0</v>
      </c>
      <c r="AP978" s="105">
        <v>0</v>
      </c>
      <c r="AQ978" s="105">
        <v>0</v>
      </c>
      <c r="AR978" s="105">
        <v>0</v>
      </c>
      <c r="AS978" s="105">
        <v>0</v>
      </c>
      <c r="AT978" s="106" t="s">
        <v>74</v>
      </c>
      <c r="AU978" s="105">
        <v>0</v>
      </c>
      <c r="AV978" s="164">
        <v>408708.13</v>
      </c>
      <c r="AW978" s="105">
        <v>0</v>
      </c>
      <c r="AX978" s="105"/>
      <c r="AY978" s="105"/>
      <c r="AZ978" s="105">
        <v>0</v>
      </c>
      <c r="BA978" s="105">
        <f>AU978+AV978+AW978+AX978+AY978+AZ978</f>
        <v>408708.13</v>
      </c>
      <c r="BB978" s="106" t="s">
        <v>74</v>
      </c>
      <c r="BC978" s="106" t="s">
        <v>1075</v>
      </c>
      <c r="BD978" s="108" t="s">
        <v>74</v>
      </c>
      <c r="BE978" s="108" t="s">
        <v>74</v>
      </c>
      <c r="BF978" s="108" t="s">
        <v>74</v>
      </c>
      <c r="BG978" s="108" t="s">
        <v>74</v>
      </c>
      <c r="BH978" s="105">
        <f>AS978+BA978</f>
        <v>408708.13</v>
      </c>
      <c r="BI978" s="105">
        <f>Y978-AG978+BH978</f>
        <v>891044.95799999998</v>
      </c>
      <c r="BJ978" s="52">
        <f>BI978-BH978</f>
        <v>482336.82799999998</v>
      </c>
      <c r="BK978" s="56">
        <v>43678</v>
      </c>
      <c r="BL978" s="109">
        <f>482336.83+408708.13</f>
        <v>891044.96</v>
      </c>
      <c r="BM978" s="100">
        <v>0</v>
      </c>
      <c r="BN978" s="9"/>
      <c r="BO978" s="9"/>
      <c r="BP978" s="9"/>
      <c r="BQ978" s="9"/>
      <c r="BR978" s="9"/>
      <c r="BS978" s="9"/>
      <c r="BT978" s="9"/>
      <c r="BU978" s="9"/>
      <c r="BV978" s="9"/>
      <c r="BW978" s="9"/>
    </row>
    <row r="979" spans="1:75" ht="30.75" customHeight="1" outlineLevel="2" x14ac:dyDescent="0.25">
      <c r="A979" s="43" t="s">
        <v>1073</v>
      </c>
      <c r="B979" s="110" t="s">
        <v>1074</v>
      </c>
      <c r="C979" s="45">
        <v>2019</v>
      </c>
      <c r="D979" s="110" t="s">
        <v>88</v>
      </c>
      <c r="E979" s="47">
        <v>2411684.14</v>
      </c>
      <c r="F979" s="47">
        <v>0</v>
      </c>
      <c r="G979" s="47">
        <v>0</v>
      </c>
      <c r="H979" s="47">
        <v>0</v>
      </c>
      <c r="I979" s="47">
        <v>0</v>
      </c>
      <c r="J979" s="47">
        <v>0</v>
      </c>
      <c r="K979" s="47">
        <v>0</v>
      </c>
      <c r="L979" s="47">
        <v>0</v>
      </c>
      <c r="M979" s="47">
        <v>0</v>
      </c>
      <c r="N979" s="47">
        <v>0</v>
      </c>
      <c r="O979" s="47">
        <v>0</v>
      </c>
      <c r="P979" s="47">
        <v>0</v>
      </c>
      <c r="Q979" s="47">
        <v>0</v>
      </c>
      <c r="R979" s="47">
        <v>0</v>
      </c>
      <c r="S979" s="47">
        <v>0</v>
      </c>
      <c r="T979" s="47">
        <v>0</v>
      </c>
      <c r="U979" s="47">
        <v>0</v>
      </c>
      <c r="V979" s="47">
        <v>0</v>
      </c>
      <c r="W979" s="47">
        <v>0</v>
      </c>
      <c r="X979" s="47">
        <v>0</v>
      </c>
      <c r="Y979" s="48">
        <v>2411684.14</v>
      </c>
      <c r="Z979" s="58">
        <v>2911.03</v>
      </c>
      <c r="AA979" s="50">
        <v>2911.03</v>
      </c>
      <c r="AB979" s="50">
        <v>0</v>
      </c>
      <c r="AC979" s="50">
        <v>0</v>
      </c>
      <c r="AD979" s="50">
        <v>3846.62</v>
      </c>
      <c r="AE979" s="50">
        <v>0</v>
      </c>
      <c r="AF979" s="50">
        <v>0</v>
      </c>
      <c r="AG979" s="49">
        <v>6757.65</v>
      </c>
      <c r="AH979" s="51" t="s">
        <v>104</v>
      </c>
      <c r="AI979" s="51" t="s">
        <v>74</v>
      </c>
      <c r="AJ979" s="51" t="s">
        <v>74</v>
      </c>
      <c r="AK979" s="51" t="s">
        <v>1076</v>
      </c>
      <c r="AL979" s="51" t="s">
        <v>74</v>
      </c>
      <c r="AM979" s="51" t="s">
        <v>74</v>
      </c>
      <c r="AN979" s="52">
        <v>0</v>
      </c>
      <c r="AO979" s="52">
        <v>0</v>
      </c>
      <c r="AP979" s="52">
        <v>0</v>
      </c>
      <c r="AQ979" s="52">
        <v>0</v>
      </c>
      <c r="AR979" s="52">
        <v>0</v>
      </c>
      <c r="AS979" s="52">
        <v>0</v>
      </c>
      <c r="AT979" s="53" t="s">
        <v>74</v>
      </c>
      <c r="AU979" s="52">
        <v>0</v>
      </c>
      <c r="AV979" s="52"/>
      <c r="AW979" s="52">
        <v>0</v>
      </c>
      <c r="AX979" s="52"/>
      <c r="AY979" s="52"/>
      <c r="AZ979" s="52">
        <v>0</v>
      </c>
      <c r="BA979" s="52">
        <v>0</v>
      </c>
      <c r="BB979" s="54" t="s">
        <v>74</v>
      </c>
      <c r="BC979" s="53" t="s">
        <v>74</v>
      </c>
      <c r="BD979" s="55" t="s">
        <v>74</v>
      </c>
      <c r="BE979" s="55" t="s">
        <v>74</v>
      </c>
      <c r="BF979" s="55" t="s">
        <v>74</v>
      </c>
      <c r="BG979" s="55" t="s">
        <v>74</v>
      </c>
      <c r="BH979" s="52">
        <v>0</v>
      </c>
      <c r="BI979" s="52">
        <v>2404926.4900000002</v>
      </c>
      <c r="BJ979" s="52">
        <v>2404926.4900000002</v>
      </c>
      <c r="BK979" s="56">
        <v>43709</v>
      </c>
      <c r="BL979" s="57">
        <v>2404926.4900000002</v>
      </c>
      <c r="BM979" s="47">
        <v>0</v>
      </c>
      <c r="BN979" s="9"/>
      <c r="BO979" s="9"/>
      <c r="BP979" s="9"/>
      <c r="BQ979" s="9"/>
      <c r="BR979" s="9"/>
      <c r="BS979" s="9"/>
      <c r="BT979" s="9"/>
      <c r="BU979" s="9"/>
      <c r="BV979" s="9"/>
      <c r="BW979" s="9"/>
    </row>
    <row r="980" spans="1:75" ht="30.75" customHeight="1" outlineLevel="2" x14ac:dyDescent="0.25">
      <c r="A980" s="43" t="s">
        <v>1073</v>
      </c>
      <c r="B980" s="110" t="s">
        <v>1074</v>
      </c>
      <c r="C980" s="45">
        <v>2019</v>
      </c>
      <c r="D980" s="110" t="s">
        <v>89</v>
      </c>
      <c r="E980" s="47">
        <v>2411684.14</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2411684.14</v>
      </c>
      <c r="Z980" s="58">
        <v>14321.58</v>
      </c>
      <c r="AA980" s="50">
        <v>14321.58</v>
      </c>
      <c r="AB980" s="50">
        <v>0</v>
      </c>
      <c r="AC980" s="50">
        <v>0</v>
      </c>
      <c r="AD980" s="50">
        <v>0</v>
      </c>
      <c r="AE980" s="50">
        <v>0</v>
      </c>
      <c r="AF980" s="50">
        <v>0</v>
      </c>
      <c r="AG980" s="49">
        <v>14321.58</v>
      </c>
      <c r="AH980" s="51" t="s">
        <v>104</v>
      </c>
      <c r="AI980" s="51" t="s">
        <v>74</v>
      </c>
      <c r="AJ980" s="51" t="s">
        <v>74</v>
      </c>
      <c r="AK980" s="51" t="s">
        <v>74</v>
      </c>
      <c r="AL980" s="51" t="s">
        <v>74</v>
      </c>
      <c r="AM980" s="51" t="s">
        <v>74</v>
      </c>
      <c r="AN980" s="52">
        <v>0</v>
      </c>
      <c r="AO980" s="52">
        <v>0</v>
      </c>
      <c r="AP980" s="52">
        <v>0</v>
      </c>
      <c r="AQ980" s="52">
        <v>0</v>
      </c>
      <c r="AR980" s="52">
        <v>0</v>
      </c>
      <c r="AS980" s="52">
        <v>0</v>
      </c>
      <c r="AT980" s="53" t="s">
        <v>74</v>
      </c>
      <c r="AU980" s="52">
        <v>0</v>
      </c>
      <c r="AV980" s="52"/>
      <c r="AW980" s="52">
        <v>0</v>
      </c>
      <c r="AX980" s="52"/>
      <c r="AY980" s="52"/>
      <c r="AZ980" s="52">
        <v>0</v>
      </c>
      <c r="BA980" s="52">
        <v>0</v>
      </c>
      <c r="BB980" s="54" t="s">
        <v>74</v>
      </c>
      <c r="BC980" s="53" t="s">
        <v>74</v>
      </c>
      <c r="BD980" s="55" t="s">
        <v>74</v>
      </c>
      <c r="BE980" s="55" t="s">
        <v>74</v>
      </c>
      <c r="BF980" s="55" t="s">
        <v>74</v>
      </c>
      <c r="BG980" s="55" t="s">
        <v>74</v>
      </c>
      <c r="BH980" s="52">
        <v>0</v>
      </c>
      <c r="BI980" s="52">
        <v>2397362.56</v>
      </c>
      <c r="BJ980" s="52">
        <v>2397362.56</v>
      </c>
      <c r="BK980" s="56">
        <v>43739</v>
      </c>
      <c r="BL980" s="57">
        <v>2397362.56</v>
      </c>
      <c r="BM980" s="47">
        <v>0</v>
      </c>
      <c r="BN980" s="9"/>
      <c r="BO980" s="9"/>
      <c r="BP980" s="9"/>
      <c r="BQ980" s="9"/>
      <c r="BR980" s="9"/>
      <c r="BS980" s="9"/>
      <c r="BT980" s="9"/>
      <c r="BU980" s="9"/>
      <c r="BV980" s="9"/>
      <c r="BW980" s="9"/>
    </row>
    <row r="981" spans="1:75" ht="55.5" customHeight="1" outlineLevel="2" x14ac:dyDescent="0.25">
      <c r="A981" s="43" t="s">
        <v>1073</v>
      </c>
      <c r="B981" s="110" t="s">
        <v>1074</v>
      </c>
      <c r="C981" s="45">
        <v>2019</v>
      </c>
      <c r="D981" s="110" t="s">
        <v>90</v>
      </c>
      <c r="E981" s="47">
        <v>2432653.3020000001</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2432653.3020000001</v>
      </c>
      <c r="Z981" s="58">
        <v>17256.95</v>
      </c>
      <c r="AA981" s="50">
        <v>15000</v>
      </c>
      <c r="AB981" s="50">
        <v>0</v>
      </c>
      <c r="AC981" s="50">
        <v>0</v>
      </c>
      <c r="AD981" s="50">
        <v>24623.29</v>
      </c>
      <c r="AE981" s="50">
        <v>0</v>
      </c>
      <c r="AF981" s="50">
        <v>0</v>
      </c>
      <c r="AG981" s="49">
        <v>39623.29</v>
      </c>
      <c r="AH981" s="51" t="s">
        <v>1077</v>
      </c>
      <c r="AI981" s="51" t="s">
        <v>74</v>
      </c>
      <c r="AJ981" s="51" t="s">
        <v>74</v>
      </c>
      <c r="AK981" s="51" t="s">
        <v>212</v>
      </c>
      <c r="AL981" s="51" t="s">
        <v>74</v>
      </c>
      <c r="AM981" s="51" t="s">
        <v>74</v>
      </c>
      <c r="AN981" s="52">
        <v>0</v>
      </c>
      <c r="AO981" s="52">
        <v>0</v>
      </c>
      <c r="AP981" s="52">
        <v>0</v>
      </c>
      <c r="AQ981" s="52">
        <v>0</v>
      </c>
      <c r="AR981" s="52">
        <v>0</v>
      </c>
      <c r="AS981" s="52">
        <v>0</v>
      </c>
      <c r="AT981" s="53" t="s">
        <v>74</v>
      </c>
      <c r="AU981" s="52">
        <v>0</v>
      </c>
      <c r="AV981" s="52"/>
      <c r="AW981" s="52">
        <v>0</v>
      </c>
      <c r="AX981" s="52"/>
      <c r="AY981" s="52"/>
      <c r="AZ981" s="52">
        <v>0</v>
      </c>
      <c r="BA981" s="52">
        <v>0</v>
      </c>
      <c r="BB981" s="54" t="s">
        <v>74</v>
      </c>
      <c r="BC981" s="53" t="s">
        <v>74</v>
      </c>
      <c r="BD981" s="55" t="s">
        <v>74</v>
      </c>
      <c r="BE981" s="55" t="s">
        <v>74</v>
      </c>
      <c r="BF981" s="55" t="s">
        <v>74</v>
      </c>
      <c r="BG981" s="55" t="s">
        <v>74</v>
      </c>
      <c r="BH981" s="52">
        <v>0</v>
      </c>
      <c r="BI981" s="52">
        <v>2393030.0120000001</v>
      </c>
      <c r="BJ981" s="52">
        <v>2393030.0120000001</v>
      </c>
      <c r="BK981" s="56">
        <v>43770</v>
      </c>
      <c r="BL981" s="57">
        <v>2393030.0099999998</v>
      </c>
      <c r="BM981" s="47">
        <v>0</v>
      </c>
      <c r="BN981" s="9"/>
      <c r="BO981" s="9"/>
      <c r="BP981" s="9"/>
      <c r="BQ981" s="9"/>
      <c r="BR981" s="9"/>
      <c r="BS981" s="9"/>
      <c r="BT981" s="9"/>
      <c r="BU981" s="9"/>
      <c r="BV981" s="9"/>
      <c r="BW981" s="9"/>
    </row>
    <row r="982" spans="1:75" ht="128.25" customHeight="1" outlineLevel="2" x14ac:dyDescent="0.25">
      <c r="A982" s="43" t="s">
        <v>1073</v>
      </c>
      <c r="B982" s="110" t="s">
        <v>1074</v>
      </c>
      <c r="C982" s="45">
        <v>2019</v>
      </c>
      <c r="D982" s="110" t="s">
        <v>93</v>
      </c>
      <c r="E982" s="47">
        <v>2516529.94</v>
      </c>
      <c r="F982" s="47">
        <v>0</v>
      </c>
      <c r="G982" s="47">
        <v>0</v>
      </c>
      <c r="H982" s="47">
        <v>0</v>
      </c>
      <c r="I982" s="47">
        <v>0</v>
      </c>
      <c r="J982" s="47">
        <v>0</v>
      </c>
      <c r="K982" s="47">
        <v>0</v>
      </c>
      <c r="L982" s="47">
        <v>0</v>
      </c>
      <c r="M982" s="47">
        <v>0</v>
      </c>
      <c r="N982" s="47">
        <v>0</v>
      </c>
      <c r="O982" s="47">
        <v>0</v>
      </c>
      <c r="P982" s="47">
        <v>0</v>
      </c>
      <c r="Q982" s="47">
        <v>0</v>
      </c>
      <c r="R982" s="47">
        <v>0</v>
      </c>
      <c r="S982" s="47">
        <v>0</v>
      </c>
      <c r="T982" s="47">
        <v>0</v>
      </c>
      <c r="U982" s="47">
        <v>0</v>
      </c>
      <c r="V982" s="47">
        <v>0</v>
      </c>
      <c r="W982" s="47">
        <v>0</v>
      </c>
      <c r="X982" s="47">
        <v>0</v>
      </c>
      <c r="Y982" s="48">
        <v>2516529.94</v>
      </c>
      <c r="Z982" s="58">
        <v>13748.44</v>
      </c>
      <c r="AA982" s="50">
        <v>13748.44</v>
      </c>
      <c r="AB982" s="50">
        <v>2256.9499999999998</v>
      </c>
      <c r="AC982" s="50">
        <v>0</v>
      </c>
      <c r="AD982" s="50">
        <v>50498.14</v>
      </c>
      <c r="AE982" s="50">
        <v>10846.37</v>
      </c>
      <c r="AF982" s="50">
        <v>0</v>
      </c>
      <c r="AG982" s="49">
        <v>77349.899999999994</v>
      </c>
      <c r="AH982" s="51" t="s">
        <v>104</v>
      </c>
      <c r="AI982" s="51" t="s">
        <v>1078</v>
      </c>
      <c r="AJ982" s="51" t="s">
        <v>74</v>
      </c>
      <c r="AK982" s="51" t="s">
        <v>1079</v>
      </c>
      <c r="AL982" s="51" t="s">
        <v>1080</v>
      </c>
      <c r="AM982" s="51" t="s">
        <v>74</v>
      </c>
      <c r="AN982" s="52">
        <v>0</v>
      </c>
      <c r="AO982" s="52">
        <v>0</v>
      </c>
      <c r="AP982" s="52"/>
      <c r="AQ982" s="52"/>
      <c r="AR982" s="52"/>
      <c r="AS982" s="52">
        <v>0</v>
      </c>
      <c r="AT982" s="53" t="s">
        <v>74</v>
      </c>
      <c r="AU982" s="52">
        <v>0</v>
      </c>
      <c r="AV982" s="52"/>
      <c r="AW982" s="52">
        <v>2689661</v>
      </c>
      <c r="AX982" s="52"/>
      <c r="AY982" s="52"/>
      <c r="AZ982" s="52">
        <v>0</v>
      </c>
      <c r="BA982" s="52">
        <v>2689661</v>
      </c>
      <c r="BB982" s="54" t="s">
        <v>74</v>
      </c>
      <c r="BC982" s="53" t="s">
        <v>74</v>
      </c>
      <c r="BD982" s="55" t="s">
        <v>1081</v>
      </c>
      <c r="BE982" s="55" t="s">
        <v>74</v>
      </c>
      <c r="BF982" s="55" t="s">
        <v>74</v>
      </c>
      <c r="BG982" s="55" t="s">
        <v>74</v>
      </c>
      <c r="BH982" s="52">
        <v>2689661</v>
      </c>
      <c r="BI982" s="52">
        <v>5128841.04</v>
      </c>
      <c r="BJ982" s="52">
        <v>2439180.04</v>
      </c>
      <c r="BK982" s="56">
        <v>43800</v>
      </c>
      <c r="BL982" s="57">
        <v>5128841.04</v>
      </c>
      <c r="BM982" s="47">
        <v>0</v>
      </c>
      <c r="BN982" s="9"/>
      <c r="BO982" s="9"/>
      <c r="BP982" s="9"/>
      <c r="BQ982" s="9"/>
      <c r="BR982" s="9"/>
      <c r="BS982" s="9"/>
      <c r="BT982" s="9"/>
      <c r="BU982" s="9"/>
      <c r="BV982" s="9"/>
      <c r="BW982" s="9"/>
    </row>
    <row r="983" spans="1:75" ht="87.75" customHeight="1" outlineLevel="2" x14ac:dyDescent="0.25">
      <c r="A983" s="43" t="s">
        <v>1073</v>
      </c>
      <c r="B983" s="110" t="s">
        <v>1074</v>
      </c>
      <c r="C983" s="45">
        <v>2020</v>
      </c>
      <c r="D983" s="110" t="s">
        <v>73</v>
      </c>
      <c r="E983" s="47">
        <v>2516529.94</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2516529.94</v>
      </c>
      <c r="Z983" s="58">
        <v>14178.45</v>
      </c>
      <c r="AA983" s="50">
        <v>14178.45</v>
      </c>
      <c r="AB983" s="50">
        <v>0</v>
      </c>
      <c r="AC983" s="50">
        <v>0</v>
      </c>
      <c r="AD983" s="50">
        <v>24750.51</v>
      </c>
      <c r="AE983" s="50">
        <v>0</v>
      </c>
      <c r="AF983" s="50">
        <v>0</v>
      </c>
      <c r="AG983" s="49">
        <v>38928.959999999999</v>
      </c>
      <c r="AH983" s="51" t="s">
        <v>104</v>
      </c>
      <c r="AI983" s="51" t="s">
        <v>74</v>
      </c>
      <c r="AJ983" s="51" t="s">
        <v>74</v>
      </c>
      <c r="AK983" s="51" t="s">
        <v>1082</v>
      </c>
      <c r="AL983" s="51" t="s">
        <v>74</v>
      </c>
      <c r="AM983" s="51" t="s">
        <v>74</v>
      </c>
      <c r="AN983" s="52">
        <v>0</v>
      </c>
      <c r="AO983" s="52">
        <v>0</v>
      </c>
      <c r="AP983" s="52">
        <v>0</v>
      </c>
      <c r="AQ983" s="52">
        <v>0</v>
      </c>
      <c r="AR983" s="52">
        <v>0</v>
      </c>
      <c r="AS983" s="52">
        <v>0</v>
      </c>
      <c r="AT983" s="53" t="s">
        <v>74</v>
      </c>
      <c r="AU983" s="52">
        <v>0</v>
      </c>
      <c r="AV983" s="52"/>
      <c r="AW983" s="52">
        <v>0</v>
      </c>
      <c r="AX983" s="52"/>
      <c r="AY983" s="52"/>
      <c r="AZ983" s="52">
        <v>0</v>
      </c>
      <c r="BA983" s="52">
        <v>0</v>
      </c>
      <c r="BB983" s="54" t="s">
        <v>74</v>
      </c>
      <c r="BC983" s="53" t="s">
        <v>74</v>
      </c>
      <c r="BD983" s="55" t="s">
        <v>74</v>
      </c>
      <c r="BE983" s="55" t="s">
        <v>74</v>
      </c>
      <c r="BF983" s="55" t="s">
        <v>74</v>
      </c>
      <c r="BG983" s="55" t="s">
        <v>74</v>
      </c>
      <c r="BH983" s="52">
        <v>0</v>
      </c>
      <c r="BI983" s="52">
        <v>2477600.98</v>
      </c>
      <c r="BJ983" s="52">
        <v>2477600.98</v>
      </c>
      <c r="BK983" s="56">
        <v>43831</v>
      </c>
      <c r="BL983" s="57">
        <v>2477600.98</v>
      </c>
      <c r="BM983" s="47">
        <v>0</v>
      </c>
      <c r="BN983" s="9"/>
      <c r="BO983" s="9"/>
      <c r="BP983" s="9"/>
      <c r="BQ983" s="9"/>
      <c r="BR983" s="9"/>
      <c r="BS983" s="9"/>
      <c r="BT983" s="9"/>
      <c r="BU983" s="9"/>
      <c r="BV983" s="9"/>
      <c r="BW983" s="9"/>
    </row>
    <row r="984" spans="1:75" ht="30.75" customHeight="1" outlineLevel="2" x14ac:dyDescent="0.25">
      <c r="A984" s="43" t="s">
        <v>1073</v>
      </c>
      <c r="B984" s="110" t="s">
        <v>1074</v>
      </c>
      <c r="C984" s="45">
        <v>2020</v>
      </c>
      <c r="D984" s="110" t="s">
        <v>75</v>
      </c>
      <c r="E984" s="47">
        <v>2537505.39</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2537505.39</v>
      </c>
      <c r="Z984" s="58">
        <v>13931.4</v>
      </c>
      <c r="AA984" s="50">
        <v>13931.4</v>
      </c>
      <c r="AB984" s="50">
        <v>0</v>
      </c>
      <c r="AC984" s="50">
        <v>0</v>
      </c>
      <c r="AD984" s="62">
        <v>23849.01</v>
      </c>
      <c r="AE984" s="50">
        <v>0</v>
      </c>
      <c r="AF984" s="50">
        <v>0</v>
      </c>
      <c r="AG984" s="49">
        <v>37780.410000000003</v>
      </c>
      <c r="AH984" s="51" t="s">
        <v>104</v>
      </c>
      <c r="AI984" s="51" t="s">
        <v>74</v>
      </c>
      <c r="AJ984" s="51" t="s">
        <v>74</v>
      </c>
      <c r="AK984" s="51" t="s">
        <v>219</v>
      </c>
      <c r="AL984" s="51" t="s">
        <v>74</v>
      </c>
      <c r="AM984" s="51" t="s">
        <v>74</v>
      </c>
      <c r="AN984" s="52">
        <v>0</v>
      </c>
      <c r="AO984" s="52">
        <v>0</v>
      </c>
      <c r="AP984" s="52">
        <v>0</v>
      </c>
      <c r="AQ984" s="52">
        <v>0</v>
      </c>
      <c r="AR984" s="52">
        <v>0</v>
      </c>
      <c r="AS984" s="52">
        <v>0</v>
      </c>
      <c r="AT984" s="53" t="s">
        <v>74</v>
      </c>
      <c r="AU984" s="52">
        <v>0</v>
      </c>
      <c r="AV984" s="52"/>
      <c r="AW984" s="52">
        <v>0</v>
      </c>
      <c r="AX984" s="52"/>
      <c r="AY984" s="52"/>
      <c r="AZ984" s="52">
        <v>0</v>
      </c>
      <c r="BA984" s="52">
        <v>0</v>
      </c>
      <c r="BB984" s="54" t="s">
        <v>74</v>
      </c>
      <c r="BC984" s="53" t="s">
        <v>74</v>
      </c>
      <c r="BD984" s="55" t="s">
        <v>74</v>
      </c>
      <c r="BE984" s="55" t="s">
        <v>74</v>
      </c>
      <c r="BF984" s="55" t="s">
        <v>74</v>
      </c>
      <c r="BG984" s="55" t="s">
        <v>74</v>
      </c>
      <c r="BH984" s="52">
        <v>0</v>
      </c>
      <c r="BI984" s="52">
        <v>2499724.98</v>
      </c>
      <c r="BJ984" s="52">
        <v>2497505.39</v>
      </c>
      <c r="BK984" s="56">
        <v>43862</v>
      </c>
      <c r="BL984" s="57">
        <v>2499724.98</v>
      </c>
      <c r="BM984" s="47">
        <v>0</v>
      </c>
      <c r="BN984" s="9"/>
      <c r="BO984" s="9"/>
      <c r="BP984" s="9"/>
      <c r="BQ984" s="9"/>
      <c r="BR984" s="9"/>
      <c r="BS984" s="9"/>
      <c r="BT984" s="9"/>
      <c r="BU984" s="9"/>
      <c r="BV984" s="9"/>
      <c r="BW984" s="9"/>
    </row>
    <row r="985" spans="1:75" ht="28.5" customHeight="1" outlineLevel="2" x14ac:dyDescent="0.25">
      <c r="A985" s="43" t="s">
        <v>1073</v>
      </c>
      <c r="B985" s="110" t="s">
        <v>1074</v>
      </c>
      <c r="C985" s="45">
        <v>2020</v>
      </c>
      <c r="D985" s="110" t="s">
        <v>77</v>
      </c>
      <c r="E985" s="47">
        <v>2621407.2000000002</v>
      </c>
      <c r="F985" s="47">
        <v>0</v>
      </c>
      <c r="G985" s="47">
        <v>0</v>
      </c>
      <c r="H985" s="47">
        <v>0</v>
      </c>
      <c r="I985" s="47">
        <v>0</v>
      </c>
      <c r="J985" s="47">
        <v>0</v>
      </c>
      <c r="K985" s="47">
        <v>0</v>
      </c>
      <c r="L985" s="47">
        <v>0</v>
      </c>
      <c r="M985" s="47">
        <v>0</v>
      </c>
      <c r="N985" s="47">
        <v>0</v>
      </c>
      <c r="O985" s="47">
        <v>0</v>
      </c>
      <c r="P985" s="47">
        <v>0</v>
      </c>
      <c r="Q985" s="47">
        <v>0</v>
      </c>
      <c r="R985" s="47">
        <v>0</v>
      </c>
      <c r="S985" s="47">
        <v>0</v>
      </c>
      <c r="T985" s="47">
        <v>0</v>
      </c>
      <c r="U985" s="47">
        <v>0</v>
      </c>
      <c r="V985" s="47">
        <v>0</v>
      </c>
      <c r="W985" s="47">
        <v>0</v>
      </c>
      <c r="X985" s="47">
        <v>0</v>
      </c>
      <c r="Y985" s="48">
        <v>2621407.2000000002</v>
      </c>
      <c r="Z985" s="58">
        <v>16342.69</v>
      </c>
      <c r="AA985" s="50">
        <v>16342.69</v>
      </c>
      <c r="AB985" s="50">
        <v>0</v>
      </c>
      <c r="AC985" s="50">
        <v>0</v>
      </c>
      <c r="AD985" s="50">
        <v>23190.53</v>
      </c>
      <c r="AE985" s="50">
        <v>0</v>
      </c>
      <c r="AF985" s="50">
        <v>0</v>
      </c>
      <c r="AG985" s="49">
        <v>39533.22</v>
      </c>
      <c r="AH985" s="51" t="s">
        <v>104</v>
      </c>
      <c r="AI985" s="51" t="s">
        <v>74</v>
      </c>
      <c r="AJ985" s="51" t="s">
        <v>74</v>
      </c>
      <c r="AK985" s="51" t="s">
        <v>315</v>
      </c>
      <c r="AL985" s="51" t="s">
        <v>74</v>
      </c>
      <c r="AM985" s="51" t="s">
        <v>74</v>
      </c>
      <c r="AN985" s="52"/>
      <c r="AO985" s="52"/>
      <c r="AP985" s="52"/>
      <c r="AQ985" s="52"/>
      <c r="AR985" s="52"/>
      <c r="AS985" s="52">
        <v>0</v>
      </c>
      <c r="AT985" s="53" t="s">
        <v>74</v>
      </c>
      <c r="AU985" s="52">
        <v>0</v>
      </c>
      <c r="AV985" s="52"/>
      <c r="AW985" s="52">
        <v>612800</v>
      </c>
      <c r="AX985" s="52"/>
      <c r="AY985" s="52"/>
      <c r="AZ985" s="52">
        <v>0</v>
      </c>
      <c r="BA985" s="52">
        <v>612800</v>
      </c>
      <c r="BB985" s="55"/>
      <c r="BC985" s="51" t="s">
        <v>74</v>
      </c>
      <c r="BD985" s="53" t="s">
        <v>1083</v>
      </c>
      <c r="BE985" s="54" t="s">
        <v>74</v>
      </c>
      <c r="BF985" s="54" t="s">
        <v>74</v>
      </c>
      <c r="BG985" s="54" t="s">
        <v>74</v>
      </c>
      <c r="BH985" s="52">
        <v>612800</v>
      </c>
      <c r="BI985" s="52">
        <v>3194673.98</v>
      </c>
      <c r="BJ985" s="52">
        <v>2581873.98</v>
      </c>
      <c r="BK985" s="56">
        <v>43891</v>
      </c>
      <c r="BL985" s="57">
        <v>3194673.98</v>
      </c>
      <c r="BM985" s="47">
        <v>0</v>
      </c>
      <c r="BN985" s="9"/>
      <c r="BO985" s="9"/>
      <c r="BP985" s="9"/>
      <c r="BQ985" s="9"/>
      <c r="BR985" s="9"/>
      <c r="BS985" s="9"/>
      <c r="BT985" s="9"/>
      <c r="BU985" s="9"/>
      <c r="BV985" s="9"/>
      <c r="BW985" s="9"/>
    </row>
    <row r="986" spans="1:75" ht="23.25" customHeight="1" outlineLevel="2" x14ac:dyDescent="0.25">
      <c r="A986" s="43" t="s">
        <v>1073</v>
      </c>
      <c r="B986" s="110" t="s">
        <v>1074</v>
      </c>
      <c r="C986" s="45">
        <v>2020</v>
      </c>
      <c r="D986" s="110" t="s">
        <v>79</v>
      </c>
      <c r="E986" s="47">
        <v>2621407.2000000002</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2621407.2000000002</v>
      </c>
      <c r="Z986" s="58">
        <v>13906.64</v>
      </c>
      <c r="AA986" s="50">
        <v>13906.64</v>
      </c>
      <c r="AB986" s="50">
        <v>0</v>
      </c>
      <c r="AC986" s="50">
        <v>0</v>
      </c>
      <c r="AD986" s="50">
        <v>20988.53</v>
      </c>
      <c r="AE986" s="50">
        <v>0</v>
      </c>
      <c r="AF986" s="50">
        <v>0</v>
      </c>
      <c r="AG986" s="49">
        <v>34895.17</v>
      </c>
      <c r="AH986" s="51" t="s">
        <v>104</v>
      </c>
      <c r="AI986" s="51" t="s">
        <v>74</v>
      </c>
      <c r="AJ986" s="51" t="s">
        <v>74</v>
      </c>
      <c r="AK986" s="51" t="s">
        <v>161</v>
      </c>
      <c r="AL986" s="51" t="s">
        <v>74</v>
      </c>
      <c r="AM986" s="51" t="s">
        <v>74</v>
      </c>
      <c r="AN986" s="52">
        <v>0</v>
      </c>
      <c r="AO986" s="52">
        <v>0</v>
      </c>
      <c r="AP986" s="52">
        <v>0</v>
      </c>
      <c r="AQ986" s="52">
        <v>0</v>
      </c>
      <c r="AR986" s="52">
        <v>0</v>
      </c>
      <c r="AS986" s="52">
        <v>0</v>
      </c>
      <c r="AT986" s="53" t="s">
        <v>74</v>
      </c>
      <c r="AU986" s="52">
        <v>0</v>
      </c>
      <c r="AV986" s="52"/>
      <c r="AW986" s="52">
        <v>0</v>
      </c>
      <c r="AX986" s="52"/>
      <c r="AY986" s="52"/>
      <c r="AZ986" s="52">
        <v>0</v>
      </c>
      <c r="BA986" s="52">
        <v>0</v>
      </c>
      <c r="BB986" s="54" t="s">
        <v>74</v>
      </c>
      <c r="BC986" s="53" t="s">
        <v>74</v>
      </c>
      <c r="BD986" s="55" t="s">
        <v>74</v>
      </c>
      <c r="BE986" s="55" t="s">
        <v>74</v>
      </c>
      <c r="BF986" s="55" t="s">
        <v>74</v>
      </c>
      <c r="BG986" s="55" t="s">
        <v>74</v>
      </c>
      <c r="BH986" s="52">
        <v>0</v>
      </c>
      <c r="BI986" s="52">
        <v>2586512.0299999998</v>
      </c>
      <c r="BJ986" s="52">
        <v>2586512.0299999998</v>
      </c>
      <c r="BK986" s="56">
        <v>43922</v>
      </c>
      <c r="BL986" s="57">
        <v>2586512.0299999998</v>
      </c>
      <c r="BM986" s="47">
        <v>0</v>
      </c>
      <c r="BN986" s="9"/>
      <c r="BO986" s="9"/>
      <c r="BP986" s="9"/>
      <c r="BQ986" s="9"/>
      <c r="BR986" s="9"/>
      <c r="BS986" s="9"/>
      <c r="BT986" s="9"/>
      <c r="BU986" s="9"/>
      <c r="BV986" s="9"/>
      <c r="BW986" s="9"/>
    </row>
    <row r="987" spans="1:75" ht="23.25" customHeight="1" outlineLevel="2" x14ac:dyDescent="0.25">
      <c r="A987" s="43" t="s">
        <v>1073</v>
      </c>
      <c r="B987" s="110" t="s">
        <v>1074</v>
      </c>
      <c r="C987" s="45">
        <v>2020</v>
      </c>
      <c r="D987" s="110" t="s">
        <v>81</v>
      </c>
      <c r="E987" s="47">
        <v>2621407.2000000002</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2621407.2000000002</v>
      </c>
      <c r="Z987" s="58">
        <v>13994.14</v>
      </c>
      <c r="AA987" s="50">
        <v>13994.14</v>
      </c>
      <c r="AB987" s="50">
        <v>0</v>
      </c>
      <c r="AC987" s="50">
        <v>0</v>
      </c>
      <c r="AD987" s="50">
        <v>23781.59</v>
      </c>
      <c r="AE987" s="50">
        <v>0</v>
      </c>
      <c r="AF987" s="50">
        <v>0</v>
      </c>
      <c r="AG987" s="49">
        <v>37775.730000000003</v>
      </c>
      <c r="AH987" s="51" t="s">
        <v>104</v>
      </c>
      <c r="AI987" s="51" t="s">
        <v>74</v>
      </c>
      <c r="AJ987" s="51" t="s">
        <v>74</v>
      </c>
      <c r="AK987" s="51" t="s">
        <v>162</v>
      </c>
      <c r="AL987" s="51" t="s">
        <v>74</v>
      </c>
      <c r="AM987" s="51" t="s">
        <v>74</v>
      </c>
      <c r="AN987" s="52">
        <v>0</v>
      </c>
      <c r="AO987" s="52">
        <v>0</v>
      </c>
      <c r="AP987" s="52">
        <v>0</v>
      </c>
      <c r="AQ987" s="52">
        <v>0</v>
      </c>
      <c r="AR987" s="52">
        <v>0</v>
      </c>
      <c r="AS987" s="52">
        <v>0</v>
      </c>
      <c r="AT987" s="53" t="s">
        <v>74</v>
      </c>
      <c r="AU987" s="52">
        <v>0</v>
      </c>
      <c r="AV987" s="52"/>
      <c r="AW987" s="52">
        <v>0</v>
      </c>
      <c r="AX987" s="52"/>
      <c r="AY987" s="52"/>
      <c r="AZ987" s="52">
        <v>0</v>
      </c>
      <c r="BA987" s="52">
        <v>0</v>
      </c>
      <c r="BB987" s="54" t="s">
        <v>74</v>
      </c>
      <c r="BC987" s="53" t="s">
        <v>74</v>
      </c>
      <c r="BD987" s="55" t="s">
        <v>74</v>
      </c>
      <c r="BE987" s="55" t="s">
        <v>74</v>
      </c>
      <c r="BF987" s="55" t="s">
        <v>74</v>
      </c>
      <c r="BG987" s="55" t="s">
        <v>74</v>
      </c>
      <c r="BH987" s="52">
        <v>0</v>
      </c>
      <c r="BI987" s="52">
        <v>2583631.4700000002</v>
      </c>
      <c r="BJ987" s="52">
        <v>2583631.4700000002</v>
      </c>
      <c r="BK987" s="56">
        <v>43952</v>
      </c>
      <c r="BL987" s="57">
        <v>2583631.4700000002</v>
      </c>
      <c r="BM987" s="47">
        <v>0</v>
      </c>
      <c r="BN987" s="9"/>
      <c r="BO987" s="9"/>
      <c r="BP987" s="9"/>
      <c r="BQ987" s="9"/>
      <c r="BR987" s="9"/>
      <c r="BS987" s="9"/>
      <c r="BT987" s="9"/>
      <c r="BU987" s="9"/>
      <c r="BV987" s="9"/>
      <c r="BW987" s="9"/>
    </row>
    <row r="988" spans="1:75" ht="23.25" customHeight="1" outlineLevel="2" x14ac:dyDescent="0.25">
      <c r="A988" s="43" t="s">
        <v>1073</v>
      </c>
      <c r="B988" s="110" t="s">
        <v>1074</v>
      </c>
      <c r="C988" s="45">
        <v>2020</v>
      </c>
      <c r="D988" s="110" t="s">
        <v>83</v>
      </c>
      <c r="E988" s="47">
        <v>2621407.2000000002</v>
      </c>
      <c r="F988" s="47">
        <v>0</v>
      </c>
      <c r="G988" s="47">
        <v>0</v>
      </c>
      <c r="H988" s="47">
        <v>0</v>
      </c>
      <c r="I988" s="47">
        <v>0</v>
      </c>
      <c r="J988" s="47">
        <v>0</v>
      </c>
      <c r="K988" s="47">
        <v>0</v>
      </c>
      <c r="L988" s="47">
        <v>0</v>
      </c>
      <c r="M988" s="47">
        <v>0</v>
      </c>
      <c r="N988" s="47">
        <v>0</v>
      </c>
      <c r="O988" s="47">
        <v>0</v>
      </c>
      <c r="P988" s="47">
        <v>0</v>
      </c>
      <c r="Q988" s="47">
        <v>0</v>
      </c>
      <c r="R988" s="47">
        <v>0</v>
      </c>
      <c r="S988" s="47">
        <v>0</v>
      </c>
      <c r="T988" s="47">
        <v>0</v>
      </c>
      <c r="U988" s="47">
        <v>0</v>
      </c>
      <c r="V988" s="47">
        <v>0</v>
      </c>
      <c r="W988" s="47">
        <v>0</v>
      </c>
      <c r="X988" s="47">
        <v>0</v>
      </c>
      <c r="Y988" s="48">
        <v>2621407.2000000002</v>
      </c>
      <c r="Z988" s="58">
        <v>13977.41</v>
      </c>
      <c r="AA988" s="50">
        <v>13977.41</v>
      </c>
      <c r="AB988" s="50">
        <v>0</v>
      </c>
      <c r="AC988" s="50">
        <v>0</v>
      </c>
      <c r="AD988" s="62">
        <v>20331.099999999999</v>
      </c>
      <c r="AE988" s="50">
        <v>0</v>
      </c>
      <c r="AF988" s="50">
        <v>0</v>
      </c>
      <c r="AG988" s="49">
        <v>34308.51</v>
      </c>
      <c r="AH988" s="51" t="s">
        <v>104</v>
      </c>
      <c r="AI988" s="51" t="s">
        <v>74</v>
      </c>
      <c r="AJ988" s="51" t="s">
        <v>74</v>
      </c>
      <c r="AK988" s="51" t="s">
        <v>163</v>
      </c>
      <c r="AL988" s="51" t="s">
        <v>74</v>
      </c>
      <c r="AM988" s="51" t="s">
        <v>74</v>
      </c>
      <c r="AN988" s="52">
        <v>0</v>
      </c>
      <c r="AO988" s="52">
        <v>0</v>
      </c>
      <c r="AP988" s="52">
        <v>0</v>
      </c>
      <c r="AQ988" s="52">
        <v>0</v>
      </c>
      <c r="AR988" s="52">
        <v>0</v>
      </c>
      <c r="AS988" s="52">
        <v>0</v>
      </c>
      <c r="AT988" s="53" t="s">
        <v>74</v>
      </c>
      <c r="AU988" s="52">
        <v>0</v>
      </c>
      <c r="AV988" s="52"/>
      <c r="AW988" s="52">
        <v>0</v>
      </c>
      <c r="AX988" s="52"/>
      <c r="AY988" s="52"/>
      <c r="AZ988" s="52">
        <v>0</v>
      </c>
      <c r="BA988" s="52">
        <v>0</v>
      </c>
      <c r="BB988" s="54" t="s">
        <v>74</v>
      </c>
      <c r="BC988" s="53" t="s">
        <v>74</v>
      </c>
      <c r="BD988" s="55" t="s">
        <v>74</v>
      </c>
      <c r="BE988" s="55" t="s">
        <v>74</v>
      </c>
      <c r="BF988" s="55" t="s">
        <v>74</v>
      </c>
      <c r="BG988" s="55" t="s">
        <v>74</v>
      </c>
      <c r="BH988" s="52">
        <v>0</v>
      </c>
      <c r="BI988" s="52">
        <v>2587098.69</v>
      </c>
      <c r="BJ988" s="52">
        <v>2587098.69</v>
      </c>
      <c r="BK988" s="56">
        <v>43983</v>
      </c>
      <c r="BL988" s="57">
        <v>2587098.69</v>
      </c>
      <c r="BM988" s="47">
        <v>0</v>
      </c>
      <c r="BN988" s="9"/>
      <c r="BO988" s="9"/>
      <c r="BP988" s="9"/>
      <c r="BQ988" s="9"/>
      <c r="BR988" s="9"/>
      <c r="BS988" s="9"/>
      <c r="BT988" s="9"/>
      <c r="BU988" s="9"/>
      <c r="BV988" s="9"/>
      <c r="BW988" s="9"/>
    </row>
    <row r="989" spans="1:75" ht="23.25" customHeight="1" outlineLevel="2" x14ac:dyDescent="0.25">
      <c r="A989" s="43" t="s">
        <v>1073</v>
      </c>
      <c r="B989" s="110" t="s">
        <v>1074</v>
      </c>
      <c r="C989" s="45">
        <v>2020</v>
      </c>
      <c r="D989" s="110" t="s">
        <v>84</v>
      </c>
      <c r="E989" s="47">
        <v>2621407.2000000002</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2621407.2000000002</v>
      </c>
      <c r="Z989" s="58">
        <v>14001.66</v>
      </c>
      <c r="AA989" s="50">
        <v>14001.66</v>
      </c>
      <c r="AB989" s="50">
        <v>0</v>
      </c>
      <c r="AC989" s="50">
        <v>0</v>
      </c>
      <c r="AD989" s="62">
        <v>17727.55</v>
      </c>
      <c r="AE989" s="50">
        <v>0</v>
      </c>
      <c r="AF989" s="50">
        <v>0</v>
      </c>
      <c r="AG989" s="49">
        <v>31729.21</v>
      </c>
      <c r="AH989" s="51" t="s">
        <v>104</v>
      </c>
      <c r="AI989" s="51" t="s">
        <v>74</v>
      </c>
      <c r="AJ989" s="51" t="s">
        <v>74</v>
      </c>
      <c r="AK989" s="51" t="s">
        <v>165</v>
      </c>
      <c r="AL989" s="51" t="s">
        <v>74</v>
      </c>
      <c r="AM989" s="51" t="s">
        <v>74</v>
      </c>
      <c r="AN989" s="52">
        <v>0</v>
      </c>
      <c r="AO989" s="52">
        <v>0</v>
      </c>
      <c r="AP989" s="52">
        <v>0</v>
      </c>
      <c r="AQ989" s="52">
        <v>0</v>
      </c>
      <c r="AR989" s="52">
        <v>0</v>
      </c>
      <c r="AS989" s="52">
        <v>0</v>
      </c>
      <c r="AT989" s="53" t="s">
        <v>74</v>
      </c>
      <c r="AU989" s="52">
        <v>0</v>
      </c>
      <c r="AV989" s="52"/>
      <c r="AW989" s="52">
        <v>0</v>
      </c>
      <c r="AX989" s="52"/>
      <c r="AY989" s="52"/>
      <c r="AZ989" s="52">
        <v>0</v>
      </c>
      <c r="BA989" s="52">
        <v>0</v>
      </c>
      <c r="BB989" s="54" t="s">
        <v>74</v>
      </c>
      <c r="BC989" s="53" t="s">
        <v>74</v>
      </c>
      <c r="BD989" s="55" t="s">
        <v>74</v>
      </c>
      <c r="BE989" s="55" t="s">
        <v>74</v>
      </c>
      <c r="BF989" s="55" t="s">
        <v>74</v>
      </c>
      <c r="BG989" s="55" t="s">
        <v>74</v>
      </c>
      <c r="BH989" s="52">
        <v>0</v>
      </c>
      <c r="BI989" s="52">
        <v>2589677.9900000002</v>
      </c>
      <c r="BJ989" s="52">
        <v>2589677.9900000002</v>
      </c>
      <c r="BK989" s="56">
        <v>44013</v>
      </c>
      <c r="BL989" s="57">
        <v>2589677.9900000002</v>
      </c>
      <c r="BM989" s="47">
        <v>0</v>
      </c>
      <c r="BN989" s="9"/>
      <c r="BO989" s="9"/>
      <c r="BP989" s="9"/>
      <c r="BQ989" s="9"/>
      <c r="BR989" s="9"/>
      <c r="BS989" s="9"/>
      <c r="BT989" s="9"/>
      <c r="BU989" s="9"/>
      <c r="BV989" s="9"/>
      <c r="BW989" s="9"/>
    </row>
    <row r="990" spans="1:75" ht="23.25" customHeight="1" outlineLevel="2" x14ac:dyDescent="0.25">
      <c r="A990" s="43" t="s">
        <v>1073</v>
      </c>
      <c r="B990" s="110" t="s">
        <v>1074</v>
      </c>
      <c r="C990" s="45">
        <v>2020</v>
      </c>
      <c r="D990" s="110" t="s">
        <v>86</v>
      </c>
      <c r="E990" s="47">
        <v>2621407.2000000002</v>
      </c>
      <c r="F990" s="47">
        <v>0</v>
      </c>
      <c r="G990" s="47">
        <v>0</v>
      </c>
      <c r="H990" s="47">
        <v>0</v>
      </c>
      <c r="I990" s="47">
        <v>0</v>
      </c>
      <c r="J990" s="47">
        <v>0</v>
      </c>
      <c r="K990" s="47">
        <v>0</v>
      </c>
      <c r="L990" s="47">
        <v>0</v>
      </c>
      <c r="M990" s="47">
        <v>0</v>
      </c>
      <c r="N990" s="47">
        <v>0</v>
      </c>
      <c r="O990" s="47">
        <v>0</v>
      </c>
      <c r="P990" s="47">
        <v>0</v>
      </c>
      <c r="Q990" s="47">
        <v>0</v>
      </c>
      <c r="R990" s="47">
        <v>0</v>
      </c>
      <c r="S990" s="47">
        <v>0</v>
      </c>
      <c r="T990" s="47">
        <v>0</v>
      </c>
      <c r="U990" s="47">
        <v>0</v>
      </c>
      <c r="V990" s="47">
        <v>0</v>
      </c>
      <c r="W990" s="47">
        <v>0</v>
      </c>
      <c r="X990" s="47">
        <v>0</v>
      </c>
      <c r="Y990" s="48">
        <v>2621407.2000000002</v>
      </c>
      <c r="Z990" s="65">
        <v>18456.650000000001</v>
      </c>
      <c r="AA990" s="61">
        <v>18456.650000000001</v>
      </c>
      <c r="AB990" s="50">
        <v>0</v>
      </c>
      <c r="AC990" s="50">
        <v>0</v>
      </c>
      <c r="AD990" s="62">
        <v>19936.34</v>
      </c>
      <c r="AE990" s="50">
        <v>0</v>
      </c>
      <c r="AF990" s="50">
        <v>0</v>
      </c>
      <c r="AG990" s="49">
        <v>38392.99</v>
      </c>
      <c r="AH990" s="51" t="s">
        <v>104</v>
      </c>
      <c r="AI990" s="51" t="s">
        <v>74</v>
      </c>
      <c r="AJ990" s="51" t="s">
        <v>74</v>
      </c>
      <c r="AK990" s="51" t="s">
        <v>168</v>
      </c>
      <c r="AL990" s="51" t="s">
        <v>74</v>
      </c>
      <c r="AM990" s="51" t="s">
        <v>74</v>
      </c>
      <c r="AN990" s="52">
        <v>0</v>
      </c>
      <c r="AO990" s="52">
        <v>0</v>
      </c>
      <c r="AP990" s="52">
        <v>0</v>
      </c>
      <c r="AQ990" s="52">
        <v>0</v>
      </c>
      <c r="AR990" s="52">
        <v>0</v>
      </c>
      <c r="AS990" s="52">
        <v>0</v>
      </c>
      <c r="AT990" s="53" t="s">
        <v>74</v>
      </c>
      <c r="AU990" s="52">
        <v>0</v>
      </c>
      <c r="AV990" s="52"/>
      <c r="AW990" s="52">
        <v>0</v>
      </c>
      <c r="AX990" s="52"/>
      <c r="AY990" s="52"/>
      <c r="AZ990" s="52">
        <v>0</v>
      </c>
      <c r="BA990" s="52">
        <v>0</v>
      </c>
      <c r="BB990" s="54" t="s">
        <v>74</v>
      </c>
      <c r="BC990" s="53" t="s">
        <v>74</v>
      </c>
      <c r="BD990" s="55" t="s">
        <v>74</v>
      </c>
      <c r="BE990" s="55" t="s">
        <v>74</v>
      </c>
      <c r="BF990" s="55" t="s">
        <v>74</v>
      </c>
      <c r="BG990" s="55" t="s">
        <v>74</v>
      </c>
      <c r="BH990" s="52">
        <v>0</v>
      </c>
      <c r="BI990" s="52">
        <v>2583014.21</v>
      </c>
      <c r="BJ990" s="52">
        <v>2583014.21</v>
      </c>
      <c r="BK990" s="56">
        <v>44044</v>
      </c>
      <c r="BL990" s="63">
        <v>2583014.21</v>
      </c>
      <c r="BM990" s="47">
        <v>0</v>
      </c>
      <c r="BN990" s="9"/>
      <c r="BO990" s="9"/>
      <c r="BP990" s="9"/>
      <c r="BQ990" s="9"/>
      <c r="BR990" s="9"/>
      <c r="BS990" s="9"/>
      <c r="BT990" s="9"/>
      <c r="BU990" s="9"/>
      <c r="BV990" s="9"/>
      <c r="BW990" s="9"/>
    </row>
    <row r="991" spans="1:75" ht="23.25" customHeight="1" outlineLevel="2" x14ac:dyDescent="0.25">
      <c r="A991" s="43" t="s">
        <v>1073</v>
      </c>
      <c r="B991" s="110" t="s">
        <v>1074</v>
      </c>
      <c r="C991" s="45">
        <v>2020</v>
      </c>
      <c r="D991" s="110" t="s">
        <v>88</v>
      </c>
      <c r="E991" s="47">
        <v>2621407.2000000002</v>
      </c>
      <c r="F991" s="47">
        <v>0</v>
      </c>
      <c r="G991" s="47">
        <v>0</v>
      </c>
      <c r="H991" s="47">
        <v>0</v>
      </c>
      <c r="I991" s="47">
        <v>0</v>
      </c>
      <c r="J991" s="47">
        <v>0</v>
      </c>
      <c r="K991" s="47">
        <v>0</v>
      </c>
      <c r="L991" s="47">
        <v>0</v>
      </c>
      <c r="M991" s="47">
        <v>0</v>
      </c>
      <c r="N991" s="47">
        <v>0</v>
      </c>
      <c r="O991" s="47">
        <v>0</v>
      </c>
      <c r="P991" s="47">
        <v>0</v>
      </c>
      <c r="Q991" s="47">
        <v>0</v>
      </c>
      <c r="R991" s="47">
        <v>0</v>
      </c>
      <c r="S991" s="47">
        <v>0</v>
      </c>
      <c r="T991" s="47">
        <v>0</v>
      </c>
      <c r="U991" s="47">
        <v>0</v>
      </c>
      <c r="V991" s="47">
        <v>0</v>
      </c>
      <c r="W991" s="47">
        <v>0</v>
      </c>
      <c r="X991" s="47">
        <v>0</v>
      </c>
      <c r="Y991" s="48">
        <v>2621407.2000000002</v>
      </c>
      <c r="Z991" s="66">
        <v>14107.75</v>
      </c>
      <c r="AA991" s="62">
        <v>14107.75</v>
      </c>
      <c r="AB991" s="50">
        <v>0</v>
      </c>
      <c r="AC991" s="50">
        <v>0</v>
      </c>
      <c r="AD991" s="62">
        <v>17607.96</v>
      </c>
      <c r="AE991" s="50">
        <v>0</v>
      </c>
      <c r="AF991" s="50">
        <v>0</v>
      </c>
      <c r="AG991" s="49">
        <v>31715.71</v>
      </c>
      <c r="AH991" s="51" t="s">
        <v>104</v>
      </c>
      <c r="AI991" s="51" t="s">
        <v>74</v>
      </c>
      <c r="AJ991" s="51" t="s">
        <v>74</v>
      </c>
      <c r="AK991" s="51" t="s">
        <v>170</v>
      </c>
      <c r="AL991" s="51" t="s">
        <v>74</v>
      </c>
      <c r="AM991" s="51" t="s">
        <v>74</v>
      </c>
      <c r="AN991" s="52">
        <v>0</v>
      </c>
      <c r="AO991" s="52">
        <v>0</v>
      </c>
      <c r="AP991" s="52">
        <v>0</v>
      </c>
      <c r="AQ991" s="52">
        <v>0</v>
      </c>
      <c r="AR991" s="52">
        <v>0</v>
      </c>
      <c r="AS991" s="52">
        <v>0</v>
      </c>
      <c r="AT991" s="53" t="s">
        <v>74</v>
      </c>
      <c r="AU991" s="52">
        <v>0</v>
      </c>
      <c r="AV991" s="52"/>
      <c r="AW991" s="52">
        <v>0</v>
      </c>
      <c r="AX991" s="52"/>
      <c r="AY991" s="52"/>
      <c r="AZ991" s="52">
        <v>0</v>
      </c>
      <c r="BA991" s="52">
        <v>0</v>
      </c>
      <c r="BB991" s="54" t="s">
        <v>74</v>
      </c>
      <c r="BC991" s="53" t="s">
        <v>74</v>
      </c>
      <c r="BD991" s="55" t="s">
        <v>74</v>
      </c>
      <c r="BE991" s="55" t="s">
        <v>74</v>
      </c>
      <c r="BF991" s="55" t="s">
        <v>74</v>
      </c>
      <c r="BG991" s="55" t="s">
        <v>74</v>
      </c>
      <c r="BH991" s="52">
        <v>0</v>
      </c>
      <c r="BI991" s="52">
        <v>2589691.4900000002</v>
      </c>
      <c r="BJ991" s="52">
        <v>2589691.4900000002</v>
      </c>
      <c r="BK991" s="56">
        <v>44075</v>
      </c>
      <c r="BL991" s="63">
        <v>2589691.4900000002</v>
      </c>
      <c r="BM991" s="47">
        <v>0</v>
      </c>
      <c r="BN991" s="9"/>
      <c r="BO991" s="9"/>
      <c r="BP991" s="9"/>
      <c r="BQ991" s="9"/>
      <c r="BR991" s="9"/>
      <c r="BS991" s="9"/>
      <c r="BT991" s="9"/>
      <c r="BU991" s="9"/>
      <c r="BV991" s="9"/>
      <c r="BW991" s="9"/>
    </row>
    <row r="992" spans="1:75" ht="38.25" customHeight="1" outlineLevel="2" x14ac:dyDescent="0.25">
      <c r="A992" s="43" t="s">
        <v>1073</v>
      </c>
      <c r="B992" s="110" t="s">
        <v>1074</v>
      </c>
      <c r="C992" s="45">
        <v>2020</v>
      </c>
      <c r="D992" s="110" t="s">
        <v>89</v>
      </c>
      <c r="E992" s="47">
        <v>2621407.2000000002</v>
      </c>
      <c r="F992" s="47">
        <v>259760.72</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2881167.92</v>
      </c>
      <c r="Z992" s="66">
        <v>14115.7</v>
      </c>
      <c r="AA992" s="62">
        <v>14115.7</v>
      </c>
      <c r="AB992" s="50">
        <v>0</v>
      </c>
      <c r="AC992" s="50">
        <v>0</v>
      </c>
      <c r="AD992" s="62">
        <v>21429.58</v>
      </c>
      <c r="AE992" s="50">
        <v>0</v>
      </c>
      <c r="AF992" s="50">
        <v>0</v>
      </c>
      <c r="AG992" s="49">
        <v>35545.279999999999</v>
      </c>
      <c r="AH992" s="51" t="s">
        <v>104</v>
      </c>
      <c r="AI992" s="51" t="s">
        <v>74</v>
      </c>
      <c r="AJ992" s="51" t="s">
        <v>74</v>
      </c>
      <c r="AK992" s="51" t="s">
        <v>172</v>
      </c>
      <c r="AL992" s="51" t="s">
        <v>74</v>
      </c>
      <c r="AM992" s="51" t="s">
        <v>74</v>
      </c>
      <c r="AN992" s="52"/>
      <c r="AO992" s="52"/>
      <c r="AP992" s="52"/>
      <c r="AQ992" s="52"/>
      <c r="AR992" s="52"/>
      <c r="AS992" s="52">
        <v>0</v>
      </c>
      <c r="AT992" s="53" t="s">
        <v>74</v>
      </c>
      <c r="AU992" s="59">
        <v>1805079.99</v>
      </c>
      <c r="AV992" s="52"/>
      <c r="AW992" s="52">
        <v>0</v>
      </c>
      <c r="AX992" s="52"/>
      <c r="AY992" s="52"/>
      <c r="AZ992" s="52">
        <v>0</v>
      </c>
      <c r="BA992" s="52">
        <v>1805079.99</v>
      </c>
      <c r="BB992" s="53" t="s">
        <v>1084</v>
      </c>
      <c r="BC992" s="53" t="s">
        <v>74</v>
      </c>
      <c r="BD992" s="55" t="s">
        <v>74</v>
      </c>
      <c r="BE992" s="55" t="s">
        <v>74</v>
      </c>
      <c r="BF992" s="55" t="s">
        <v>74</v>
      </c>
      <c r="BG992" s="55" t="s">
        <v>74</v>
      </c>
      <c r="BH992" s="52">
        <v>1805079.99</v>
      </c>
      <c r="BI992" s="52">
        <v>4650702.63</v>
      </c>
      <c r="BJ992" s="52">
        <v>2845622.64</v>
      </c>
      <c r="BK992" s="56">
        <v>44105</v>
      </c>
      <c r="BL992" s="63">
        <v>4650702.63</v>
      </c>
      <c r="BM992" s="47">
        <v>0</v>
      </c>
      <c r="BN992" s="9"/>
      <c r="BO992" s="9"/>
      <c r="BP992" s="9"/>
      <c r="BQ992" s="9"/>
      <c r="BR992" s="9"/>
      <c r="BS992" s="9"/>
      <c r="BT992" s="9"/>
      <c r="BU992" s="9"/>
      <c r="BV992" s="9"/>
      <c r="BW992" s="9"/>
    </row>
    <row r="993" spans="1:75" ht="56.25" customHeight="1" outlineLevel="2" x14ac:dyDescent="0.25">
      <c r="A993" s="43" t="s">
        <v>1073</v>
      </c>
      <c r="B993" s="110" t="s">
        <v>1074</v>
      </c>
      <c r="C993" s="45">
        <v>2020</v>
      </c>
      <c r="D993" s="110" t="s">
        <v>90</v>
      </c>
      <c r="E993" s="47">
        <v>2621407.2000000002</v>
      </c>
      <c r="F993" s="47">
        <v>360778.78</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2982185.98</v>
      </c>
      <c r="Z993" s="66">
        <v>17867.330000000002</v>
      </c>
      <c r="AA993" s="50">
        <v>16530.27</v>
      </c>
      <c r="AB993" s="50">
        <v>0</v>
      </c>
      <c r="AC993" s="50">
        <v>0</v>
      </c>
      <c r="AD993" s="62">
        <v>26469.73</v>
      </c>
      <c r="AE993" s="50">
        <v>0</v>
      </c>
      <c r="AF993" s="50">
        <v>0</v>
      </c>
      <c r="AG993" s="49">
        <v>43000</v>
      </c>
      <c r="AH993" s="51" t="s">
        <v>1085</v>
      </c>
      <c r="AI993" s="51" t="s">
        <v>74</v>
      </c>
      <c r="AJ993" s="51" t="s">
        <v>74</v>
      </c>
      <c r="AK993" s="51" t="s">
        <v>175</v>
      </c>
      <c r="AL993" s="51" t="s">
        <v>74</v>
      </c>
      <c r="AM993" s="51" t="s">
        <v>74</v>
      </c>
      <c r="AN993" s="52">
        <v>0</v>
      </c>
      <c r="AO993" s="52">
        <v>0</v>
      </c>
      <c r="AP993" s="52">
        <v>0</v>
      </c>
      <c r="AQ993" s="52">
        <v>0</v>
      </c>
      <c r="AR993" s="52">
        <v>0</v>
      </c>
      <c r="AS993" s="52">
        <v>0</v>
      </c>
      <c r="AT993" s="53" t="s">
        <v>74</v>
      </c>
      <c r="AU993" s="52">
        <v>0</v>
      </c>
      <c r="AV993" s="52"/>
      <c r="AW993" s="52">
        <v>0</v>
      </c>
      <c r="AX993" s="52"/>
      <c r="AY993" s="52"/>
      <c r="AZ993" s="52">
        <v>0</v>
      </c>
      <c r="BA993" s="52">
        <v>0</v>
      </c>
      <c r="BB993" s="54" t="s">
        <v>74</v>
      </c>
      <c r="BC993" s="53" t="s">
        <v>74</v>
      </c>
      <c r="BD993" s="55" t="s">
        <v>74</v>
      </c>
      <c r="BE993" s="55" t="s">
        <v>74</v>
      </c>
      <c r="BF993" s="55" t="s">
        <v>74</v>
      </c>
      <c r="BG993" s="55" t="s">
        <v>74</v>
      </c>
      <c r="BH993" s="52">
        <v>0</v>
      </c>
      <c r="BI993" s="52">
        <v>2939185.98</v>
      </c>
      <c r="BJ993" s="52">
        <v>2939185.98</v>
      </c>
      <c r="BK993" s="56">
        <v>44136</v>
      </c>
      <c r="BL993" s="63">
        <v>2939185.98</v>
      </c>
      <c r="BM993" s="47">
        <v>0</v>
      </c>
      <c r="BN993" s="9"/>
      <c r="BO993" s="9"/>
      <c r="BP993" s="9"/>
      <c r="BQ993" s="9"/>
      <c r="BR993" s="9"/>
      <c r="BS993" s="9"/>
      <c r="BT993" s="9"/>
      <c r="BU993" s="9"/>
      <c r="BV993" s="9"/>
      <c r="BW993" s="9"/>
    </row>
    <row r="994" spans="1:75" ht="44.25" customHeight="1" outlineLevel="2" x14ac:dyDescent="0.25">
      <c r="A994" s="43" t="s">
        <v>1073</v>
      </c>
      <c r="B994" s="110" t="s">
        <v>1074</v>
      </c>
      <c r="C994" s="45">
        <v>2020</v>
      </c>
      <c r="D994" s="110" t="s">
        <v>93</v>
      </c>
      <c r="E994" s="47">
        <v>2621407.2000000002</v>
      </c>
      <c r="F994" s="47">
        <v>0</v>
      </c>
      <c r="G994" s="47">
        <v>0</v>
      </c>
      <c r="H994" s="47">
        <v>0</v>
      </c>
      <c r="I994" s="47">
        <v>0</v>
      </c>
      <c r="J994" s="47">
        <v>0</v>
      </c>
      <c r="K994" s="47">
        <v>0</v>
      </c>
      <c r="L994" s="47">
        <v>0</v>
      </c>
      <c r="M994" s="47">
        <v>0</v>
      </c>
      <c r="N994" s="47">
        <v>0</v>
      </c>
      <c r="O994" s="47">
        <v>0</v>
      </c>
      <c r="P994" s="47">
        <v>0</v>
      </c>
      <c r="Q994" s="47">
        <v>0</v>
      </c>
      <c r="R994" s="47">
        <v>0</v>
      </c>
      <c r="S994" s="47">
        <v>0</v>
      </c>
      <c r="T994" s="47">
        <v>0</v>
      </c>
      <c r="U994" s="47">
        <v>0</v>
      </c>
      <c r="V994" s="47">
        <v>0</v>
      </c>
      <c r="W994" s="47">
        <v>0</v>
      </c>
      <c r="X994" s="47">
        <v>0</v>
      </c>
      <c r="Y994" s="48">
        <v>2621407.2000000002</v>
      </c>
      <c r="Z994" s="67">
        <v>15080.76</v>
      </c>
      <c r="AA994" s="62">
        <v>15080.76</v>
      </c>
      <c r="AB994" s="50">
        <v>1337.06</v>
      </c>
      <c r="AC994" s="50">
        <v>0</v>
      </c>
      <c r="AD994" s="62">
        <v>24671.62</v>
      </c>
      <c r="AE994" s="50">
        <v>0</v>
      </c>
      <c r="AF994" s="50">
        <v>0</v>
      </c>
      <c r="AG994" s="49">
        <v>41089.440000000002</v>
      </c>
      <c r="AH994" s="51" t="s">
        <v>104</v>
      </c>
      <c r="AI994" s="51" t="s">
        <v>1086</v>
      </c>
      <c r="AJ994" s="51" t="s">
        <v>74</v>
      </c>
      <c r="AK994" s="51" t="s">
        <v>177</v>
      </c>
      <c r="AL994" s="51" t="s">
        <v>74</v>
      </c>
      <c r="AM994" s="51" t="s">
        <v>74</v>
      </c>
      <c r="AN994" s="52">
        <v>0</v>
      </c>
      <c r="AO994" s="52">
        <v>0</v>
      </c>
      <c r="AP994" s="52">
        <v>0</v>
      </c>
      <c r="AQ994" s="52">
        <v>0</v>
      </c>
      <c r="AR994" s="52">
        <v>0</v>
      </c>
      <c r="AS994" s="52">
        <v>0</v>
      </c>
      <c r="AT994" s="53" t="s">
        <v>74</v>
      </c>
      <c r="AU994" s="52">
        <v>0</v>
      </c>
      <c r="AV994" s="52"/>
      <c r="AW994" s="52">
        <v>0</v>
      </c>
      <c r="AX994" s="52"/>
      <c r="AY994" s="52"/>
      <c r="AZ994" s="52">
        <v>0</v>
      </c>
      <c r="BA994" s="52">
        <v>0</v>
      </c>
      <c r="BB994" s="54" t="s">
        <v>74</v>
      </c>
      <c r="BC994" s="53" t="s">
        <v>74</v>
      </c>
      <c r="BD994" s="55" t="s">
        <v>74</v>
      </c>
      <c r="BE994" s="55" t="s">
        <v>74</v>
      </c>
      <c r="BF994" s="55" t="s">
        <v>74</v>
      </c>
      <c r="BG994" s="55" t="s">
        <v>74</v>
      </c>
      <c r="BH994" s="52">
        <v>0</v>
      </c>
      <c r="BI994" s="52">
        <v>2580317.7599999998</v>
      </c>
      <c r="BJ994" s="52">
        <v>2580317.7599999998</v>
      </c>
      <c r="BK994" s="56">
        <v>44166</v>
      </c>
      <c r="BL994" s="63">
        <v>2580317.7599999998</v>
      </c>
      <c r="BM994" s="47">
        <v>0</v>
      </c>
      <c r="BN994" s="9"/>
      <c r="BO994" s="9"/>
      <c r="BP994" s="9"/>
      <c r="BQ994" s="9"/>
      <c r="BR994" s="9"/>
      <c r="BS994" s="9"/>
      <c r="BT994" s="9"/>
      <c r="BU994" s="9"/>
      <c r="BV994" s="9"/>
      <c r="BW994" s="9"/>
    </row>
    <row r="995" spans="1:75" ht="30.75" customHeight="1" outlineLevel="2" x14ac:dyDescent="0.25">
      <c r="A995" s="43" t="s">
        <v>1073</v>
      </c>
      <c r="B995" s="110" t="s">
        <v>1074</v>
      </c>
      <c r="C995" s="45">
        <v>2021</v>
      </c>
      <c r="D995" s="110" t="s">
        <v>73</v>
      </c>
      <c r="E995" s="47">
        <v>2621407.2000000002</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f t="shared" ref="Y995:Y1004" si="171">SUM(E995:X995)</f>
        <v>2621407.2000000002</v>
      </c>
      <c r="Z995" s="66">
        <v>14310.61</v>
      </c>
      <c r="AA995" s="62">
        <v>14310.61</v>
      </c>
      <c r="AB995" s="50">
        <v>0</v>
      </c>
      <c r="AC995" s="50">
        <v>0</v>
      </c>
      <c r="AD995" s="62">
        <v>25105.78</v>
      </c>
      <c r="AE995" s="50">
        <v>0</v>
      </c>
      <c r="AF995" s="50">
        <v>0</v>
      </c>
      <c r="AG995" s="49">
        <f t="shared" ref="AG995:AG1004" si="172">SUM(AA995:AF995)</f>
        <v>39416.39</v>
      </c>
      <c r="AH995" s="51" t="s">
        <v>104</v>
      </c>
      <c r="AI995" s="51" t="s">
        <v>74</v>
      </c>
      <c r="AJ995" s="51" t="s">
        <v>74</v>
      </c>
      <c r="AK995" s="51" t="s">
        <v>1087</v>
      </c>
      <c r="AL995" s="51" t="s">
        <v>74</v>
      </c>
      <c r="AM995" s="51" t="s">
        <v>74</v>
      </c>
      <c r="AN995" s="52">
        <v>0</v>
      </c>
      <c r="AO995" s="52">
        <v>0</v>
      </c>
      <c r="AP995" s="52">
        <v>0</v>
      </c>
      <c r="AQ995" s="52">
        <v>0</v>
      </c>
      <c r="AR995" s="52">
        <v>0</v>
      </c>
      <c r="AS995" s="52">
        <f t="shared" ref="AS995:AS1004" si="173">AN995+AO995+AP995+AQ995+AR995</f>
        <v>0</v>
      </c>
      <c r="AT995" s="53" t="s">
        <v>74</v>
      </c>
      <c r="AU995" s="52">
        <v>0</v>
      </c>
      <c r="AV995" s="52"/>
      <c r="AW995" s="52">
        <v>0</v>
      </c>
      <c r="AX995" s="59">
        <v>496018.36</v>
      </c>
      <c r="AY995" s="59"/>
      <c r="AZ995" s="52">
        <v>0</v>
      </c>
      <c r="BA995" s="52">
        <f t="shared" ref="BA995:BA1004" si="174">AU995+AW995+AX995+AZ995</f>
        <v>496018.36</v>
      </c>
      <c r="BB995" s="54" t="s">
        <v>74</v>
      </c>
      <c r="BC995" s="53" t="s">
        <v>74</v>
      </c>
      <c r="BD995" s="55" t="s">
        <v>74</v>
      </c>
      <c r="BE995" s="51" t="s">
        <v>1088</v>
      </c>
      <c r="BF995" s="55" t="s">
        <v>74</v>
      </c>
      <c r="BG995" s="55" t="s">
        <v>74</v>
      </c>
      <c r="BH995" s="52">
        <f t="shared" ref="BH995:BH1004" si="175">AS995+BA995</f>
        <v>496018.36</v>
      </c>
      <c r="BI995" s="52">
        <f t="shared" ref="BI995:BI1004" si="176">Y995-AG995+BH995</f>
        <v>3078009.17</v>
      </c>
      <c r="BJ995" s="52">
        <v>3078009.17</v>
      </c>
      <c r="BK995" s="56">
        <v>44197</v>
      </c>
      <c r="BL995" s="57">
        <v>3078009.17</v>
      </c>
      <c r="BM995" s="47">
        <v>0</v>
      </c>
      <c r="BN995" s="9"/>
      <c r="BO995" s="9"/>
      <c r="BP995" s="9"/>
      <c r="BQ995" s="9"/>
      <c r="BR995" s="9"/>
      <c r="BS995" s="9"/>
      <c r="BT995" s="9"/>
      <c r="BU995" s="9"/>
      <c r="BV995" s="9"/>
      <c r="BW995" s="9"/>
    </row>
    <row r="996" spans="1:75" ht="50.25" customHeight="1" outlineLevel="2" x14ac:dyDescent="0.25">
      <c r="A996" s="43" t="s">
        <v>1073</v>
      </c>
      <c r="B996" s="110" t="s">
        <v>1074</v>
      </c>
      <c r="C996" s="45">
        <v>2021</v>
      </c>
      <c r="D996" s="110" t="s">
        <v>75</v>
      </c>
      <c r="E996" s="47">
        <v>2621407.2000000002</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f t="shared" si="171"/>
        <v>2621407.2000000002</v>
      </c>
      <c r="Z996" s="66">
        <v>13326.11</v>
      </c>
      <c r="AA996" s="50">
        <v>9166.83</v>
      </c>
      <c r="AB996" s="50">
        <v>0</v>
      </c>
      <c r="AC996" s="50">
        <v>0</v>
      </c>
      <c r="AD996" s="62">
        <v>40833.17</v>
      </c>
      <c r="AE996" s="50">
        <v>0</v>
      </c>
      <c r="AF996" s="50">
        <v>0</v>
      </c>
      <c r="AG996" s="49">
        <f t="shared" si="172"/>
        <v>50000</v>
      </c>
      <c r="AH996" s="51" t="s">
        <v>1089</v>
      </c>
      <c r="AI996" s="51" t="s">
        <v>74</v>
      </c>
      <c r="AJ996" s="51" t="s">
        <v>74</v>
      </c>
      <c r="AK996" s="51" t="s">
        <v>180</v>
      </c>
      <c r="AL996" s="51" t="s">
        <v>74</v>
      </c>
      <c r="AM996" s="51" t="s">
        <v>74</v>
      </c>
      <c r="AN996" s="52">
        <v>0</v>
      </c>
      <c r="AO996" s="52">
        <v>0</v>
      </c>
      <c r="AP996" s="52">
        <v>0</v>
      </c>
      <c r="AQ996" s="52">
        <v>0</v>
      </c>
      <c r="AR996" s="52">
        <v>0</v>
      </c>
      <c r="AS996" s="52">
        <f t="shared" si="173"/>
        <v>0</v>
      </c>
      <c r="AT996" s="53" t="s">
        <v>74</v>
      </c>
      <c r="AU996" s="52">
        <v>0</v>
      </c>
      <c r="AV996" s="52"/>
      <c r="AW996" s="52">
        <v>0</v>
      </c>
      <c r="AX996" s="59">
        <v>228931.55</v>
      </c>
      <c r="AY996" s="59"/>
      <c r="AZ996" s="52">
        <v>0</v>
      </c>
      <c r="BA996" s="52">
        <f t="shared" si="174"/>
        <v>228931.55</v>
      </c>
      <c r="BB996" s="54" t="s">
        <v>74</v>
      </c>
      <c r="BC996" s="53" t="s">
        <v>74</v>
      </c>
      <c r="BD996" s="55" t="s">
        <v>74</v>
      </c>
      <c r="BE996" s="51" t="s">
        <v>1090</v>
      </c>
      <c r="BF996" s="55" t="s">
        <v>74</v>
      </c>
      <c r="BG996" s="55" t="s">
        <v>74</v>
      </c>
      <c r="BH996" s="52">
        <f t="shared" si="175"/>
        <v>228931.55</v>
      </c>
      <c r="BI996" s="52">
        <f t="shared" si="176"/>
        <v>2800338.75</v>
      </c>
      <c r="BJ996" s="52">
        <v>2800338.75</v>
      </c>
      <c r="BK996" s="56">
        <v>44228</v>
      </c>
      <c r="BL996" s="57">
        <v>2800338.75</v>
      </c>
      <c r="BM996" s="47">
        <v>0</v>
      </c>
      <c r="BN996" s="9"/>
      <c r="BO996" s="9"/>
      <c r="BP996" s="9"/>
      <c r="BQ996" s="9"/>
      <c r="BR996" s="9"/>
      <c r="BS996" s="9"/>
      <c r="BT996" s="9"/>
      <c r="BU996" s="9"/>
      <c r="BV996" s="9"/>
      <c r="BW996" s="9"/>
    </row>
    <row r="997" spans="1:75" ht="29.25" customHeight="1" outlineLevel="2" x14ac:dyDescent="0.25">
      <c r="A997" s="43" t="s">
        <v>1073</v>
      </c>
      <c r="B997" s="110" t="s">
        <v>1074</v>
      </c>
      <c r="C997" s="45">
        <v>2021</v>
      </c>
      <c r="D997" s="110" t="s">
        <v>77</v>
      </c>
      <c r="E997" s="47">
        <v>2621407.2000000002</v>
      </c>
      <c r="F997" s="47">
        <v>0</v>
      </c>
      <c r="G997" s="47">
        <v>45786.31</v>
      </c>
      <c r="H997" s="47">
        <v>0</v>
      </c>
      <c r="I997" s="47">
        <v>0</v>
      </c>
      <c r="J997" s="47">
        <v>0</v>
      </c>
      <c r="K997" s="47">
        <v>0</v>
      </c>
      <c r="L997" s="47">
        <v>0</v>
      </c>
      <c r="M997" s="47">
        <v>0</v>
      </c>
      <c r="N997" s="47">
        <v>0</v>
      </c>
      <c r="O997" s="47">
        <v>0</v>
      </c>
      <c r="P997" s="47">
        <v>0</v>
      </c>
      <c r="Q997" s="47">
        <v>0</v>
      </c>
      <c r="R997" s="47">
        <v>0</v>
      </c>
      <c r="S997" s="47">
        <v>0</v>
      </c>
      <c r="T997" s="47">
        <v>0</v>
      </c>
      <c r="U997" s="47">
        <v>0</v>
      </c>
      <c r="V997" s="47">
        <v>0</v>
      </c>
      <c r="W997" s="47">
        <v>0</v>
      </c>
      <c r="X997" s="47">
        <v>0</v>
      </c>
      <c r="Y997" s="48">
        <f t="shared" si="171"/>
        <v>2667193.5100000002</v>
      </c>
      <c r="Z997" s="66">
        <v>15886.56</v>
      </c>
      <c r="AA997" s="62">
        <v>15886.56</v>
      </c>
      <c r="AB997" s="50">
        <v>4159.28</v>
      </c>
      <c r="AC997" s="50">
        <v>0</v>
      </c>
      <c r="AD997" s="62">
        <v>26692.79</v>
      </c>
      <c r="AE997" s="50">
        <v>0</v>
      </c>
      <c r="AF997" s="50">
        <v>0</v>
      </c>
      <c r="AG997" s="49">
        <f t="shared" si="172"/>
        <v>46738.630000000005</v>
      </c>
      <c r="AH997" s="51" t="s">
        <v>104</v>
      </c>
      <c r="AI997" s="51" t="s">
        <v>1091</v>
      </c>
      <c r="AJ997" s="51" t="s">
        <v>74</v>
      </c>
      <c r="AK997" s="51" t="s">
        <v>182</v>
      </c>
      <c r="AL997" s="51" t="s">
        <v>74</v>
      </c>
      <c r="AM997" s="51" t="s">
        <v>74</v>
      </c>
      <c r="AN997" s="52"/>
      <c r="AO997" s="52"/>
      <c r="AP997" s="52"/>
      <c r="AQ997" s="52"/>
      <c r="AR997" s="52"/>
      <c r="AS997" s="52">
        <f t="shared" si="173"/>
        <v>0</v>
      </c>
      <c r="AT997" s="53" t="s">
        <v>74</v>
      </c>
      <c r="AU997" s="52">
        <v>0</v>
      </c>
      <c r="AV997" s="52"/>
      <c r="AW997" s="138">
        <v>5600</v>
      </c>
      <c r="AX997" s="59">
        <v>180735.35999999999</v>
      </c>
      <c r="AY997" s="59"/>
      <c r="AZ997" s="52">
        <v>0</v>
      </c>
      <c r="BA997" s="52">
        <f t="shared" si="174"/>
        <v>186335.35999999999</v>
      </c>
      <c r="BB997" s="54" t="s">
        <v>74</v>
      </c>
      <c r="BC997" s="53" t="s">
        <v>74</v>
      </c>
      <c r="BD997" s="55" t="s">
        <v>1092</v>
      </c>
      <c r="BE997" s="51" t="s">
        <v>1093</v>
      </c>
      <c r="BF997" s="55" t="s">
        <v>74</v>
      </c>
      <c r="BG997" s="55" t="s">
        <v>74</v>
      </c>
      <c r="BH997" s="52">
        <f t="shared" si="175"/>
        <v>186335.35999999999</v>
      </c>
      <c r="BI997" s="52">
        <f t="shared" si="176"/>
        <v>2806790.24</v>
      </c>
      <c r="BJ997" s="52">
        <v>2801190.24</v>
      </c>
      <c r="BK997" s="56">
        <v>44256</v>
      </c>
      <c r="BL997" s="63">
        <v>2806790.24</v>
      </c>
      <c r="BM997" s="47">
        <v>0</v>
      </c>
      <c r="BN997" s="9"/>
      <c r="BO997" s="9"/>
      <c r="BP997" s="9"/>
      <c r="BQ997" s="9"/>
      <c r="BR997" s="9"/>
      <c r="BS997" s="9"/>
      <c r="BT997" s="9"/>
      <c r="BU997" s="9"/>
      <c r="BV997" s="9"/>
      <c r="BW997" s="9"/>
    </row>
    <row r="998" spans="1:75" ht="22.5" customHeight="1" outlineLevel="2" x14ac:dyDescent="0.25">
      <c r="A998" s="43" t="s">
        <v>1073</v>
      </c>
      <c r="B998" s="110" t="s">
        <v>1074</v>
      </c>
      <c r="C998" s="45">
        <v>2021</v>
      </c>
      <c r="D998" s="110" t="s">
        <v>79</v>
      </c>
      <c r="E998" s="47">
        <v>2621407.2000000002</v>
      </c>
      <c r="F998" s="47">
        <v>0</v>
      </c>
      <c r="G998" s="113">
        <v>228931.55</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f t="shared" si="171"/>
        <v>2850338.75</v>
      </c>
      <c r="Z998" s="66">
        <v>14452.43</v>
      </c>
      <c r="AA998" s="62">
        <v>14452.43</v>
      </c>
      <c r="AB998" s="50">
        <v>0</v>
      </c>
      <c r="AC998" s="50">
        <v>0</v>
      </c>
      <c r="AD998" s="62">
        <v>23668.32</v>
      </c>
      <c r="AE998" s="50">
        <v>0</v>
      </c>
      <c r="AF998" s="50">
        <v>0</v>
      </c>
      <c r="AG998" s="49">
        <f t="shared" si="172"/>
        <v>38120.75</v>
      </c>
      <c r="AH998" s="51" t="s">
        <v>104</v>
      </c>
      <c r="AI998" s="51" t="s">
        <v>74</v>
      </c>
      <c r="AJ998" s="51" t="s">
        <v>74</v>
      </c>
      <c r="AK998" s="51" t="s">
        <v>409</v>
      </c>
      <c r="AL998" s="51" t="s">
        <v>74</v>
      </c>
      <c r="AM998" s="51" t="s">
        <v>74</v>
      </c>
      <c r="AN998" s="52">
        <v>0</v>
      </c>
      <c r="AO998" s="52">
        <v>0</v>
      </c>
      <c r="AP998" s="52">
        <v>0</v>
      </c>
      <c r="AQ998" s="52">
        <v>0</v>
      </c>
      <c r="AR998" s="52">
        <v>0</v>
      </c>
      <c r="AS998" s="52">
        <f t="shared" si="173"/>
        <v>0</v>
      </c>
      <c r="AT998" s="53" t="s">
        <v>74</v>
      </c>
      <c r="AU998" s="52">
        <v>0</v>
      </c>
      <c r="AV998" s="52"/>
      <c r="AW998" s="59">
        <v>637346.56000000006</v>
      </c>
      <c r="AX998" s="52"/>
      <c r="AY998" s="52"/>
      <c r="AZ998" s="52">
        <v>0</v>
      </c>
      <c r="BA998" s="52">
        <f t="shared" si="174"/>
        <v>637346.56000000006</v>
      </c>
      <c r="BB998" s="54" t="s">
        <v>74</v>
      </c>
      <c r="BC998" s="53" t="s">
        <v>74</v>
      </c>
      <c r="BD998" s="55" t="s">
        <v>1094</v>
      </c>
      <c r="BE998" s="55" t="s">
        <v>74</v>
      </c>
      <c r="BF998" s="55" t="s">
        <v>74</v>
      </c>
      <c r="BG998" s="55" t="s">
        <v>74</v>
      </c>
      <c r="BH998" s="52">
        <f t="shared" si="175"/>
        <v>637346.56000000006</v>
      </c>
      <c r="BI998" s="52">
        <f t="shared" si="176"/>
        <v>3449564.56</v>
      </c>
      <c r="BJ998" s="52">
        <v>2812218</v>
      </c>
      <c r="BK998" s="56">
        <v>44287</v>
      </c>
      <c r="BL998" s="63">
        <v>3449564.56</v>
      </c>
      <c r="BM998" s="47">
        <v>0</v>
      </c>
      <c r="BN998" s="9"/>
      <c r="BO998" s="9"/>
      <c r="BP998" s="9"/>
      <c r="BQ998" s="9"/>
      <c r="BR998" s="9"/>
      <c r="BS998" s="9"/>
      <c r="BT998" s="9"/>
      <c r="BU998" s="9"/>
      <c r="BV998" s="9"/>
      <c r="BW998" s="9"/>
    </row>
    <row r="999" spans="1:75" ht="22.5" customHeight="1" outlineLevel="2" x14ac:dyDescent="0.25">
      <c r="A999" s="43" t="s">
        <v>1073</v>
      </c>
      <c r="B999" s="110" t="s">
        <v>1074</v>
      </c>
      <c r="C999" s="45">
        <v>2021</v>
      </c>
      <c r="D999" s="110" t="s">
        <v>81</v>
      </c>
      <c r="E999" s="47">
        <v>2621407.2000000002</v>
      </c>
      <c r="F999" s="47">
        <v>0</v>
      </c>
      <c r="G999" s="113">
        <v>228931.55</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f t="shared" si="171"/>
        <v>2850338.75</v>
      </c>
      <c r="Z999" s="66">
        <v>14062.02</v>
      </c>
      <c r="AA999" s="62">
        <v>14062.02</v>
      </c>
      <c r="AB999" s="50">
        <v>0</v>
      </c>
      <c r="AC999" s="50">
        <v>0</v>
      </c>
      <c r="AD999" s="62">
        <v>23950.07</v>
      </c>
      <c r="AE999" s="50">
        <v>0</v>
      </c>
      <c r="AF999" s="50">
        <v>0</v>
      </c>
      <c r="AG999" s="49">
        <f t="shared" si="172"/>
        <v>38012.089999999997</v>
      </c>
      <c r="AH999" s="51" t="s">
        <v>104</v>
      </c>
      <c r="AI999" s="51" t="s">
        <v>74</v>
      </c>
      <c r="AJ999" s="51" t="s">
        <v>74</v>
      </c>
      <c r="AK999" s="51" t="s">
        <v>411</v>
      </c>
      <c r="AL999" s="51" t="s">
        <v>74</v>
      </c>
      <c r="AM999" s="51" t="s">
        <v>74</v>
      </c>
      <c r="AN999" s="52">
        <v>0</v>
      </c>
      <c r="AO999" s="52">
        <v>0</v>
      </c>
      <c r="AP999" s="52">
        <v>0</v>
      </c>
      <c r="AQ999" s="52">
        <v>0</v>
      </c>
      <c r="AR999" s="52">
        <v>0</v>
      </c>
      <c r="AS999" s="52">
        <f t="shared" si="173"/>
        <v>0</v>
      </c>
      <c r="AT999" s="53" t="s">
        <v>74</v>
      </c>
      <c r="AU999" s="52">
        <v>0</v>
      </c>
      <c r="AV999" s="52"/>
      <c r="AW999" s="52">
        <v>0</v>
      </c>
      <c r="AX999" s="52"/>
      <c r="AY999" s="52"/>
      <c r="AZ999" s="52">
        <v>0</v>
      </c>
      <c r="BA999" s="52">
        <f t="shared" si="174"/>
        <v>0</v>
      </c>
      <c r="BB999" s="54" t="s">
        <v>74</v>
      </c>
      <c r="BC999" s="53" t="s">
        <v>74</v>
      </c>
      <c r="BD999" s="55" t="s">
        <v>74</v>
      </c>
      <c r="BE999" s="55" t="s">
        <v>74</v>
      </c>
      <c r="BF999" s="55" t="s">
        <v>74</v>
      </c>
      <c r="BG999" s="55" t="s">
        <v>74</v>
      </c>
      <c r="BH999" s="52">
        <f t="shared" si="175"/>
        <v>0</v>
      </c>
      <c r="BI999" s="52">
        <f t="shared" si="176"/>
        <v>2812326.66</v>
      </c>
      <c r="BJ999" s="52">
        <v>2812326.66</v>
      </c>
      <c r="BK999" s="56">
        <v>44317</v>
      </c>
      <c r="BL999" s="63">
        <v>2812326.66</v>
      </c>
      <c r="BM999" s="47">
        <v>0</v>
      </c>
      <c r="BN999" s="9"/>
      <c r="BO999" s="9"/>
      <c r="BP999" s="9"/>
      <c r="BQ999" s="9"/>
      <c r="BR999" s="9"/>
      <c r="BS999" s="9"/>
      <c r="BT999" s="9"/>
      <c r="BU999" s="9"/>
      <c r="BV999" s="9"/>
      <c r="BW999" s="9"/>
    </row>
    <row r="1000" spans="1:75" ht="22.5" customHeight="1" outlineLevel="2" x14ac:dyDescent="0.25">
      <c r="A1000" s="43" t="s">
        <v>1073</v>
      </c>
      <c r="B1000" s="110" t="s">
        <v>1074</v>
      </c>
      <c r="C1000" s="45">
        <v>2021</v>
      </c>
      <c r="D1000" s="110" t="s">
        <v>83</v>
      </c>
      <c r="E1000" s="47">
        <v>2621407.2000000002</v>
      </c>
      <c r="F1000" s="47">
        <v>0</v>
      </c>
      <c r="G1000" s="113">
        <v>228931.55</v>
      </c>
      <c r="H1000" s="47">
        <v>0</v>
      </c>
      <c r="I1000" s="47">
        <v>0</v>
      </c>
      <c r="J1000" s="47">
        <v>0</v>
      </c>
      <c r="K1000" s="47">
        <v>0</v>
      </c>
      <c r="L1000" s="47">
        <v>0</v>
      </c>
      <c r="M1000" s="47">
        <v>0</v>
      </c>
      <c r="N1000" s="47">
        <v>0</v>
      </c>
      <c r="O1000" s="47">
        <v>0</v>
      </c>
      <c r="P1000" s="47">
        <v>0</v>
      </c>
      <c r="Q1000" s="47">
        <v>0</v>
      </c>
      <c r="R1000" s="47">
        <v>0</v>
      </c>
      <c r="S1000" s="47">
        <v>0</v>
      </c>
      <c r="T1000" s="47">
        <v>0</v>
      </c>
      <c r="U1000" s="47">
        <v>0</v>
      </c>
      <c r="V1000" s="47">
        <v>0</v>
      </c>
      <c r="W1000" s="47">
        <v>0</v>
      </c>
      <c r="X1000" s="47">
        <v>0</v>
      </c>
      <c r="Y1000" s="48">
        <f t="shared" si="171"/>
        <v>2850338.75</v>
      </c>
      <c r="Z1000" s="146">
        <v>13609.8</v>
      </c>
      <c r="AA1000" s="147">
        <v>13609.8</v>
      </c>
      <c r="AB1000" s="159">
        <v>0</v>
      </c>
      <c r="AC1000" s="159">
        <v>0</v>
      </c>
      <c r="AD1000" s="148">
        <v>22964.91</v>
      </c>
      <c r="AE1000" s="50">
        <v>0</v>
      </c>
      <c r="AF1000" s="50">
        <v>0</v>
      </c>
      <c r="AG1000" s="49">
        <f t="shared" si="172"/>
        <v>36574.71</v>
      </c>
      <c r="AH1000" s="51" t="s">
        <v>104</v>
      </c>
      <c r="AI1000" s="51" t="s">
        <v>74</v>
      </c>
      <c r="AJ1000" s="51" t="s">
        <v>74</v>
      </c>
      <c r="AK1000" s="51" t="s">
        <v>413</v>
      </c>
      <c r="AL1000" s="51" t="s">
        <v>74</v>
      </c>
      <c r="AM1000" s="51" t="s">
        <v>74</v>
      </c>
      <c r="AN1000" s="52">
        <v>0</v>
      </c>
      <c r="AO1000" s="52">
        <v>0</v>
      </c>
      <c r="AP1000" s="52">
        <v>0</v>
      </c>
      <c r="AQ1000" s="52">
        <v>0</v>
      </c>
      <c r="AR1000" s="52">
        <v>0</v>
      </c>
      <c r="AS1000" s="52">
        <f t="shared" si="173"/>
        <v>0</v>
      </c>
      <c r="AT1000" s="53" t="s">
        <v>74</v>
      </c>
      <c r="AU1000" s="52">
        <v>0</v>
      </c>
      <c r="AV1000" s="52"/>
      <c r="AW1000" s="52">
        <v>0</v>
      </c>
      <c r="AX1000" s="52"/>
      <c r="AY1000" s="52"/>
      <c r="AZ1000" s="52">
        <v>0</v>
      </c>
      <c r="BA1000" s="52">
        <f t="shared" si="174"/>
        <v>0</v>
      </c>
      <c r="BB1000" s="54" t="s">
        <v>74</v>
      </c>
      <c r="BC1000" s="53" t="s">
        <v>74</v>
      </c>
      <c r="BD1000" s="55" t="s">
        <v>74</v>
      </c>
      <c r="BE1000" s="55" t="s">
        <v>74</v>
      </c>
      <c r="BF1000" s="55" t="s">
        <v>74</v>
      </c>
      <c r="BG1000" s="55" t="s">
        <v>74</v>
      </c>
      <c r="BH1000" s="52">
        <f t="shared" si="175"/>
        <v>0</v>
      </c>
      <c r="BI1000" s="52">
        <f t="shared" si="176"/>
        <v>2813764.04</v>
      </c>
      <c r="BJ1000" s="52">
        <f>Y1000-AG1000+AX1000</f>
        <v>2813764.04</v>
      </c>
      <c r="BK1000" s="56">
        <v>44348</v>
      </c>
      <c r="BL1000" s="63">
        <f>2800338.75+13425.29</f>
        <v>2813764.04</v>
      </c>
      <c r="BM1000" s="47">
        <v>0</v>
      </c>
      <c r="BN1000" s="9"/>
      <c r="BO1000" s="9"/>
      <c r="BP1000" s="9"/>
      <c r="BQ1000" s="9"/>
      <c r="BR1000" s="9"/>
      <c r="BS1000" s="9"/>
      <c r="BT1000" s="9"/>
      <c r="BU1000" s="9"/>
      <c r="BV1000" s="9"/>
      <c r="BW1000" s="9"/>
    </row>
    <row r="1001" spans="1:75" ht="22.5" customHeight="1" outlineLevel="2" x14ac:dyDescent="0.25">
      <c r="A1001" s="43" t="s">
        <v>1073</v>
      </c>
      <c r="B1001" s="110" t="s">
        <v>1074</v>
      </c>
      <c r="C1001" s="45">
        <v>2021</v>
      </c>
      <c r="D1001" s="110" t="s">
        <v>84</v>
      </c>
      <c r="E1001" s="47">
        <v>2621407.2000000002</v>
      </c>
      <c r="F1001" s="47">
        <v>0</v>
      </c>
      <c r="G1001" s="113">
        <v>228931.55</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f t="shared" si="171"/>
        <v>2850338.75</v>
      </c>
      <c r="Z1001" s="185">
        <v>11040.54</v>
      </c>
      <c r="AA1001" s="147">
        <v>11040.54</v>
      </c>
      <c r="AB1001" s="50">
        <v>0</v>
      </c>
      <c r="AC1001" s="50">
        <v>0</v>
      </c>
      <c r="AD1001" s="148">
        <v>22557.49</v>
      </c>
      <c r="AE1001" s="50">
        <v>0</v>
      </c>
      <c r="AF1001" s="50">
        <v>0</v>
      </c>
      <c r="AG1001" s="49">
        <f t="shared" si="172"/>
        <v>33598.03</v>
      </c>
      <c r="AH1001" s="51" t="s">
        <v>104</v>
      </c>
      <c r="AI1001" s="51" t="s">
        <v>74</v>
      </c>
      <c r="AJ1001" s="51" t="s">
        <v>74</v>
      </c>
      <c r="AK1001" s="51" t="s">
        <v>590</v>
      </c>
      <c r="AL1001" s="51" t="s">
        <v>74</v>
      </c>
      <c r="AM1001" s="51" t="s">
        <v>74</v>
      </c>
      <c r="AN1001" s="52">
        <v>0</v>
      </c>
      <c r="AO1001" s="52">
        <v>0</v>
      </c>
      <c r="AP1001" s="52">
        <v>0</v>
      </c>
      <c r="AQ1001" s="52">
        <v>0</v>
      </c>
      <c r="AR1001" s="52">
        <v>0</v>
      </c>
      <c r="AS1001" s="52">
        <f t="shared" si="173"/>
        <v>0</v>
      </c>
      <c r="AT1001" s="53" t="s">
        <v>74</v>
      </c>
      <c r="AU1001" s="52">
        <v>0</v>
      </c>
      <c r="AV1001" s="52"/>
      <c r="AW1001" s="52">
        <v>0</v>
      </c>
      <c r="AX1001" s="52"/>
      <c r="AY1001" s="52"/>
      <c r="AZ1001" s="52">
        <v>0</v>
      </c>
      <c r="BA1001" s="52">
        <f t="shared" si="174"/>
        <v>0</v>
      </c>
      <c r="BB1001" s="54" t="s">
        <v>74</v>
      </c>
      <c r="BC1001" s="53" t="s">
        <v>74</v>
      </c>
      <c r="BD1001" s="55" t="s">
        <v>74</v>
      </c>
      <c r="BE1001" s="55" t="s">
        <v>74</v>
      </c>
      <c r="BF1001" s="55" t="s">
        <v>74</v>
      </c>
      <c r="BG1001" s="55" t="s">
        <v>74</v>
      </c>
      <c r="BH1001" s="52">
        <f t="shared" si="175"/>
        <v>0</v>
      </c>
      <c r="BI1001" s="52">
        <f t="shared" si="176"/>
        <v>2816740.72</v>
      </c>
      <c r="BJ1001" s="52">
        <f>Y1001-AG1001+AX1001</f>
        <v>2816740.72</v>
      </c>
      <c r="BK1001" s="56">
        <v>44378</v>
      </c>
      <c r="BL1001" s="63">
        <f>2800338.75+16401.97</f>
        <v>2816740.72</v>
      </c>
      <c r="BM1001" s="47">
        <v>0</v>
      </c>
      <c r="BN1001" s="9"/>
      <c r="BO1001" s="9"/>
      <c r="BP1001" s="9"/>
      <c r="BQ1001" s="9"/>
      <c r="BR1001" s="9"/>
      <c r="BS1001" s="9"/>
      <c r="BT1001" s="9"/>
      <c r="BU1001" s="9"/>
      <c r="BV1001" s="9"/>
      <c r="BW1001" s="9"/>
    </row>
    <row r="1002" spans="1:75" ht="22.5" customHeight="1" outlineLevel="2" x14ac:dyDescent="0.25">
      <c r="A1002" s="43" t="s">
        <v>1073</v>
      </c>
      <c r="B1002" s="110" t="s">
        <v>1074</v>
      </c>
      <c r="C1002" s="45">
        <v>2021</v>
      </c>
      <c r="D1002" s="110" t="s">
        <v>86</v>
      </c>
      <c r="E1002" s="47">
        <v>2621407.2000000002</v>
      </c>
      <c r="F1002" s="47">
        <v>0</v>
      </c>
      <c r="G1002" s="113">
        <v>228931.55</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f t="shared" si="171"/>
        <v>2850338.75</v>
      </c>
      <c r="Z1002" s="146">
        <v>14419.56</v>
      </c>
      <c r="AA1002" s="147">
        <v>14419.56</v>
      </c>
      <c r="AB1002" s="159">
        <v>0</v>
      </c>
      <c r="AC1002" s="159">
        <v>0</v>
      </c>
      <c r="AD1002" s="148">
        <v>23382.79</v>
      </c>
      <c r="AE1002" s="50">
        <v>0</v>
      </c>
      <c r="AF1002" s="50">
        <v>0</v>
      </c>
      <c r="AG1002" s="49">
        <f t="shared" si="172"/>
        <v>37802.35</v>
      </c>
      <c r="AH1002" s="51" t="s">
        <v>104</v>
      </c>
      <c r="AI1002" s="51" t="s">
        <v>74</v>
      </c>
      <c r="AJ1002" s="51" t="s">
        <v>74</v>
      </c>
      <c r="AK1002" s="51" t="s">
        <v>593</v>
      </c>
      <c r="AL1002" s="51" t="s">
        <v>74</v>
      </c>
      <c r="AM1002" s="51" t="s">
        <v>74</v>
      </c>
      <c r="AN1002" s="52">
        <v>0</v>
      </c>
      <c r="AO1002" s="52">
        <v>0</v>
      </c>
      <c r="AP1002" s="52">
        <v>0</v>
      </c>
      <c r="AQ1002" s="52">
        <v>0</v>
      </c>
      <c r="AR1002" s="52">
        <v>0</v>
      </c>
      <c r="AS1002" s="52">
        <f t="shared" si="173"/>
        <v>0</v>
      </c>
      <c r="AT1002" s="53" t="s">
        <v>74</v>
      </c>
      <c r="AU1002" s="52">
        <v>0</v>
      </c>
      <c r="AV1002" s="52"/>
      <c r="AW1002" s="52">
        <v>0</v>
      </c>
      <c r="AX1002" s="52"/>
      <c r="AY1002" s="52"/>
      <c r="AZ1002" s="52">
        <v>0</v>
      </c>
      <c r="BA1002" s="52">
        <f t="shared" si="174"/>
        <v>0</v>
      </c>
      <c r="BB1002" s="54" t="s">
        <v>74</v>
      </c>
      <c r="BC1002" s="53" t="s">
        <v>74</v>
      </c>
      <c r="BD1002" s="55" t="s">
        <v>74</v>
      </c>
      <c r="BE1002" s="55" t="s">
        <v>74</v>
      </c>
      <c r="BF1002" s="55" t="s">
        <v>74</v>
      </c>
      <c r="BG1002" s="55" t="s">
        <v>74</v>
      </c>
      <c r="BH1002" s="52">
        <f t="shared" si="175"/>
        <v>0</v>
      </c>
      <c r="BI1002" s="52">
        <f t="shared" si="176"/>
        <v>2812536.4</v>
      </c>
      <c r="BJ1002" s="52">
        <f>Y1002-AG1002+AX1002</f>
        <v>2812536.4</v>
      </c>
      <c r="BK1002" s="56">
        <v>44409</v>
      </c>
      <c r="BL1002" s="57">
        <f>2571407.2+228931.55+12197.65</f>
        <v>2812536.4</v>
      </c>
      <c r="BM1002" s="47">
        <v>0</v>
      </c>
      <c r="BN1002" s="9"/>
      <c r="BO1002" s="9"/>
      <c r="BP1002" s="9"/>
      <c r="BQ1002" s="9"/>
      <c r="BR1002" s="9"/>
      <c r="BS1002" s="9"/>
      <c r="BT1002" s="9"/>
      <c r="BU1002" s="9"/>
      <c r="BV1002" s="9"/>
      <c r="BW1002" s="9"/>
    </row>
    <row r="1003" spans="1:75" ht="22.5" customHeight="1" outlineLevel="2" x14ac:dyDescent="0.25">
      <c r="A1003" s="43" t="s">
        <v>1073</v>
      </c>
      <c r="B1003" s="110" t="s">
        <v>1074</v>
      </c>
      <c r="C1003" s="45">
        <v>2021</v>
      </c>
      <c r="D1003" s="110" t="s">
        <v>88</v>
      </c>
      <c r="E1003" s="47">
        <v>2621407.2000000002</v>
      </c>
      <c r="F1003" s="47">
        <v>0</v>
      </c>
      <c r="G1003" s="113">
        <v>228931.55</v>
      </c>
      <c r="H1003" s="47">
        <v>0</v>
      </c>
      <c r="I1003" s="47">
        <v>0</v>
      </c>
      <c r="J1003" s="47">
        <v>0</v>
      </c>
      <c r="K1003" s="47">
        <v>0</v>
      </c>
      <c r="L1003" s="47">
        <v>0</v>
      </c>
      <c r="M1003" s="47">
        <v>0</v>
      </c>
      <c r="N1003" s="47">
        <v>0</v>
      </c>
      <c r="O1003" s="47">
        <v>0</v>
      </c>
      <c r="P1003" s="47">
        <v>0</v>
      </c>
      <c r="Q1003" s="47">
        <v>0</v>
      </c>
      <c r="R1003" s="47">
        <v>0</v>
      </c>
      <c r="S1003" s="47">
        <v>0</v>
      </c>
      <c r="T1003" s="47">
        <v>0</v>
      </c>
      <c r="U1003" s="47">
        <v>0</v>
      </c>
      <c r="V1003" s="47">
        <v>0</v>
      </c>
      <c r="W1003" s="47">
        <v>0</v>
      </c>
      <c r="X1003" s="47">
        <v>0</v>
      </c>
      <c r="Y1003" s="48">
        <f t="shared" si="171"/>
        <v>2850338.75</v>
      </c>
      <c r="Z1003" s="102">
        <v>0</v>
      </c>
      <c r="AA1003" s="159">
        <v>20000</v>
      </c>
      <c r="AB1003" s="159">
        <v>0</v>
      </c>
      <c r="AC1003" s="159">
        <v>0</v>
      </c>
      <c r="AD1003" s="159">
        <v>30000</v>
      </c>
      <c r="AE1003" s="50">
        <v>0</v>
      </c>
      <c r="AF1003" s="50">
        <v>0</v>
      </c>
      <c r="AG1003" s="49">
        <f t="shared" si="172"/>
        <v>50000</v>
      </c>
      <c r="AH1003" s="51" t="s">
        <v>595</v>
      </c>
      <c r="AI1003" s="51" t="s">
        <v>74</v>
      </c>
      <c r="AJ1003" s="51" t="s">
        <v>74</v>
      </c>
      <c r="AK1003" s="51" t="s">
        <v>595</v>
      </c>
      <c r="AL1003" s="51" t="s">
        <v>74</v>
      </c>
      <c r="AM1003" s="51" t="s">
        <v>74</v>
      </c>
      <c r="AN1003" s="52">
        <v>0</v>
      </c>
      <c r="AO1003" s="52">
        <v>0</v>
      </c>
      <c r="AP1003" s="52">
        <v>0</v>
      </c>
      <c r="AQ1003" s="52">
        <v>0</v>
      </c>
      <c r="AR1003" s="52">
        <v>0</v>
      </c>
      <c r="AS1003" s="52">
        <f t="shared" si="173"/>
        <v>0</v>
      </c>
      <c r="AT1003" s="53" t="s">
        <v>74</v>
      </c>
      <c r="AU1003" s="52">
        <v>0</v>
      </c>
      <c r="AV1003" s="52"/>
      <c r="AW1003" s="52">
        <v>0</v>
      </c>
      <c r="AX1003" s="52"/>
      <c r="AY1003" s="52"/>
      <c r="AZ1003" s="52">
        <v>0</v>
      </c>
      <c r="BA1003" s="52">
        <f t="shared" si="174"/>
        <v>0</v>
      </c>
      <c r="BB1003" s="54" t="s">
        <v>74</v>
      </c>
      <c r="BC1003" s="53" t="s">
        <v>74</v>
      </c>
      <c r="BD1003" s="55" t="s">
        <v>74</v>
      </c>
      <c r="BE1003" s="55" t="s">
        <v>74</v>
      </c>
      <c r="BF1003" s="55" t="s">
        <v>74</v>
      </c>
      <c r="BG1003" s="55" t="s">
        <v>74</v>
      </c>
      <c r="BH1003" s="52">
        <f t="shared" si="175"/>
        <v>0</v>
      </c>
      <c r="BI1003" s="52">
        <f t="shared" si="176"/>
        <v>2800338.75</v>
      </c>
      <c r="BJ1003" s="52">
        <f>BI1003-BH1003</f>
        <v>2800338.75</v>
      </c>
      <c r="BK1003" s="56">
        <v>44440</v>
      </c>
      <c r="BL1003" s="57">
        <f>2571407.2+228931.55</f>
        <v>2800338.75</v>
      </c>
      <c r="BM1003" s="47">
        <v>0</v>
      </c>
      <c r="BN1003" s="9"/>
      <c r="BO1003" s="9"/>
      <c r="BP1003" s="9"/>
      <c r="BQ1003" s="9"/>
      <c r="BR1003" s="9"/>
      <c r="BS1003" s="9"/>
      <c r="BT1003" s="9"/>
      <c r="BU1003" s="9"/>
      <c r="BV1003" s="9"/>
      <c r="BW1003" s="9"/>
    </row>
    <row r="1004" spans="1:75" ht="22.5" customHeight="1" outlineLevel="2" x14ac:dyDescent="0.25">
      <c r="A1004" s="71" t="s">
        <v>1073</v>
      </c>
      <c r="B1004" s="116" t="s">
        <v>1074</v>
      </c>
      <c r="C1004" s="73">
        <v>2021</v>
      </c>
      <c r="D1004" s="116" t="s">
        <v>89</v>
      </c>
      <c r="E1004" s="75">
        <v>2621407.2000000002</v>
      </c>
      <c r="F1004" s="75">
        <v>0</v>
      </c>
      <c r="G1004" s="117">
        <v>228931.55</v>
      </c>
      <c r="H1004" s="75">
        <v>0</v>
      </c>
      <c r="I1004" s="75">
        <v>0</v>
      </c>
      <c r="J1004" s="75">
        <v>0</v>
      </c>
      <c r="K1004" s="75">
        <v>0</v>
      </c>
      <c r="L1004" s="75">
        <v>0</v>
      </c>
      <c r="M1004" s="75">
        <v>0</v>
      </c>
      <c r="N1004" s="75">
        <v>0</v>
      </c>
      <c r="O1004" s="75">
        <v>0</v>
      </c>
      <c r="P1004" s="75">
        <v>0</v>
      </c>
      <c r="Q1004" s="75">
        <v>0</v>
      </c>
      <c r="R1004" s="75">
        <v>0</v>
      </c>
      <c r="S1004" s="75">
        <v>0</v>
      </c>
      <c r="T1004" s="75">
        <v>0</v>
      </c>
      <c r="U1004" s="75">
        <v>0</v>
      </c>
      <c r="V1004" s="75">
        <v>0</v>
      </c>
      <c r="W1004" s="75">
        <v>0</v>
      </c>
      <c r="X1004" s="75">
        <v>0</v>
      </c>
      <c r="Y1004" s="76">
        <f t="shared" si="171"/>
        <v>2850338.75</v>
      </c>
      <c r="Z1004" s="80">
        <v>0</v>
      </c>
      <c r="AA1004" s="160">
        <v>20000</v>
      </c>
      <c r="AB1004" s="79">
        <v>0</v>
      </c>
      <c r="AC1004" s="79">
        <v>0</v>
      </c>
      <c r="AD1004" s="160">
        <v>30000</v>
      </c>
      <c r="AE1004" s="79">
        <v>0</v>
      </c>
      <c r="AF1004" s="79">
        <v>0</v>
      </c>
      <c r="AG1004" s="80">
        <f t="shared" si="172"/>
        <v>50000</v>
      </c>
      <c r="AH1004" s="123" t="s">
        <v>595</v>
      </c>
      <c r="AI1004" s="123" t="s">
        <v>74</v>
      </c>
      <c r="AJ1004" s="123" t="s">
        <v>74</v>
      </c>
      <c r="AK1004" s="123" t="s">
        <v>595</v>
      </c>
      <c r="AL1004" s="123" t="s">
        <v>74</v>
      </c>
      <c r="AM1004" s="123" t="s">
        <v>74</v>
      </c>
      <c r="AN1004" s="82">
        <v>0</v>
      </c>
      <c r="AO1004" s="82">
        <v>0</v>
      </c>
      <c r="AP1004" s="82">
        <v>0</v>
      </c>
      <c r="AQ1004" s="82">
        <v>0</v>
      </c>
      <c r="AR1004" s="82">
        <v>0</v>
      </c>
      <c r="AS1004" s="82">
        <f t="shared" si="173"/>
        <v>0</v>
      </c>
      <c r="AT1004" s="124" t="s">
        <v>74</v>
      </c>
      <c r="AU1004" s="82">
        <v>0</v>
      </c>
      <c r="AV1004" s="82"/>
      <c r="AW1004" s="82">
        <v>0</v>
      </c>
      <c r="AX1004" s="82"/>
      <c r="AY1004" s="82"/>
      <c r="AZ1004" s="82">
        <v>0</v>
      </c>
      <c r="BA1004" s="82">
        <f t="shared" si="174"/>
        <v>0</v>
      </c>
      <c r="BB1004" s="125" t="s">
        <v>74</v>
      </c>
      <c r="BC1004" s="124" t="s">
        <v>74</v>
      </c>
      <c r="BD1004" s="126" t="s">
        <v>74</v>
      </c>
      <c r="BE1004" s="126" t="s">
        <v>74</v>
      </c>
      <c r="BF1004" s="126" t="s">
        <v>74</v>
      </c>
      <c r="BG1004" s="126" t="s">
        <v>74</v>
      </c>
      <c r="BH1004" s="82">
        <f t="shared" si="175"/>
        <v>0</v>
      </c>
      <c r="BI1004" s="82">
        <f t="shared" si="176"/>
        <v>2800338.75</v>
      </c>
      <c r="BJ1004" s="52">
        <f>BI1004-BH1004</f>
        <v>2800338.75</v>
      </c>
      <c r="BK1004" s="56">
        <v>44470</v>
      </c>
      <c r="BL1004" s="83">
        <f>2571407.2+228931.55</f>
        <v>2800338.75</v>
      </c>
      <c r="BM1004" s="75">
        <v>0</v>
      </c>
      <c r="BN1004" s="9"/>
      <c r="BO1004" s="9"/>
      <c r="BP1004" s="9"/>
      <c r="BQ1004" s="9"/>
      <c r="BR1004" s="9"/>
      <c r="BS1004" s="9"/>
      <c r="BT1004" s="9"/>
      <c r="BU1004" s="9"/>
      <c r="BV1004" s="9"/>
      <c r="BW1004" s="9"/>
    </row>
    <row r="1005" spans="1:75" ht="22.5" customHeight="1" outlineLevel="1" x14ac:dyDescent="0.25">
      <c r="A1005" s="84"/>
      <c r="B1005" s="120" t="s">
        <v>1095</v>
      </c>
      <c r="C1005" s="86"/>
      <c r="D1005" s="120"/>
      <c r="E1005" s="88"/>
      <c r="F1005" s="88"/>
      <c r="G1005" s="121"/>
      <c r="H1005" s="88"/>
      <c r="I1005" s="88"/>
      <c r="J1005" s="88"/>
      <c r="K1005" s="88"/>
      <c r="L1005" s="88"/>
      <c r="M1005" s="88"/>
      <c r="N1005" s="88"/>
      <c r="O1005" s="88"/>
      <c r="P1005" s="88"/>
      <c r="Q1005" s="88"/>
      <c r="R1005" s="88"/>
      <c r="S1005" s="88"/>
      <c r="T1005" s="88"/>
      <c r="U1005" s="88"/>
      <c r="V1005" s="88"/>
      <c r="W1005" s="88"/>
      <c r="X1005" s="88"/>
      <c r="Y1005" s="89">
        <f t="shared" ref="Y1005:AG1005" si="177">SUBTOTAL(9,Y978:Y1004)</f>
        <v>70005914.340000004</v>
      </c>
      <c r="Z1005" s="89">
        <f t="shared" si="177"/>
        <v>339306.20999999996</v>
      </c>
      <c r="AA1005" s="162">
        <f t="shared" si="177"/>
        <v>371552.92</v>
      </c>
      <c r="AB1005" s="89">
        <f t="shared" si="177"/>
        <v>7753.2899999999991</v>
      </c>
      <c r="AC1005" s="89">
        <f t="shared" si="177"/>
        <v>0</v>
      </c>
      <c r="AD1005" s="162">
        <f t="shared" si="177"/>
        <v>612857.42000000004</v>
      </c>
      <c r="AE1005" s="89">
        <f t="shared" si="177"/>
        <v>10846.37</v>
      </c>
      <c r="AF1005" s="89">
        <f t="shared" si="177"/>
        <v>0</v>
      </c>
      <c r="AG1005" s="89">
        <f t="shared" si="177"/>
        <v>1003010</v>
      </c>
      <c r="AH1005" s="129"/>
      <c r="AI1005" s="129"/>
      <c r="AJ1005" s="129"/>
      <c r="AK1005" s="129"/>
      <c r="AL1005" s="129"/>
      <c r="AM1005" s="129"/>
      <c r="AN1005" s="92">
        <f t="shared" ref="AN1005:AS1005" si="178">SUBTOTAL(9,AN978:AN1004)</f>
        <v>0</v>
      </c>
      <c r="AO1005" s="92">
        <f t="shared" si="178"/>
        <v>0</v>
      </c>
      <c r="AP1005" s="92">
        <f t="shared" si="178"/>
        <v>0</v>
      </c>
      <c r="AQ1005" s="92">
        <f t="shared" si="178"/>
        <v>0</v>
      </c>
      <c r="AR1005" s="92">
        <f t="shared" si="178"/>
        <v>0</v>
      </c>
      <c r="AS1005" s="92">
        <f t="shared" si="178"/>
        <v>0</v>
      </c>
      <c r="AT1005" s="130"/>
      <c r="AU1005" s="92">
        <f t="shared" ref="AU1005:BA1005" si="179">SUBTOTAL(9,AU978:AU1004)</f>
        <v>1805079.99</v>
      </c>
      <c r="AV1005" s="92">
        <f t="shared" si="179"/>
        <v>408708.13</v>
      </c>
      <c r="AW1005" s="92">
        <f t="shared" si="179"/>
        <v>3945407.56</v>
      </c>
      <c r="AX1005" s="92">
        <f t="shared" si="179"/>
        <v>905685.2699999999</v>
      </c>
      <c r="AY1005" s="92">
        <f t="shared" si="179"/>
        <v>0</v>
      </c>
      <c r="AZ1005" s="92">
        <f t="shared" si="179"/>
        <v>0</v>
      </c>
      <c r="BA1005" s="92">
        <f t="shared" si="179"/>
        <v>7064880.9500000011</v>
      </c>
      <c r="BB1005" s="131"/>
      <c r="BC1005" s="130"/>
      <c r="BD1005" s="132"/>
      <c r="BE1005" s="132"/>
      <c r="BF1005" s="132"/>
      <c r="BG1005" s="132"/>
      <c r="BH1005" s="92">
        <f>SUBTOTAL(9,BH978:BH1004)</f>
        <v>7064880.9500000011</v>
      </c>
      <c r="BI1005" s="92">
        <f>SUBTOTAL(9,BI978:BI1004)</f>
        <v>76067785.290000021</v>
      </c>
      <c r="BJ1005" s="93"/>
      <c r="BK1005" s="94"/>
      <c r="BL1005" s="95">
        <f>SUBTOTAL(9,BL978:BL1004)</f>
        <v>76067785.290000021</v>
      </c>
      <c r="BM1005" s="88">
        <f>SUBTOTAL(9,BM978:BM1004)</f>
        <v>0</v>
      </c>
      <c r="BN1005" s="9"/>
      <c r="BO1005" s="9"/>
      <c r="BP1005" s="9"/>
      <c r="BQ1005" s="9"/>
      <c r="BR1005" s="9"/>
      <c r="BS1005" s="9"/>
      <c r="BT1005" s="9"/>
      <c r="BU1005" s="9"/>
      <c r="BV1005" s="9"/>
      <c r="BW1005" s="9"/>
    </row>
    <row r="1006" spans="1:75" ht="179.25" hidden="1" outlineLevel="2" x14ac:dyDescent="0.25">
      <c r="A1006" s="96" t="s">
        <v>1096</v>
      </c>
      <c r="B1006" s="97" t="s">
        <v>1097</v>
      </c>
      <c r="C1006" s="98">
        <v>2020</v>
      </c>
      <c r="D1006" s="97" t="s">
        <v>75</v>
      </c>
      <c r="E1006" s="100">
        <v>596931.30000000005</v>
      </c>
      <c r="F1006" s="100">
        <v>0</v>
      </c>
      <c r="G1006" s="100">
        <v>0</v>
      </c>
      <c r="H1006" s="100">
        <v>0</v>
      </c>
      <c r="I1006" s="100">
        <v>0</v>
      </c>
      <c r="J1006" s="100">
        <v>0</v>
      </c>
      <c r="K1006" s="100">
        <v>0</v>
      </c>
      <c r="L1006" s="100">
        <v>0</v>
      </c>
      <c r="M1006" s="100">
        <v>0</v>
      </c>
      <c r="N1006" s="100">
        <v>0</v>
      </c>
      <c r="O1006" s="100">
        <v>0</v>
      </c>
      <c r="P1006" s="100">
        <v>0</v>
      </c>
      <c r="Q1006" s="100">
        <v>0</v>
      </c>
      <c r="R1006" s="100">
        <v>0</v>
      </c>
      <c r="S1006" s="100">
        <v>0</v>
      </c>
      <c r="T1006" s="100">
        <v>0</v>
      </c>
      <c r="U1006" s="100">
        <v>0</v>
      </c>
      <c r="V1006" s="100">
        <v>0</v>
      </c>
      <c r="W1006" s="100">
        <v>0</v>
      </c>
      <c r="X1006" s="100">
        <v>0</v>
      </c>
      <c r="Y1006" s="101">
        <v>596931.30000000005</v>
      </c>
      <c r="Z1006" s="102">
        <v>0</v>
      </c>
      <c r="AA1006" s="103">
        <v>0</v>
      </c>
      <c r="AB1006" s="103">
        <v>0</v>
      </c>
      <c r="AC1006" s="103">
        <v>0</v>
      </c>
      <c r="AD1006" s="103">
        <v>0</v>
      </c>
      <c r="AE1006" s="103">
        <v>0</v>
      </c>
      <c r="AF1006" s="103">
        <v>0</v>
      </c>
      <c r="AG1006" s="102">
        <v>0</v>
      </c>
      <c r="AH1006" s="106" t="s">
        <v>74</v>
      </c>
      <c r="AI1006" s="104" t="s">
        <v>74</v>
      </c>
      <c r="AJ1006" s="104" t="s">
        <v>74</v>
      </c>
      <c r="AK1006" s="104" t="s">
        <v>74</v>
      </c>
      <c r="AL1006" s="104" t="s">
        <v>74</v>
      </c>
      <c r="AM1006" s="104" t="s">
        <v>74</v>
      </c>
      <c r="AN1006" s="105"/>
      <c r="AO1006" s="105">
        <v>0</v>
      </c>
      <c r="AP1006" s="105"/>
      <c r="AQ1006" s="105"/>
      <c r="AR1006" s="105"/>
      <c r="AS1006" s="105">
        <v>0</v>
      </c>
      <c r="AT1006" s="106">
        <v>0</v>
      </c>
      <c r="AU1006" s="105">
        <v>0</v>
      </c>
      <c r="AV1006" s="105"/>
      <c r="AW1006" s="207">
        <v>484266.2</v>
      </c>
      <c r="AX1006" s="105"/>
      <c r="AY1006" s="105"/>
      <c r="AZ1006" s="105">
        <v>0</v>
      </c>
      <c r="BA1006" s="105">
        <v>484266.2</v>
      </c>
      <c r="BB1006" s="107" t="s">
        <v>74</v>
      </c>
      <c r="BC1006" s="106" t="s">
        <v>74</v>
      </c>
      <c r="BD1006" s="108" t="s">
        <v>1098</v>
      </c>
      <c r="BE1006" s="108" t="s">
        <v>74</v>
      </c>
      <c r="BF1006" s="108" t="s">
        <v>74</v>
      </c>
      <c r="BG1006" s="108" t="s">
        <v>74</v>
      </c>
      <c r="BH1006" s="105">
        <v>484266.2</v>
      </c>
      <c r="BI1006" s="105">
        <v>1081197.5</v>
      </c>
      <c r="BJ1006" s="52">
        <v>596931.30000000005</v>
      </c>
      <c r="BK1006" s="56">
        <v>43862</v>
      </c>
      <c r="BL1006" s="109">
        <v>1081197.5</v>
      </c>
      <c r="BM1006" s="100">
        <v>0</v>
      </c>
      <c r="BN1006" s="9"/>
      <c r="BO1006" s="9"/>
      <c r="BP1006" s="9"/>
      <c r="BQ1006" s="9"/>
      <c r="BR1006" s="9"/>
      <c r="BS1006" s="9"/>
      <c r="BT1006" s="9"/>
      <c r="BU1006" s="9"/>
      <c r="BV1006" s="9"/>
      <c r="BW1006" s="9"/>
    </row>
    <row r="1007" spans="1:75" hidden="1" outlineLevel="2" x14ac:dyDescent="0.25">
      <c r="A1007" s="43" t="s">
        <v>1096</v>
      </c>
      <c r="B1007" s="110" t="s">
        <v>1097</v>
      </c>
      <c r="C1007" s="45">
        <v>2020</v>
      </c>
      <c r="D1007" s="110" t="s">
        <v>77</v>
      </c>
      <c r="E1007" s="47">
        <v>1078325.42</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1078325.42</v>
      </c>
      <c r="Z1007" s="49">
        <v>0</v>
      </c>
      <c r="AA1007" s="50">
        <v>0</v>
      </c>
      <c r="AB1007" s="50">
        <v>0</v>
      </c>
      <c r="AC1007" s="50">
        <v>0</v>
      </c>
      <c r="AD1007" s="50">
        <v>0</v>
      </c>
      <c r="AE1007" s="50">
        <v>0</v>
      </c>
      <c r="AF1007" s="50">
        <v>0</v>
      </c>
      <c r="AG1007" s="49">
        <v>0</v>
      </c>
      <c r="AH1007" s="53" t="s">
        <v>74</v>
      </c>
      <c r="AI1007" s="51" t="s">
        <v>74</v>
      </c>
      <c r="AJ1007" s="51" t="s">
        <v>74</v>
      </c>
      <c r="AK1007" s="51" t="s">
        <v>74</v>
      </c>
      <c r="AL1007" s="51" t="s">
        <v>74</v>
      </c>
      <c r="AM1007" s="51" t="s">
        <v>74</v>
      </c>
      <c r="AN1007" s="52">
        <v>0</v>
      </c>
      <c r="AO1007" s="52">
        <v>0</v>
      </c>
      <c r="AP1007" s="52">
        <v>0</v>
      </c>
      <c r="AQ1007" s="52">
        <v>0</v>
      </c>
      <c r="AR1007" s="52">
        <v>0</v>
      </c>
      <c r="AS1007" s="52">
        <v>0</v>
      </c>
      <c r="AT1007" s="53">
        <v>0</v>
      </c>
      <c r="AU1007" s="52">
        <v>0</v>
      </c>
      <c r="AV1007" s="52"/>
      <c r="AW1007" s="52">
        <v>0</v>
      </c>
      <c r="AX1007" s="52"/>
      <c r="AY1007" s="52"/>
      <c r="AZ1007" s="52">
        <v>0</v>
      </c>
      <c r="BA1007" s="52">
        <v>0</v>
      </c>
      <c r="BB1007" s="54" t="s">
        <v>74</v>
      </c>
      <c r="BC1007" s="53" t="s">
        <v>74</v>
      </c>
      <c r="BD1007" s="55" t="s">
        <v>74</v>
      </c>
      <c r="BE1007" s="55" t="s">
        <v>74</v>
      </c>
      <c r="BF1007" s="55" t="s">
        <v>74</v>
      </c>
      <c r="BG1007" s="55" t="s">
        <v>74</v>
      </c>
      <c r="BH1007" s="52">
        <v>0</v>
      </c>
      <c r="BI1007" s="52">
        <v>1078325.42</v>
      </c>
      <c r="BJ1007" s="52">
        <v>1078325.42</v>
      </c>
      <c r="BK1007" s="56">
        <v>43891</v>
      </c>
      <c r="BL1007" s="57">
        <v>1078325.42</v>
      </c>
      <c r="BM1007" s="47">
        <v>0</v>
      </c>
      <c r="BN1007" s="9"/>
      <c r="BO1007" s="9"/>
      <c r="BP1007" s="9"/>
      <c r="BQ1007" s="9"/>
      <c r="BR1007" s="9"/>
      <c r="BS1007" s="9"/>
      <c r="BT1007" s="9"/>
      <c r="BU1007" s="9"/>
      <c r="BV1007" s="9"/>
      <c r="BW1007" s="9"/>
    </row>
    <row r="1008" spans="1:75" ht="115.5" hidden="1" outlineLevel="2" x14ac:dyDescent="0.25">
      <c r="A1008" s="43" t="s">
        <v>1096</v>
      </c>
      <c r="B1008" s="110" t="s">
        <v>1097</v>
      </c>
      <c r="C1008" s="45">
        <v>2020</v>
      </c>
      <c r="D1008" s="110" t="s">
        <v>79</v>
      </c>
      <c r="E1008" s="47">
        <v>1336824.2</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1336824.2</v>
      </c>
      <c r="Z1008" s="58">
        <v>0</v>
      </c>
      <c r="AA1008" s="50">
        <v>0</v>
      </c>
      <c r="AB1008" s="50">
        <v>0</v>
      </c>
      <c r="AC1008" s="50">
        <v>22555.83</v>
      </c>
      <c r="AD1008" s="50">
        <v>0</v>
      </c>
      <c r="AE1008" s="50">
        <v>0</v>
      </c>
      <c r="AF1008" s="50">
        <v>0</v>
      </c>
      <c r="AG1008" s="49">
        <v>22555.83</v>
      </c>
      <c r="AH1008" s="53" t="s">
        <v>74</v>
      </c>
      <c r="AI1008" s="51" t="s">
        <v>74</v>
      </c>
      <c r="AJ1008" s="51" t="s">
        <v>1099</v>
      </c>
      <c r="AK1008" s="51" t="s">
        <v>74</v>
      </c>
      <c r="AL1008" s="51" t="s">
        <v>74</v>
      </c>
      <c r="AM1008" s="51" t="s">
        <v>74</v>
      </c>
      <c r="AN1008" s="52"/>
      <c r="AO1008" s="52">
        <v>0</v>
      </c>
      <c r="AP1008" s="52"/>
      <c r="AQ1008" s="52"/>
      <c r="AR1008" s="52"/>
      <c r="AS1008" s="52">
        <v>0</v>
      </c>
      <c r="AT1008" s="53">
        <v>0</v>
      </c>
      <c r="AU1008" s="52">
        <v>0</v>
      </c>
      <c r="AV1008" s="52"/>
      <c r="AW1008" s="52">
        <v>275198.2</v>
      </c>
      <c r="AX1008" s="52"/>
      <c r="AY1008" s="52"/>
      <c r="AZ1008" s="52">
        <v>0</v>
      </c>
      <c r="BA1008" s="52">
        <v>275198.2</v>
      </c>
      <c r="BB1008" s="54" t="s">
        <v>74</v>
      </c>
      <c r="BC1008" s="53" t="s">
        <v>74</v>
      </c>
      <c r="BD1008" s="55" t="s">
        <v>1100</v>
      </c>
      <c r="BE1008" s="55" t="s">
        <v>74</v>
      </c>
      <c r="BF1008" s="55" t="s">
        <v>74</v>
      </c>
      <c r="BG1008" s="55" t="s">
        <v>74</v>
      </c>
      <c r="BH1008" s="52">
        <v>275198.2</v>
      </c>
      <c r="BI1008" s="52">
        <v>1589466.57</v>
      </c>
      <c r="BJ1008" s="52">
        <v>1314268.3700000001</v>
      </c>
      <c r="BK1008" s="56">
        <v>43922</v>
      </c>
      <c r="BL1008" s="57">
        <v>1589466.57</v>
      </c>
      <c r="BM1008" s="47">
        <v>0</v>
      </c>
      <c r="BN1008" s="9"/>
      <c r="BO1008" s="9"/>
      <c r="BP1008" s="9"/>
      <c r="BQ1008" s="9"/>
      <c r="BR1008" s="9"/>
      <c r="BS1008" s="9"/>
      <c r="BT1008" s="9"/>
      <c r="BU1008" s="9"/>
      <c r="BV1008" s="9"/>
      <c r="BW1008" s="9"/>
    </row>
    <row r="1009" spans="1:75" ht="27.75" hidden="1" customHeight="1" outlineLevel="2" x14ac:dyDescent="0.25">
      <c r="A1009" s="43" t="s">
        <v>1096</v>
      </c>
      <c r="B1009" s="110" t="s">
        <v>1097</v>
      </c>
      <c r="C1009" s="45">
        <v>2020</v>
      </c>
      <c r="D1009" s="110" t="s">
        <v>81</v>
      </c>
      <c r="E1009" s="47">
        <v>1583511.47</v>
      </c>
      <c r="F1009" s="47">
        <v>0</v>
      </c>
      <c r="G1009" s="47">
        <v>0</v>
      </c>
      <c r="H1009" s="47">
        <v>0</v>
      </c>
      <c r="I1009" s="47">
        <v>0</v>
      </c>
      <c r="J1009" s="47">
        <v>0</v>
      </c>
      <c r="K1009" s="47">
        <v>0</v>
      </c>
      <c r="L1009" s="47">
        <v>0</v>
      </c>
      <c r="M1009" s="47">
        <v>0</v>
      </c>
      <c r="N1009" s="47">
        <v>0</v>
      </c>
      <c r="O1009" s="47">
        <v>0</v>
      </c>
      <c r="P1009" s="47">
        <v>0</v>
      </c>
      <c r="Q1009" s="47">
        <v>0</v>
      </c>
      <c r="R1009" s="47">
        <v>0</v>
      </c>
      <c r="S1009" s="47">
        <v>0</v>
      </c>
      <c r="T1009" s="47">
        <v>0</v>
      </c>
      <c r="U1009" s="47">
        <v>0</v>
      </c>
      <c r="V1009" s="47">
        <v>0</v>
      </c>
      <c r="W1009" s="47">
        <v>0</v>
      </c>
      <c r="X1009" s="47">
        <v>0</v>
      </c>
      <c r="Y1009" s="48">
        <v>1583511.47</v>
      </c>
      <c r="Z1009" s="58">
        <v>0</v>
      </c>
      <c r="AA1009" s="50">
        <v>0</v>
      </c>
      <c r="AB1009" s="50">
        <v>0</v>
      </c>
      <c r="AC1009" s="50">
        <v>39804.400000000001</v>
      </c>
      <c r="AD1009" s="50">
        <v>656.78</v>
      </c>
      <c r="AE1009" s="50">
        <v>0</v>
      </c>
      <c r="AF1009" s="50">
        <v>0</v>
      </c>
      <c r="AG1009" s="49">
        <v>40461.18</v>
      </c>
      <c r="AH1009" s="53" t="s">
        <v>74</v>
      </c>
      <c r="AI1009" s="51" t="s">
        <v>74</v>
      </c>
      <c r="AJ1009" s="51" t="s">
        <v>1101</v>
      </c>
      <c r="AK1009" s="51" t="s">
        <v>1102</v>
      </c>
      <c r="AL1009" s="51" t="s">
        <v>74</v>
      </c>
      <c r="AM1009" s="51" t="s">
        <v>74</v>
      </c>
      <c r="AN1009" s="52">
        <v>0</v>
      </c>
      <c r="AO1009" s="52">
        <v>0</v>
      </c>
      <c r="AP1009" s="52">
        <v>0</v>
      </c>
      <c r="AQ1009" s="52">
        <v>0</v>
      </c>
      <c r="AR1009" s="52">
        <v>0</v>
      </c>
      <c r="AS1009" s="52">
        <v>0</v>
      </c>
      <c r="AT1009" s="53">
        <v>0</v>
      </c>
      <c r="AU1009" s="52">
        <v>0</v>
      </c>
      <c r="AV1009" s="52"/>
      <c r="AW1009" s="52">
        <v>0</v>
      </c>
      <c r="AX1009" s="52"/>
      <c r="AY1009" s="52"/>
      <c r="AZ1009" s="52">
        <v>0</v>
      </c>
      <c r="BA1009" s="52">
        <v>0</v>
      </c>
      <c r="BB1009" s="54" t="s">
        <v>74</v>
      </c>
      <c r="BC1009" s="53" t="s">
        <v>74</v>
      </c>
      <c r="BD1009" s="55" t="s">
        <v>74</v>
      </c>
      <c r="BE1009" s="55" t="s">
        <v>74</v>
      </c>
      <c r="BF1009" s="55" t="s">
        <v>74</v>
      </c>
      <c r="BG1009" s="55" t="s">
        <v>74</v>
      </c>
      <c r="BH1009" s="52">
        <v>0</v>
      </c>
      <c r="BI1009" s="52">
        <v>1543050.29</v>
      </c>
      <c r="BJ1009" s="52">
        <v>1543050.29</v>
      </c>
      <c r="BK1009" s="56">
        <v>43952</v>
      </c>
      <c r="BL1009" s="57">
        <v>1543050.29</v>
      </c>
      <c r="BM1009" s="47">
        <v>0</v>
      </c>
      <c r="BN1009" s="9"/>
      <c r="BO1009" s="9"/>
      <c r="BP1009" s="9"/>
      <c r="BQ1009" s="9"/>
      <c r="BR1009" s="9"/>
      <c r="BS1009" s="9"/>
      <c r="BT1009" s="9"/>
      <c r="BU1009" s="9"/>
      <c r="BV1009" s="9"/>
      <c r="BW1009" s="9"/>
    </row>
    <row r="1010" spans="1:75" ht="148.5" hidden="1" customHeight="1" outlineLevel="2" x14ac:dyDescent="0.25">
      <c r="A1010" s="43" t="s">
        <v>1096</v>
      </c>
      <c r="B1010" s="110" t="s">
        <v>1097</v>
      </c>
      <c r="C1010" s="45">
        <v>2020</v>
      </c>
      <c r="D1010" s="110" t="s">
        <v>83</v>
      </c>
      <c r="E1010" s="47">
        <v>1657804.24</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1657804.24</v>
      </c>
      <c r="Z1010" s="58">
        <v>0</v>
      </c>
      <c r="AA1010" s="50">
        <v>0</v>
      </c>
      <c r="AB1010" s="50">
        <v>0</v>
      </c>
      <c r="AC1010" s="50">
        <v>39804.400000000001</v>
      </c>
      <c r="AD1010" s="62">
        <v>29153.759999999998</v>
      </c>
      <c r="AE1010" s="50">
        <v>0</v>
      </c>
      <c r="AF1010" s="50">
        <v>0</v>
      </c>
      <c r="AG1010" s="49">
        <v>68958.16</v>
      </c>
      <c r="AH1010" s="53" t="s">
        <v>74</v>
      </c>
      <c r="AI1010" s="51" t="s">
        <v>74</v>
      </c>
      <c r="AJ1010" s="51" t="s">
        <v>1103</v>
      </c>
      <c r="AK1010" s="51" t="s">
        <v>162</v>
      </c>
      <c r="AL1010" s="51" t="s">
        <v>74</v>
      </c>
      <c r="AM1010" s="51" t="s">
        <v>74</v>
      </c>
      <c r="AN1010" s="52"/>
      <c r="AO1010" s="52">
        <v>0</v>
      </c>
      <c r="AP1010" s="52"/>
      <c r="AQ1010" s="52"/>
      <c r="AR1010" s="52"/>
      <c r="AS1010" s="52">
        <v>0</v>
      </c>
      <c r="AT1010" s="53">
        <v>0</v>
      </c>
      <c r="AU1010" s="52">
        <v>0</v>
      </c>
      <c r="AV1010" s="52"/>
      <c r="AW1010" s="52">
        <v>668320</v>
      </c>
      <c r="AX1010" s="52"/>
      <c r="AY1010" s="52"/>
      <c r="AZ1010" s="52">
        <v>0</v>
      </c>
      <c r="BA1010" s="52">
        <v>668320</v>
      </c>
      <c r="BB1010" s="54" t="s">
        <v>74</v>
      </c>
      <c r="BC1010" s="53" t="s">
        <v>74</v>
      </c>
      <c r="BD1010" s="55" t="s">
        <v>1104</v>
      </c>
      <c r="BE1010" s="55" t="s">
        <v>74</v>
      </c>
      <c r="BF1010" s="55" t="s">
        <v>74</v>
      </c>
      <c r="BG1010" s="55" t="s">
        <v>74</v>
      </c>
      <c r="BH1010" s="52">
        <v>668320</v>
      </c>
      <c r="BI1010" s="52">
        <v>2257166.08</v>
      </c>
      <c r="BJ1010" s="52">
        <v>1588846.08</v>
      </c>
      <c r="BK1010" s="56">
        <v>43983</v>
      </c>
      <c r="BL1010" s="57">
        <v>2257166.08</v>
      </c>
      <c r="BM1010" s="47">
        <v>0</v>
      </c>
      <c r="BN1010" s="9"/>
      <c r="BO1010" s="9"/>
      <c r="BP1010" s="9"/>
      <c r="BQ1010" s="9"/>
      <c r="BR1010" s="9"/>
      <c r="BS1010" s="9"/>
      <c r="BT1010" s="9"/>
      <c r="BU1010" s="9"/>
      <c r="BV1010" s="9"/>
      <c r="BW1010" s="9"/>
    </row>
    <row r="1011" spans="1:75" ht="66.75" hidden="1" customHeight="1" outlineLevel="2" x14ac:dyDescent="0.25">
      <c r="A1011" s="43" t="s">
        <v>1096</v>
      </c>
      <c r="B1011" s="110" t="s">
        <v>1097</v>
      </c>
      <c r="C1011" s="45">
        <v>2020</v>
      </c>
      <c r="D1011" s="110" t="s">
        <v>84</v>
      </c>
      <c r="E1011" s="47">
        <v>1657804.24</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1657804.24</v>
      </c>
      <c r="Z1011" s="58">
        <v>0</v>
      </c>
      <c r="AA1011" s="50">
        <v>0</v>
      </c>
      <c r="AB1011" s="50">
        <v>0</v>
      </c>
      <c r="AC1011" s="50">
        <v>45978.68</v>
      </c>
      <c r="AD1011" s="62">
        <v>50137.120000000003</v>
      </c>
      <c r="AE1011" s="50">
        <v>0</v>
      </c>
      <c r="AF1011" s="50">
        <v>0</v>
      </c>
      <c r="AG1011" s="49">
        <v>96115.8</v>
      </c>
      <c r="AH1011" s="51" t="s">
        <v>74</v>
      </c>
      <c r="AI1011" s="51" t="s">
        <v>74</v>
      </c>
      <c r="AJ1011" s="51" t="s">
        <v>1105</v>
      </c>
      <c r="AK1011" s="51" t="s">
        <v>1106</v>
      </c>
      <c r="AL1011" s="51" t="s">
        <v>74</v>
      </c>
      <c r="AM1011" s="51" t="s">
        <v>74</v>
      </c>
      <c r="AN1011" s="52">
        <v>0</v>
      </c>
      <c r="AO1011" s="52">
        <v>0</v>
      </c>
      <c r="AP1011" s="52">
        <v>0</v>
      </c>
      <c r="AQ1011" s="52">
        <v>0</v>
      </c>
      <c r="AR1011" s="52">
        <v>0</v>
      </c>
      <c r="AS1011" s="52">
        <v>0</v>
      </c>
      <c r="AT1011" s="53">
        <v>0</v>
      </c>
      <c r="AU1011" s="52">
        <v>0</v>
      </c>
      <c r="AV1011" s="52"/>
      <c r="AW1011" s="52">
        <v>0</v>
      </c>
      <c r="AX1011" s="52"/>
      <c r="AY1011" s="52"/>
      <c r="AZ1011" s="52">
        <v>0</v>
      </c>
      <c r="BA1011" s="52">
        <v>0</v>
      </c>
      <c r="BB1011" s="54" t="s">
        <v>74</v>
      </c>
      <c r="BC1011" s="53" t="s">
        <v>74</v>
      </c>
      <c r="BD1011" s="55" t="s">
        <v>74</v>
      </c>
      <c r="BE1011" s="55" t="s">
        <v>74</v>
      </c>
      <c r="BF1011" s="55" t="s">
        <v>74</v>
      </c>
      <c r="BG1011" s="55" t="s">
        <v>74</v>
      </c>
      <c r="BH1011" s="52">
        <v>0</v>
      </c>
      <c r="BI1011" s="52">
        <v>1561688.44</v>
      </c>
      <c r="BJ1011" s="52">
        <v>1561688.44</v>
      </c>
      <c r="BK1011" s="56">
        <v>44013</v>
      </c>
      <c r="BL1011" s="57">
        <v>1561688.44</v>
      </c>
      <c r="BM1011" s="47">
        <v>0</v>
      </c>
      <c r="BN1011" s="9"/>
      <c r="BO1011" s="9"/>
      <c r="BP1011" s="9"/>
      <c r="BQ1011" s="9"/>
      <c r="BR1011" s="9"/>
      <c r="BS1011" s="9"/>
      <c r="BT1011" s="9"/>
      <c r="BU1011" s="9"/>
      <c r="BV1011" s="9"/>
      <c r="BW1011" s="9"/>
    </row>
    <row r="1012" spans="1:75" ht="81.75" hidden="1" customHeight="1" outlineLevel="2" x14ac:dyDescent="0.25">
      <c r="A1012" s="71" t="s">
        <v>1096</v>
      </c>
      <c r="B1012" s="116" t="s">
        <v>1097</v>
      </c>
      <c r="C1012" s="73">
        <v>2020</v>
      </c>
      <c r="D1012" s="116" t="s">
        <v>86</v>
      </c>
      <c r="E1012" s="75">
        <v>1657804.24</v>
      </c>
      <c r="F1012" s="75">
        <v>0</v>
      </c>
      <c r="G1012" s="75">
        <v>0</v>
      </c>
      <c r="H1012" s="75">
        <v>0</v>
      </c>
      <c r="I1012" s="75">
        <v>0</v>
      </c>
      <c r="J1012" s="75">
        <v>0</v>
      </c>
      <c r="K1012" s="75">
        <v>0</v>
      </c>
      <c r="L1012" s="75">
        <v>0</v>
      </c>
      <c r="M1012" s="75">
        <v>0</v>
      </c>
      <c r="N1012" s="75">
        <v>0</v>
      </c>
      <c r="O1012" s="75">
        <v>0</v>
      </c>
      <c r="P1012" s="75">
        <v>0</v>
      </c>
      <c r="Q1012" s="75">
        <v>0</v>
      </c>
      <c r="R1012" s="75">
        <v>0</v>
      </c>
      <c r="S1012" s="75">
        <v>0</v>
      </c>
      <c r="T1012" s="75">
        <v>0</v>
      </c>
      <c r="U1012" s="75">
        <v>0</v>
      </c>
      <c r="V1012" s="75">
        <v>0</v>
      </c>
      <c r="W1012" s="75">
        <v>0</v>
      </c>
      <c r="X1012" s="75">
        <v>0</v>
      </c>
      <c r="Y1012" s="76">
        <v>1657804.24</v>
      </c>
      <c r="Z1012" s="115">
        <v>0</v>
      </c>
      <c r="AA1012" s="79">
        <v>0</v>
      </c>
      <c r="AB1012" s="79">
        <v>0</v>
      </c>
      <c r="AC1012" s="79">
        <v>73434.52</v>
      </c>
      <c r="AD1012" s="78">
        <v>23676.43</v>
      </c>
      <c r="AE1012" s="79">
        <v>0</v>
      </c>
      <c r="AF1012" s="79">
        <v>0</v>
      </c>
      <c r="AG1012" s="80">
        <v>97110.95</v>
      </c>
      <c r="AH1012" s="123" t="s">
        <v>74</v>
      </c>
      <c r="AI1012" s="123" t="s">
        <v>74</v>
      </c>
      <c r="AJ1012" s="123" t="s">
        <v>1107</v>
      </c>
      <c r="AK1012" s="123" t="s">
        <v>168</v>
      </c>
      <c r="AL1012" s="123" t="s">
        <v>74</v>
      </c>
      <c r="AM1012" s="123" t="s">
        <v>74</v>
      </c>
      <c r="AN1012" s="82"/>
      <c r="AO1012" s="82">
        <v>0</v>
      </c>
      <c r="AP1012" s="82"/>
      <c r="AQ1012" s="82"/>
      <c r="AR1012" s="82"/>
      <c r="AS1012" s="82">
        <v>0</v>
      </c>
      <c r="AT1012" s="124">
        <v>0</v>
      </c>
      <c r="AU1012" s="82">
        <v>0</v>
      </c>
      <c r="AV1012" s="82"/>
      <c r="AW1012" s="208">
        <v>200000</v>
      </c>
      <c r="AX1012" s="82"/>
      <c r="AY1012" s="82"/>
      <c r="AZ1012" s="82">
        <v>0</v>
      </c>
      <c r="BA1012" s="82">
        <v>200000</v>
      </c>
      <c r="BB1012" s="125" t="s">
        <v>74</v>
      </c>
      <c r="BC1012" s="124" t="s">
        <v>74</v>
      </c>
      <c r="BD1012" s="126" t="s">
        <v>1108</v>
      </c>
      <c r="BE1012" s="126" t="s">
        <v>74</v>
      </c>
      <c r="BF1012" s="126" t="s">
        <v>74</v>
      </c>
      <c r="BG1012" s="126" t="s">
        <v>74</v>
      </c>
      <c r="BH1012" s="82">
        <v>200000</v>
      </c>
      <c r="BI1012" s="82">
        <v>1760693.29</v>
      </c>
      <c r="BJ1012" s="52">
        <v>1560693.29</v>
      </c>
      <c r="BK1012" s="56">
        <v>44044</v>
      </c>
      <c r="BL1012" s="83">
        <v>1755215.96</v>
      </c>
      <c r="BM1012" s="75">
        <v>5477.33000000008</v>
      </c>
      <c r="BN1012" s="9"/>
      <c r="BO1012" s="9"/>
      <c r="BP1012" s="9"/>
      <c r="BQ1012" s="9"/>
      <c r="BR1012" s="9"/>
      <c r="BS1012" s="9"/>
      <c r="BT1012" s="9"/>
      <c r="BU1012" s="9"/>
      <c r="BV1012" s="9"/>
      <c r="BW1012" s="9"/>
    </row>
    <row r="1013" spans="1:75" ht="81.75" hidden="1" customHeight="1" outlineLevel="1" collapsed="1" x14ac:dyDescent="0.25">
      <c r="A1013" s="84"/>
      <c r="B1013" s="120" t="s">
        <v>1109</v>
      </c>
      <c r="C1013" s="86"/>
      <c r="D1013" s="120"/>
      <c r="E1013" s="88"/>
      <c r="F1013" s="88"/>
      <c r="G1013" s="88"/>
      <c r="H1013" s="88"/>
      <c r="I1013" s="88"/>
      <c r="J1013" s="88"/>
      <c r="K1013" s="88"/>
      <c r="L1013" s="88"/>
      <c r="M1013" s="88"/>
      <c r="N1013" s="88"/>
      <c r="O1013" s="88"/>
      <c r="P1013" s="88"/>
      <c r="Q1013" s="88"/>
      <c r="R1013" s="88"/>
      <c r="S1013" s="88"/>
      <c r="T1013" s="88"/>
      <c r="U1013" s="88"/>
      <c r="V1013" s="88"/>
      <c r="W1013" s="88"/>
      <c r="X1013" s="88"/>
      <c r="Y1013" s="89">
        <f t="shared" ref="Y1013:AG1013" si="180">SUBTOTAL(9,Y1006:Y1012)</f>
        <v>0</v>
      </c>
      <c r="Z1013" s="128">
        <f t="shared" si="180"/>
        <v>0</v>
      </c>
      <c r="AA1013" s="89">
        <f t="shared" si="180"/>
        <v>0</v>
      </c>
      <c r="AB1013" s="89">
        <f t="shared" si="180"/>
        <v>0</v>
      </c>
      <c r="AC1013" s="89">
        <f t="shared" si="180"/>
        <v>0</v>
      </c>
      <c r="AD1013" s="90">
        <f t="shared" si="180"/>
        <v>0</v>
      </c>
      <c r="AE1013" s="89">
        <f t="shared" si="180"/>
        <v>0</v>
      </c>
      <c r="AF1013" s="89">
        <f t="shared" si="180"/>
        <v>0</v>
      </c>
      <c r="AG1013" s="89">
        <f t="shared" si="180"/>
        <v>0</v>
      </c>
      <c r="AH1013" s="129"/>
      <c r="AI1013" s="129"/>
      <c r="AJ1013" s="129"/>
      <c r="AK1013" s="129"/>
      <c r="AL1013" s="129"/>
      <c r="AM1013" s="129"/>
      <c r="AN1013" s="92">
        <f t="shared" ref="AN1013:AS1013" si="181">SUBTOTAL(9,AN1006:AN1012)</f>
        <v>0</v>
      </c>
      <c r="AO1013" s="92">
        <f t="shared" si="181"/>
        <v>0</v>
      </c>
      <c r="AP1013" s="92">
        <f t="shared" si="181"/>
        <v>0</v>
      </c>
      <c r="AQ1013" s="92">
        <f t="shared" si="181"/>
        <v>0</v>
      </c>
      <c r="AR1013" s="92">
        <f t="shared" si="181"/>
        <v>0</v>
      </c>
      <c r="AS1013" s="92">
        <f t="shared" si="181"/>
        <v>0</v>
      </c>
      <c r="AT1013" s="130"/>
      <c r="AU1013" s="92">
        <f t="shared" ref="AU1013:BA1013" si="182">SUBTOTAL(9,AU1006:AU1012)</f>
        <v>0</v>
      </c>
      <c r="AV1013" s="92">
        <f t="shared" si="182"/>
        <v>0</v>
      </c>
      <c r="AW1013" s="209">
        <f t="shared" si="182"/>
        <v>0</v>
      </c>
      <c r="AX1013" s="92">
        <f t="shared" si="182"/>
        <v>0</v>
      </c>
      <c r="AY1013" s="92">
        <f t="shared" si="182"/>
        <v>0</v>
      </c>
      <c r="AZ1013" s="92">
        <f t="shared" si="182"/>
        <v>0</v>
      </c>
      <c r="BA1013" s="92">
        <f t="shared" si="182"/>
        <v>0</v>
      </c>
      <c r="BB1013" s="131"/>
      <c r="BC1013" s="130"/>
      <c r="BD1013" s="132"/>
      <c r="BE1013" s="132"/>
      <c r="BF1013" s="132"/>
      <c r="BG1013" s="132"/>
      <c r="BH1013" s="92">
        <f>SUBTOTAL(9,BH1006:BH1012)</f>
        <v>0</v>
      </c>
      <c r="BI1013" s="92">
        <f>SUBTOTAL(9,BI1006:BI1012)</f>
        <v>0</v>
      </c>
      <c r="BJ1013" s="93"/>
      <c r="BK1013" s="94"/>
      <c r="BL1013" s="95">
        <f>SUBTOTAL(9,BL1006:BL1012)</f>
        <v>0</v>
      </c>
      <c r="BM1013" s="88">
        <f>SUBTOTAL(9,BM1006:BM1012)</f>
        <v>0</v>
      </c>
      <c r="BN1013" s="9"/>
      <c r="BO1013" s="9"/>
      <c r="BP1013" s="9"/>
      <c r="BQ1013" s="9"/>
      <c r="BR1013" s="9"/>
      <c r="BS1013" s="9"/>
      <c r="BT1013" s="9"/>
      <c r="BU1013" s="9"/>
      <c r="BV1013" s="9"/>
      <c r="BW1013" s="9"/>
    </row>
    <row r="1014" spans="1:75" ht="128.25" hidden="1" outlineLevel="2" x14ac:dyDescent="0.25">
      <c r="A1014" s="96" t="s">
        <v>71</v>
      </c>
      <c r="B1014" s="97" t="s">
        <v>1110</v>
      </c>
      <c r="C1014" s="98">
        <v>2020</v>
      </c>
      <c r="D1014" s="97" t="s">
        <v>77</v>
      </c>
      <c r="E1014" s="210">
        <v>3529744.11</v>
      </c>
      <c r="F1014" s="100">
        <v>0</v>
      </c>
      <c r="G1014" s="100">
        <v>0</v>
      </c>
      <c r="H1014" s="100">
        <v>0</v>
      </c>
      <c r="I1014" s="100">
        <v>0</v>
      </c>
      <c r="J1014" s="100">
        <v>0</v>
      </c>
      <c r="K1014" s="100">
        <v>0</v>
      </c>
      <c r="L1014" s="100">
        <v>0</v>
      </c>
      <c r="M1014" s="100">
        <v>0</v>
      </c>
      <c r="N1014" s="100">
        <v>0</v>
      </c>
      <c r="O1014" s="100">
        <v>0</v>
      </c>
      <c r="P1014" s="100">
        <v>0</v>
      </c>
      <c r="Q1014" s="100">
        <v>0</v>
      </c>
      <c r="R1014" s="100">
        <v>0</v>
      </c>
      <c r="S1014" s="100">
        <v>0</v>
      </c>
      <c r="T1014" s="100">
        <v>0</v>
      </c>
      <c r="U1014" s="100">
        <v>0</v>
      </c>
      <c r="V1014" s="100">
        <v>0</v>
      </c>
      <c r="W1014" s="100">
        <v>0</v>
      </c>
      <c r="X1014" s="100">
        <v>0</v>
      </c>
      <c r="Y1014" s="101">
        <v>3529744.11</v>
      </c>
      <c r="Z1014" s="102">
        <v>0</v>
      </c>
      <c r="AA1014" s="103">
        <v>0</v>
      </c>
      <c r="AB1014" s="103">
        <v>0</v>
      </c>
      <c r="AC1014" s="103">
        <v>0</v>
      </c>
      <c r="AD1014" s="103">
        <v>0</v>
      </c>
      <c r="AE1014" s="103">
        <v>0</v>
      </c>
      <c r="AF1014" s="103">
        <v>0</v>
      </c>
      <c r="AG1014" s="102">
        <v>0</v>
      </c>
      <c r="AH1014" s="106" t="s">
        <v>74</v>
      </c>
      <c r="AI1014" s="104" t="s">
        <v>74</v>
      </c>
      <c r="AJ1014" s="104" t="s">
        <v>74</v>
      </c>
      <c r="AK1014" s="104" t="s">
        <v>74</v>
      </c>
      <c r="AL1014" s="104" t="s">
        <v>74</v>
      </c>
      <c r="AM1014" s="104" t="s">
        <v>74</v>
      </c>
      <c r="AN1014" s="105"/>
      <c r="AO1014" s="105">
        <v>0</v>
      </c>
      <c r="AP1014" s="105"/>
      <c r="AQ1014" s="105"/>
      <c r="AR1014" s="105"/>
      <c r="AS1014" s="105">
        <v>0</v>
      </c>
      <c r="AT1014" s="106" t="s">
        <v>74</v>
      </c>
      <c r="AU1014" s="105">
        <v>0</v>
      </c>
      <c r="AV1014" s="105"/>
      <c r="AW1014" s="105">
        <v>720000</v>
      </c>
      <c r="AX1014" s="105"/>
      <c r="AY1014" s="105"/>
      <c r="AZ1014" s="105">
        <v>0</v>
      </c>
      <c r="BA1014" s="105">
        <v>720000</v>
      </c>
      <c r="BB1014" s="107" t="s">
        <v>74</v>
      </c>
      <c r="BC1014" s="106" t="s">
        <v>74</v>
      </c>
      <c r="BD1014" s="108" t="s">
        <v>1111</v>
      </c>
      <c r="BE1014" s="108" t="s">
        <v>74</v>
      </c>
      <c r="BF1014" s="108" t="s">
        <v>74</v>
      </c>
      <c r="BG1014" s="108" t="s">
        <v>74</v>
      </c>
      <c r="BH1014" s="105">
        <v>720000</v>
      </c>
      <c r="BI1014" s="105">
        <v>4249744.1100000003</v>
      </c>
      <c r="BJ1014" s="52">
        <v>3529744.11</v>
      </c>
      <c r="BK1014" s="56">
        <v>43891</v>
      </c>
      <c r="BL1014" s="109">
        <v>4249744.1100000003</v>
      </c>
      <c r="BM1014" s="100">
        <v>0</v>
      </c>
      <c r="BN1014" s="9"/>
      <c r="BO1014" s="9"/>
      <c r="BP1014" s="9"/>
      <c r="BQ1014" s="9"/>
      <c r="BR1014" s="9"/>
      <c r="BS1014" s="9"/>
      <c r="BT1014" s="9"/>
      <c r="BU1014" s="9"/>
      <c r="BV1014" s="9"/>
      <c r="BW1014" s="9"/>
    </row>
    <row r="1015" spans="1:75" hidden="1" outlineLevel="2" x14ac:dyDescent="0.25">
      <c r="A1015" s="43" t="s">
        <v>71</v>
      </c>
      <c r="B1015" s="110" t="s">
        <v>1110</v>
      </c>
      <c r="C1015" s="45">
        <v>2020</v>
      </c>
      <c r="D1015" s="110" t="s">
        <v>79</v>
      </c>
      <c r="E1015" s="134">
        <v>9626574.8399999999</v>
      </c>
      <c r="F1015" s="47">
        <v>0</v>
      </c>
      <c r="G1015" s="47">
        <v>0</v>
      </c>
      <c r="H1015" s="47">
        <v>0</v>
      </c>
      <c r="I1015" s="47">
        <v>0</v>
      </c>
      <c r="J1015" s="47">
        <v>0</v>
      </c>
      <c r="K1015" s="47">
        <v>0</v>
      </c>
      <c r="L1015" s="47">
        <v>0</v>
      </c>
      <c r="M1015" s="47">
        <v>0</v>
      </c>
      <c r="N1015" s="47">
        <v>0</v>
      </c>
      <c r="O1015" s="47">
        <v>0</v>
      </c>
      <c r="P1015" s="47">
        <v>0</v>
      </c>
      <c r="Q1015" s="47">
        <v>0</v>
      </c>
      <c r="R1015" s="47">
        <v>0</v>
      </c>
      <c r="S1015" s="47">
        <v>0</v>
      </c>
      <c r="T1015" s="47">
        <v>0</v>
      </c>
      <c r="U1015" s="47">
        <v>0</v>
      </c>
      <c r="V1015" s="47">
        <v>0</v>
      </c>
      <c r="W1015" s="47">
        <v>0</v>
      </c>
      <c r="X1015" s="47">
        <v>0</v>
      </c>
      <c r="Y1015" s="48">
        <v>9626574.8399999999</v>
      </c>
      <c r="Z1015" s="49">
        <v>0</v>
      </c>
      <c r="AA1015" s="50">
        <v>0</v>
      </c>
      <c r="AB1015" s="50">
        <v>0</v>
      </c>
      <c r="AC1015" s="50">
        <v>0</v>
      </c>
      <c r="AD1015" s="50">
        <v>0</v>
      </c>
      <c r="AE1015" s="50">
        <v>0</v>
      </c>
      <c r="AF1015" s="50">
        <v>0</v>
      </c>
      <c r="AG1015" s="49">
        <v>0</v>
      </c>
      <c r="AH1015" s="53" t="s">
        <v>74</v>
      </c>
      <c r="AI1015" s="51" t="s">
        <v>74</v>
      </c>
      <c r="AJ1015" s="51" t="s">
        <v>74</v>
      </c>
      <c r="AK1015" s="51" t="s">
        <v>74</v>
      </c>
      <c r="AL1015" s="51" t="s">
        <v>74</v>
      </c>
      <c r="AM1015" s="51" t="s">
        <v>74</v>
      </c>
      <c r="AN1015" s="52">
        <v>0</v>
      </c>
      <c r="AO1015" s="52">
        <v>0</v>
      </c>
      <c r="AP1015" s="52">
        <v>0</v>
      </c>
      <c r="AQ1015" s="52">
        <v>0</v>
      </c>
      <c r="AR1015" s="52">
        <v>0</v>
      </c>
      <c r="AS1015" s="52">
        <v>0</v>
      </c>
      <c r="AT1015" s="53" t="s">
        <v>74</v>
      </c>
      <c r="AU1015" s="52">
        <v>0</v>
      </c>
      <c r="AV1015" s="52"/>
      <c r="AW1015" s="52">
        <v>0</v>
      </c>
      <c r="AX1015" s="52"/>
      <c r="AY1015" s="52"/>
      <c r="AZ1015" s="52">
        <v>0</v>
      </c>
      <c r="BA1015" s="52">
        <v>0</v>
      </c>
      <c r="BB1015" s="54" t="s">
        <v>74</v>
      </c>
      <c r="BC1015" s="53" t="s">
        <v>74</v>
      </c>
      <c r="BD1015" s="55" t="s">
        <v>74</v>
      </c>
      <c r="BE1015" s="55" t="s">
        <v>74</v>
      </c>
      <c r="BF1015" s="55" t="s">
        <v>74</v>
      </c>
      <c r="BG1015" s="55" t="s">
        <v>74</v>
      </c>
      <c r="BH1015" s="52">
        <v>0</v>
      </c>
      <c r="BI1015" s="52">
        <v>9626574.8399999999</v>
      </c>
      <c r="BJ1015" s="52">
        <v>9626574.8399999999</v>
      </c>
      <c r="BK1015" s="56">
        <v>43922</v>
      </c>
      <c r="BL1015" s="57">
        <v>9626574.8399999999</v>
      </c>
      <c r="BM1015" s="47">
        <v>0</v>
      </c>
      <c r="BN1015" s="9"/>
      <c r="BO1015" s="9"/>
      <c r="BP1015" s="9"/>
      <c r="BQ1015" s="9"/>
      <c r="BR1015" s="9"/>
      <c r="BS1015" s="9"/>
      <c r="BT1015" s="9"/>
      <c r="BU1015" s="9"/>
      <c r="BV1015" s="9"/>
      <c r="BW1015" s="9"/>
    </row>
    <row r="1016" spans="1:75" hidden="1" outlineLevel="2" x14ac:dyDescent="0.25">
      <c r="A1016" s="43" t="s">
        <v>71</v>
      </c>
      <c r="B1016" s="110" t="s">
        <v>1110</v>
      </c>
      <c r="C1016" s="45">
        <v>2020</v>
      </c>
      <c r="D1016" s="110" t="s">
        <v>81</v>
      </c>
      <c r="E1016" s="134">
        <v>9626574.8399999999</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9626574.8399999999</v>
      </c>
      <c r="Z1016" s="49">
        <v>0</v>
      </c>
      <c r="AA1016" s="50">
        <v>0</v>
      </c>
      <c r="AB1016" s="50">
        <v>0</v>
      </c>
      <c r="AC1016" s="50">
        <v>0</v>
      </c>
      <c r="AD1016" s="50">
        <v>0</v>
      </c>
      <c r="AE1016" s="50">
        <v>0</v>
      </c>
      <c r="AF1016" s="50">
        <v>0</v>
      </c>
      <c r="AG1016" s="49">
        <v>0</v>
      </c>
      <c r="AH1016" s="53" t="s">
        <v>74</v>
      </c>
      <c r="AI1016" s="51" t="s">
        <v>74</v>
      </c>
      <c r="AJ1016" s="51" t="s">
        <v>74</v>
      </c>
      <c r="AK1016" s="51" t="s">
        <v>74</v>
      </c>
      <c r="AL1016" s="51" t="s">
        <v>74</v>
      </c>
      <c r="AM1016" s="51" t="s">
        <v>74</v>
      </c>
      <c r="AN1016" s="52">
        <v>0</v>
      </c>
      <c r="AO1016" s="52">
        <v>0</v>
      </c>
      <c r="AP1016" s="52">
        <v>0</v>
      </c>
      <c r="AQ1016" s="52">
        <v>0</v>
      </c>
      <c r="AR1016" s="52">
        <v>0</v>
      </c>
      <c r="AS1016" s="52">
        <v>0</v>
      </c>
      <c r="AT1016" s="53" t="s">
        <v>74</v>
      </c>
      <c r="AU1016" s="52">
        <v>0</v>
      </c>
      <c r="AV1016" s="52"/>
      <c r="AW1016" s="52">
        <v>0</v>
      </c>
      <c r="AX1016" s="52"/>
      <c r="AY1016" s="52"/>
      <c r="AZ1016" s="52">
        <v>0</v>
      </c>
      <c r="BA1016" s="52">
        <v>0</v>
      </c>
      <c r="BB1016" s="54" t="s">
        <v>74</v>
      </c>
      <c r="BC1016" s="53" t="s">
        <v>74</v>
      </c>
      <c r="BD1016" s="55" t="s">
        <v>74</v>
      </c>
      <c r="BE1016" s="55" t="s">
        <v>74</v>
      </c>
      <c r="BF1016" s="55" t="s">
        <v>74</v>
      </c>
      <c r="BG1016" s="55" t="s">
        <v>74</v>
      </c>
      <c r="BH1016" s="52">
        <v>0</v>
      </c>
      <c r="BI1016" s="52">
        <v>9626574.8399999999</v>
      </c>
      <c r="BJ1016" s="52">
        <v>9626574.8399999999</v>
      </c>
      <c r="BK1016" s="56">
        <v>43952</v>
      </c>
      <c r="BL1016" s="57">
        <v>9626574.8399999999</v>
      </c>
      <c r="BM1016" s="47">
        <v>0</v>
      </c>
      <c r="BN1016" s="9"/>
      <c r="BO1016" s="9"/>
      <c r="BP1016" s="9"/>
      <c r="BQ1016" s="9"/>
      <c r="BR1016" s="9"/>
      <c r="BS1016" s="9"/>
      <c r="BT1016" s="9"/>
      <c r="BU1016" s="9"/>
      <c r="BV1016" s="9"/>
      <c r="BW1016" s="9"/>
    </row>
    <row r="1017" spans="1:75" hidden="1" outlineLevel="2" x14ac:dyDescent="0.25">
      <c r="A1017" s="43" t="s">
        <v>71</v>
      </c>
      <c r="B1017" s="110" t="s">
        <v>1110</v>
      </c>
      <c r="C1017" s="45">
        <v>2020</v>
      </c>
      <c r="D1017" s="110" t="s">
        <v>83</v>
      </c>
      <c r="E1017" s="134">
        <v>9626574.8399999999</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9626574.8399999999</v>
      </c>
      <c r="Z1017" s="49">
        <v>0</v>
      </c>
      <c r="AA1017" s="50">
        <v>0</v>
      </c>
      <c r="AB1017" s="50">
        <v>0</v>
      </c>
      <c r="AC1017" s="50">
        <v>0</v>
      </c>
      <c r="AD1017" s="50">
        <v>0</v>
      </c>
      <c r="AE1017" s="50">
        <v>0</v>
      </c>
      <c r="AF1017" s="50">
        <v>0</v>
      </c>
      <c r="AG1017" s="49">
        <v>0</v>
      </c>
      <c r="AH1017" s="53" t="s">
        <v>74</v>
      </c>
      <c r="AI1017" s="51" t="s">
        <v>74</v>
      </c>
      <c r="AJ1017" s="51" t="s">
        <v>74</v>
      </c>
      <c r="AK1017" s="51" t="s">
        <v>74</v>
      </c>
      <c r="AL1017" s="51" t="s">
        <v>74</v>
      </c>
      <c r="AM1017" s="51" t="s">
        <v>74</v>
      </c>
      <c r="AN1017" s="52">
        <v>0</v>
      </c>
      <c r="AO1017" s="52">
        <v>0</v>
      </c>
      <c r="AP1017" s="52">
        <v>0</v>
      </c>
      <c r="AQ1017" s="52">
        <v>0</v>
      </c>
      <c r="AR1017" s="52">
        <v>0</v>
      </c>
      <c r="AS1017" s="52">
        <v>0</v>
      </c>
      <c r="AT1017" s="53" t="s">
        <v>74</v>
      </c>
      <c r="AU1017" s="52">
        <v>0</v>
      </c>
      <c r="AV1017" s="52"/>
      <c r="AW1017" s="52">
        <v>0</v>
      </c>
      <c r="AX1017" s="52"/>
      <c r="AY1017" s="52"/>
      <c r="AZ1017" s="52">
        <v>0</v>
      </c>
      <c r="BA1017" s="52">
        <v>0</v>
      </c>
      <c r="BB1017" s="54" t="s">
        <v>74</v>
      </c>
      <c r="BC1017" s="53" t="s">
        <v>74</v>
      </c>
      <c r="BD1017" s="55" t="s">
        <v>74</v>
      </c>
      <c r="BE1017" s="55" t="s">
        <v>74</v>
      </c>
      <c r="BF1017" s="55" t="s">
        <v>74</v>
      </c>
      <c r="BG1017" s="55" t="s">
        <v>74</v>
      </c>
      <c r="BH1017" s="52">
        <v>0</v>
      </c>
      <c r="BI1017" s="52">
        <v>9626574.8399999999</v>
      </c>
      <c r="BJ1017" s="52">
        <v>9626574.8399999999</v>
      </c>
      <c r="BK1017" s="56">
        <v>43983</v>
      </c>
      <c r="BL1017" s="57">
        <v>9626574.8399999999</v>
      </c>
      <c r="BM1017" s="47">
        <v>0</v>
      </c>
      <c r="BN1017" s="9"/>
      <c r="BO1017" s="9"/>
      <c r="BP1017" s="9"/>
      <c r="BQ1017" s="9"/>
      <c r="BR1017" s="9"/>
      <c r="BS1017" s="9"/>
      <c r="BT1017" s="9"/>
      <c r="BU1017" s="9"/>
      <c r="BV1017" s="9"/>
      <c r="BW1017" s="9"/>
    </row>
    <row r="1018" spans="1:75" hidden="1" outlineLevel="2" x14ac:dyDescent="0.25">
      <c r="A1018" s="43" t="s">
        <v>71</v>
      </c>
      <c r="B1018" s="110" t="s">
        <v>1110</v>
      </c>
      <c r="C1018" s="45">
        <v>2020</v>
      </c>
      <c r="D1018" s="110" t="s">
        <v>84</v>
      </c>
      <c r="E1018" s="134">
        <v>9626574.8399999999</v>
      </c>
      <c r="F1018" s="47">
        <v>0</v>
      </c>
      <c r="G1018" s="47">
        <v>0</v>
      </c>
      <c r="H1018" s="47">
        <v>0</v>
      </c>
      <c r="I1018" s="47">
        <v>0</v>
      </c>
      <c r="J1018" s="47">
        <v>0</v>
      </c>
      <c r="K1018" s="47">
        <v>0</v>
      </c>
      <c r="L1018" s="47">
        <v>0</v>
      </c>
      <c r="M1018" s="47">
        <v>0</v>
      </c>
      <c r="N1018" s="47">
        <v>0</v>
      </c>
      <c r="O1018" s="47">
        <v>0</v>
      </c>
      <c r="P1018" s="47">
        <v>0</v>
      </c>
      <c r="Q1018" s="47">
        <v>0</v>
      </c>
      <c r="R1018" s="47">
        <v>0</v>
      </c>
      <c r="S1018" s="47">
        <v>0</v>
      </c>
      <c r="T1018" s="47">
        <v>0</v>
      </c>
      <c r="U1018" s="47">
        <v>0</v>
      </c>
      <c r="V1018" s="47">
        <v>0</v>
      </c>
      <c r="W1018" s="47">
        <v>0</v>
      </c>
      <c r="X1018" s="47">
        <v>0</v>
      </c>
      <c r="Y1018" s="48">
        <v>9626574.8399999999</v>
      </c>
      <c r="Z1018" s="49">
        <v>0</v>
      </c>
      <c r="AA1018" s="50">
        <v>0</v>
      </c>
      <c r="AB1018" s="50">
        <v>0</v>
      </c>
      <c r="AC1018" s="50">
        <v>0</v>
      </c>
      <c r="AD1018" s="50">
        <v>0</v>
      </c>
      <c r="AE1018" s="50">
        <v>0</v>
      </c>
      <c r="AF1018" s="50">
        <v>0</v>
      </c>
      <c r="AG1018" s="49">
        <v>0</v>
      </c>
      <c r="AH1018" s="51" t="s">
        <v>74</v>
      </c>
      <c r="AI1018" s="51" t="s">
        <v>74</v>
      </c>
      <c r="AJ1018" s="51" t="s">
        <v>74</v>
      </c>
      <c r="AK1018" s="51" t="s">
        <v>74</v>
      </c>
      <c r="AL1018" s="51" t="s">
        <v>74</v>
      </c>
      <c r="AM1018" s="51" t="s">
        <v>74</v>
      </c>
      <c r="AN1018" s="52">
        <v>0</v>
      </c>
      <c r="AO1018" s="52">
        <v>0</v>
      </c>
      <c r="AP1018" s="52">
        <v>0</v>
      </c>
      <c r="AQ1018" s="52">
        <v>0</v>
      </c>
      <c r="AR1018" s="52">
        <v>0</v>
      </c>
      <c r="AS1018" s="52">
        <v>0</v>
      </c>
      <c r="AT1018" s="53" t="s">
        <v>74</v>
      </c>
      <c r="AU1018" s="52">
        <v>0</v>
      </c>
      <c r="AV1018" s="52"/>
      <c r="AW1018" s="52">
        <v>0</v>
      </c>
      <c r="AX1018" s="52"/>
      <c r="AY1018" s="52"/>
      <c r="AZ1018" s="52">
        <v>0</v>
      </c>
      <c r="BA1018" s="52">
        <v>0</v>
      </c>
      <c r="BB1018" s="54" t="s">
        <v>74</v>
      </c>
      <c r="BC1018" s="53" t="s">
        <v>74</v>
      </c>
      <c r="BD1018" s="55" t="s">
        <v>74</v>
      </c>
      <c r="BE1018" s="55" t="s">
        <v>74</v>
      </c>
      <c r="BF1018" s="55" t="s">
        <v>74</v>
      </c>
      <c r="BG1018" s="55" t="s">
        <v>74</v>
      </c>
      <c r="BH1018" s="52">
        <v>0</v>
      </c>
      <c r="BI1018" s="52">
        <v>9626574.8399999999</v>
      </c>
      <c r="BJ1018" s="52">
        <v>9626574.8399999999</v>
      </c>
      <c r="BK1018" s="56">
        <v>44013</v>
      </c>
      <c r="BL1018" s="57">
        <v>9626574.8399999999</v>
      </c>
      <c r="BM1018" s="47">
        <v>0</v>
      </c>
      <c r="BN1018" s="9"/>
      <c r="BO1018" s="9"/>
      <c r="BP1018" s="9"/>
      <c r="BQ1018" s="9"/>
      <c r="BR1018" s="9"/>
      <c r="BS1018" s="9"/>
      <c r="BT1018" s="9"/>
      <c r="BU1018" s="9"/>
      <c r="BV1018" s="9"/>
      <c r="BW1018" s="9"/>
    </row>
    <row r="1019" spans="1:75" hidden="1" outlineLevel="2" x14ac:dyDescent="0.25">
      <c r="A1019" s="43" t="s">
        <v>71</v>
      </c>
      <c r="B1019" s="110" t="s">
        <v>1110</v>
      </c>
      <c r="C1019" s="45">
        <v>2020</v>
      </c>
      <c r="D1019" s="110" t="s">
        <v>86</v>
      </c>
      <c r="E1019" s="134">
        <v>9626574.8399999999</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9626574.8399999999</v>
      </c>
      <c r="Z1019" s="49">
        <v>0</v>
      </c>
      <c r="AA1019" s="50">
        <v>0</v>
      </c>
      <c r="AB1019" s="50">
        <v>0</v>
      </c>
      <c r="AC1019" s="50">
        <v>0</v>
      </c>
      <c r="AD1019" s="50">
        <v>0</v>
      </c>
      <c r="AE1019" s="50">
        <v>0</v>
      </c>
      <c r="AF1019" s="50">
        <v>0</v>
      </c>
      <c r="AG1019" s="49">
        <v>0</v>
      </c>
      <c r="AH1019" s="51" t="s">
        <v>74</v>
      </c>
      <c r="AI1019" s="51" t="s">
        <v>74</v>
      </c>
      <c r="AJ1019" s="51" t="s">
        <v>74</v>
      </c>
      <c r="AK1019" s="51" t="s">
        <v>74</v>
      </c>
      <c r="AL1019" s="51" t="s">
        <v>74</v>
      </c>
      <c r="AM1019" s="51" t="s">
        <v>74</v>
      </c>
      <c r="AN1019" s="52">
        <v>0</v>
      </c>
      <c r="AO1019" s="52">
        <v>0</v>
      </c>
      <c r="AP1019" s="52">
        <v>0</v>
      </c>
      <c r="AQ1019" s="52">
        <v>0</v>
      </c>
      <c r="AR1019" s="52">
        <v>0</v>
      </c>
      <c r="AS1019" s="52">
        <v>0</v>
      </c>
      <c r="AT1019" s="53" t="s">
        <v>74</v>
      </c>
      <c r="AU1019" s="52">
        <v>0</v>
      </c>
      <c r="AV1019" s="52"/>
      <c r="AW1019" s="52">
        <v>0</v>
      </c>
      <c r="AX1019" s="52"/>
      <c r="AY1019" s="52"/>
      <c r="AZ1019" s="52">
        <v>0</v>
      </c>
      <c r="BA1019" s="52">
        <v>0</v>
      </c>
      <c r="BB1019" s="54" t="s">
        <v>74</v>
      </c>
      <c r="BC1019" s="53" t="s">
        <v>74</v>
      </c>
      <c r="BD1019" s="55" t="s">
        <v>74</v>
      </c>
      <c r="BE1019" s="55" t="s">
        <v>74</v>
      </c>
      <c r="BF1019" s="55" t="s">
        <v>74</v>
      </c>
      <c r="BG1019" s="55" t="s">
        <v>74</v>
      </c>
      <c r="BH1019" s="52">
        <v>0</v>
      </c>
      <c r="BI1019" s="52">
        <v>9626574.8399999999</v>
      </c>
      <c r="BJ1019" s="52">
        <v>9626574.8399999999</v>
      </c>
      <c r="BK1019" s="56">
        <v>44044</v>
      </c>
      <c r="BL1019" s="63">
        <v>9626574.8399999999</v>
      </c>
      <c r="BM1019" s="47">
        <v>0</v>
      </c>
      <c r="BN1019" s="9"/>
      <c r="BO1019" s="9"/>
      <c r="BP1019" s="9"/>
      <c r="BQ1019" s="9"/>
      <c r="BR1019" s="9"/>
      <c r="BS1019" s="9"/>
      <c r="BT1019" s="9"/>
      <c r="BU1019" s="9"/>
      <c r="BV1019" s="9"/>
      <c r="BW1019" s="9"/>
    </row>
    <row r="1020" spans="1:75" hidden="1" outlineLevel="2" x14ac:dyDescent="0.25">
      <c r="A1020" s="43" t="s">
        <v>71</v>
      </c>
      <c r="B1020" s="110" t="s">
        <v>1110</v>
      </c>
      <c r="C1020" s="45">
        <v>2020</v>
      </c>
      <c r="D1020" s="110" t="s">
        <v>88</v>
      </c>
      <c r="E1020" s="134">
        <v>6096830.7300000004</v>
      </c>
      <c r="F1020" s="47">
        <v>4782188.4800000004</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10879019.210000001</v>
      </c>
      <c r="Z1020" s="49">
        <v>0</v>
      </c>
      <c r="AA1020" s="50">
        <v>0</v>
      </c>
      <c r="AB1020" s="50">
        <v>0</v>
      </c>
      <c r="AC1020" s="50">
        <v>0</v>
      </c>
      <c r="AD1020" s="50">
        <v>0</v>
      </c>
      <c r="AE1020" s="50">
        <v>0</v>
      </c>
      <c r="AF1020" s="50">
        <v>0</v>
      </c>
      <c r="AG1020" s="49">
        <v>0</v>
      </c>
      <c r="AH1020" s="51" t="s">
        <v>74</v>
      </c>
      <c r="AI1020" s="51" t="s">
        <v>74</v>
      </c>
      <c r="AJ1020" s="51" t="s">
        <v>74</v>
      </c>
      <c r="AK1020" s="51" t="s">
        <v>74</v>
      </c>
      <c r="AL1020" s="51" t="s">
        <v>74</v>
      </c>
      <c r="AM1020" s="51" t="s">
        <v>74</v>
      </c>
      <c r="AN1020" s="52">
        <v>0</v>
      </c>
      <c r="AO1020" s="52">
        <v>0</v>
      </c>
      <c r="AP1020" s="52">
        <v>0</v>
      </c>
      <c r="AQ1020" s="52">
        <v>0</v>
      </c>
      <c r="AR1020" s="52">
        <v>0</v>
      </c>
      <c r="AS1020" s="52">
        <v>0</v>
      </c>
      <c r="AT1020" s="53" t="s">
        <v>74</v>
      </c>
      <c r="AU1020" s="52">
        <v>0</v>
      </c>
      <c r="AV1020" s="52"/>
      <c r="AW1020" s="52">
        <v>0</v>
      </c>
      <c r="AX1020" s="52"/>
      <c r="AY1020" s="52"/>
      <c r="AZ1020" s="52">
        <v>0</v>
      </c>
      <c r="BA1020" s="52">
        <v>0</v>
      </c>
      <c r="BB1020" s="54" t="s">
        <v>74</v>
      </c>
      <c r="BC1020" s="53" t="s">
        <v>74</v>
      </c>
      <c r="BD1020" s="55" t="s">
        <v>74</v>
      </c>
      <c r="BE1020" s="55" t="s">
        <v>74</v>
      </c>
      <c r="BF1020" s="55" t="s">
        <v>74</v>
      </c>
      <c r="BG1020" s="55" t="s">
        <v>74</v>
      </c>
      <c r="BH1020" s="52">
        <v>0</v>
      </c>
      <c r="BI1020" s="52">
        <v>10879019.210000001</v>
      </c>
      <c r="BJ1020" s="52">
        <v>10879019.210000001</v>
      </c>
      <c r="BK1020" s="56">
        <v>44075</v>
      </c>
      <c r="BL1020" s="63">
        <v>10879019.210000001</v>
      </c>
      <c r="BM1020" s="47">
        <v>0</v>
      </c>
      <c r="BN1020" s="9"/>
      <c r="BO1020" s="9"/>
      <c r="BP1020" s="9"/>
      <c r="BQ1020" s="9"/>
      <c r="BR1020" s="9"/>
      <c r="BS1020" s="9"/>
      <c r="BT1020" s="9"/>
      <c r="BU1020" s="9"/>
      <c r="BV1020" s="9"/>
      <c r="BW1020" s="9"/>
    </row>
    <row r="1021" spans="1:75" hidden="1" outlineLevel="2" x14ac:dyDescent="0.25">
      <c r="A1021" s="43" t="s">
        <v>71</v>
      </c>
      <c r="B1021" s="110" t="s">
        <v>1110</v>
      </c>
      <c r="C1021" s="45">
        <v>2020</v>
      </c>
      <c r="D1021" s="110" t="s">
        <v>89</v>
      </c>
      <c r="E1021" s="47">
        <v>0</v>
      </c>
      <c r="F1021" s="47">
        <v>9564376.9499999993</v>
      </c>
      <c r="G1021" s="47">
        <v>0</v>
      </c>
      <c r="H1021" s="47">
        <v>0</v>
      </c>
      <c r="I1021" s="47">
        <v>0</v>
      </c>
      <c r="J1021" s="47">
        <v>0</v>
      </c>
      <c r="K1021" s="47">
        <v>0</v>
      </c>
      <c r="L1021" s="47">
        <v>0</v>
      </c>
      <c r="M1021" s="47">
        <v>0</v>
      </c>
      <c r="N1021" s="47">
        <v>0</v>
      </c>
      <c r="O1021" s="47">
        <v>0</v>
      </c>
      <c r="P1021" s="47">
        <v>0</v>
      </c>
      <c r="Q1021" s="47">
        <v>0</v>
      </c>
      <c r="R1021" s="47">
        <v>0</v>
      </c>
      <c r="S1021" s="47">
        <v>0</v>
      </c>
      <c r="T1021" s="47">
        <v>0</v>
      </c>
      <c r="U1021" s="47">
        <v>0</v>
      </c>
      <c r="V1021" s="47">
        <v>0</v>
      </c>
      <c r="W1021" s="47">
        <v>0</v>
      </c>
      <c r="X1021" s="47">
        <v>0</v>
      </c>
      <c r="Y1021" s="48">
        <v>9564376.9499999993</v>
      </c>
      <c r="Z1021" s="49">
        <v>0</v>
      </c>
      <c r="AA1021" s="50">
        <v>0</v>
      </c>
      <c r="AB1021" s="50">
        <v>0</v>
      </c>
      <c r="AC1021" s="50">
        <v>0</v>
      </c>
      <c r="AD1021" s="50">
        <v>0</v>
      </c>
      <c r="AE1021" s="50">
        <v>0</v>
      </c>
      <c r="AF1021" s="50">
        <v>0</v>
      </c>
      <c r="AG1021" s="49">
        <v>0</v>
      </c>
      <c r="AH1021" s="51" t="s">
        <v>74</v>
      </c>
      <c r="AI1021" s="51" t="s">
        <v>74</v>
      </c>
      <c r="AJ1021" s="51" t="s">
        <v>74</v>
      </c>
      <c r="AK1021" s="51" t="s">
        <v>74</v>
      </c>
      <c r="AL1021" s="51" t="s">
        <v>74</v>
      </c>
      <c r="AM1021" s="51" t="s">
        <v>74</v>
      </c>
      <c r="AN1021" s="52">
        <v>0</v>
      </c>
      <c r="AO1021" s="52">
        <v>0</v>
      </c>
      <c r="AP1021" s="52">
        <v>0</v>
      </c>
      <c r="AQ1021" s="52">
        <v>0</v>
      </c>
      <c r="AR1021" s="52">
        <v>0</v>
      </c>
      <c r="AS1021" s="52">
        <v>0</v>
      </c>
      <c r="AT1021" s="53" t="s">
        <v>74</v>
      </c>
      <c r="AU1021" s="52">
        <v>0</v>
      </c>
      <c r="AV1021" s="52"/>
      <c r="AW1021" s="52">
        <v>0</v>
      </c>
      <c r="AX1021" s="52"/>
      <c r="AY1021" s="52"/>
      <c r="AZ1021" s="52">
        <v>0</v>
      </c>
      <c r="BA1021" s="52">
        <v>0</v>
      </c>
      <c r="BB1021" s="54" t="s">
        <v>74</v>
      </c>
      <c r="BC1021" s="53" t="s">
        <v>74</v>
      </c>
      <c r="BD1021" s="55" t="s">
        <v>74</v>
      </c>
      <c r="BE1021" s="55" t="s">
        <v>74</v>
      </c>
      <c r="BF1021" s="55" t="s">
        <v>74</v>
      </c>
      <c r="BG1021" s="55" t="s">
        <v>74</v>
      </c>
      <c r="BH1021" s="52">
        <v>0</v>
      </c>
      <c r="BI1021" s="52">
        <v>9564376.9499999993</v>
      </c>
      <c r="BJ1021" s="52">
        <v>9564376.9499999993</v>
      </c>
      <c r="BK1021" s="56">
        <v>44105</v>
      </c>
      <c r="BL1021" s="63">
        <v>9564376.9499999993</v>
      </c>
      <c r="BM1021" s="47">
        <v>0</v>
      </c>
      <c r="BN1021" s="9"/>
      <c r="BO1021" s="9"/>
      <c r="BP1021" s="9"/>
      <c r="BQ1021" s="9"/>
      <c r="BR1021" s="9"/>
      <c r="BS1021" s="9"/>
      <c r="BT1021" s="9"/>
      <c r="BU1021" s="9"/>
      <c r="BV1021" s="9"/>
      <c r="BW1021" s="9"/>
    </row>
    <row r="1022" spans="1:75" hidden="1" outlineLevel="2" x14ac:dyDescent="0.25">
      <c r="A1022" s="43" t="s">
        <v>71</v>
      </c>
      <c r="B1022" s="110" t="s">
        <v>1110</v>
      </c>
      <c r="C1022" s="45">
        <v>2020</v>
      </c>
      <c r="D1022" s="110" t="s">
        <v>90</v>
      </c>
      <c r="E1022" s="47">
        <v>0</v>
      </c>
      <c r="F1022" s="47">
        <v>9564376.9499999993</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9564376.9499999993</v>
      </c>
      <c r="Z1022" s="49">
        <v>0</v>
      </c>
      <c r="AA1022" s="50">
        <v>0</v>
      </c>
      <c r="AB1022" s="50">
        <v>0</v>
      </c>
      <c r="AC1022" s="50">
        <v>0</v>
      </c>
      <c r="AD1022" s="50">
        <v>0</v>
      </c>
      <c r="AE1022" s="50">
        <v>0</v>
      </c>
      <c r="AF1022" s="50">
        <v>0</v>
      </c>
      <c r="AG1022" s="49">
        <v>0</v>
      </c>
      <c r="AH1022" s="51" t="s">
        <v>74</v>
      </c>
      <c r="AI1022" s="51" t="s">
        <v>74</v>
      </c>
      <c r="AJ1022" s="51" t="s">
        <v>74</v>
      </c>
      <c r="AK1022" s="51" t="s">
        <v>74</v>
      </c>
      <c r="AL1022" s="51" t="s">
        <v>74</v>
      </c>
      <c r="AM1022" s="51" t="s">
        <v>74</v>
      </c>
      <c r="AN1022" s="52">
        <v>0</v>
      </c>
      <c r="AO1022" s="52">
        <v>0</v>
      </c>
      <c r="AP1022" s="52">
        <v>0</v>
      </c>
      <c r="AQ1022" s="52">
        <v>0</v>
      </c>
      <c r="AR1022" s="52">
        <v>0</v>
      </c>
      <c r="AS1022" s="52">
        <v>0</v>
      </c>
      <c r="AT1022" s="53" t="s">
        <v>74</v>
      </c>
      <c r="AU1022" s="52">
        <v>0</v>
      </c>
      <c r="AV1022" s="52"/>
      <c r="AW1022" s="52">
        <v>0</v>
      </c>
      <c r="AX1022" s="52"/>
      <c r="AY1022" s="52"/>
      <c r="AZ1022" s="52">
        <v>0</v>
      </c>
      <c r="BA1022" s="52">
        <v>0</v>
      </c>
      <c r="BB1022" s="54" t="s">
        <v>74</v>
      </c>
      <c r="BC1022" s="53" t="s">
        <v>74</v>
      </c>
      <c r="BD1022" s="55" t="s">
        <v>74</v>
      </c>
      <c r="BE1022" s="55" t="s">
        <v>74</v>
      </c>
      <c r="BF1022" s="55" t="s">
        <v>74</v>
      </c>
      <c r="BG1022" s="55" t="s">
        <v>74</v>
      </c>
      <c r="BH1022" s="52">
        <v>0</v>
      </c>
      <c r="BI1022" s="52">
        <v>9564376.9499999993</v>
      </c>
      <c r="BJ1022" s="52">
        <v>9564376.9499999993</v>
      </c>
      <c r="BK1022" s="56">
        <v>44136</v>
      </c>
      <c r="BL1022" s="63">
        <v>9564376.9499999993</v>
      </c>
      <c r="BM1022" s="47">
        <v>0</v>
      </c>
      <c r="BN1022" s="9"/>
      <c r="BO1022" s="9"/>
      <c r="BP1022" s="9"/>
      <c r="BQ1022" s="9"/>
      <c r="BR1022" s="9"/>
      <c r="BS1022" s="9"/>
      <c r="BT1022" s="9"/>
      <c r="BU1022" s="9"/>
      <c r="BV1022" s="9"/>
      <c r="BW1022" s="9"/>
    </row>
    <row r="1023" spans="1:75" hidden="1" outlineLevel="2" x14ac:dyDescent="0.25">
      <c r="A1023" s="43" t="s">
        <v>71</v>
      </c>
      <c r="B1023" s="110" t="s">
        <v>1110</v>
      </c>
      <c r="C1023" s="45">
        <v>2020</v>
      </c>
      <c r="D1023" s="110" t="s">
        <v>93</v>
      </c>
      <c r="E1023" s="47">
        <v>0</v>
      </c>
      <c r="F1023" s="47">
        <v>9564376.9499999993</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9564376.9499999993</v>
      </c>
      <c r="Z1023" s="80">
        <v>0</v>
      </c>
      <c r="AA1023" s="50">
        <v>0</v>
      </c>
      <c r="AB1023" s="50">
        <v>0</v>
      </c>
      <c r="AC1023" s="50">
        <v>0</v>
      </c>
      <c r="AD1023" s="50">
        <v>0</v>
      </c>
      <c r="AE1023" s="50">
        <v>0</v>
      </c>
      <c r="AF1023" s="50">
        <v>0</v>
      </c>
      <c r="AG1023" s="49">
        <v>0</v>
      </c>
      <c r="AH1023" s="51" t="s">
        <v>74</v>
      </c>
      <c r="AI1023" s="51" t="s">
        <v>74</v>
      </c>
      <c r="AJ1023" s="51" t="s">
        <v>74</v>
      </c>
      <c r="AK1023" s="51" t="s">
        <v>74</v>
      </c>
      <c r="AL1023" s="51" t="s">
        <v>74</v>
      </c>
      <c r="AM1023" s="51" t="s">
        <v>74</v>
      </c>
      <c r="AN1023" s="52">
        <v>0</v>
      </c>
      <c r="AO1023" s="52">
        <v>0</v>
      </c>
      <c r="AP1023" s="52">
        <v>0</v>
      </c>
      <c r="AQ1023" s="52">
        <v>0</v>
      </c>
      <c r="AR1023" s="52">
        <v>0</v>
      </c>
      <c r="AS1023" s="52">
        <v>0</v>
      </c>
      <c r="AT1023" s="53" t="s">
        <v>74</v>
      </c>
      <c r="AU1023" s="52">
        <v>0</v>
      </c>
      <c r="AV1023" s="52"/>
      <c r="AW1023" s="52">
        <v>0</v>
      </c>
      <c r="AX1023" s="52"/>
      <c r="AY1023" s="52"/>
      <c r="AZ1023" s="52">
        <v>0</v>
      </c>
      <c r="BA1023" s="52">
        <v>0</v>
      </c>
      <c r="BB1023" s="54" t="s">
        <v>74</v>
      </c>
      <c r="BC1023" s="53" t="s">
        <v>74</v>
      </c>
      <c r="BD1023" s="55" t="s">
        <v>74</v>
      </c>
      <c r="BE1023" s="55" t="s">
        <v>74</v>
      </c>
      <c r="BF1023" s="55" t="s">
        <v>74</v>
      </c>
      <c r="BG1023" s="55" t="s">
        <v>74</v>
      </c>
      <c r="BH1023" s="52">
        <v>0</v>
      </c>
      <c r="BI1023" s="52">
        <v>9564376.9499999993</v>
      </c>
      <c r="BJ1023" s="52">
        <v>9564376.9499999993</v>
      </c>
      <c r="BK1023" s="56">
        <v>44166</v>
      </c>
      <c r="BL1023" s="63">
        <v>9564376.9499999993</v>
      </c>
      <c r="BM1023" s="47">
        <v>0</v>
      </c>
      <c r="BN1023" s="9"/>
      <c r="BO1023" s="9"/>
      <c r="BP1023" s="9"/>
      <c r="BQ1023" s="9"/>
      <c r="BR1023" s="9"/>
      <c r="BS1023" s="9"/>
      <c r="BT1023" s="9"/>
      <c r="BU1023" s="9"/>
      <c r="BV1023" s="9"/>
      <c r="BW1023" s="9"/>
    </row>
    <row r="1024" spans="1:75" ht="39" hidden="1" outlineLevel="2" x14ac:dyDescent="0.25">
      <c r="A1024" s="43" t="s">
        <v>71</v>
      </c>
      <c r="B1024" s="110" t="s">
        <v>1110</v>
      </c>
      <c r="C1024" s="45">
        <v>2021</v>
      </c>
      <c r="D1024" s="110" t="s">
        <v>73</v>
      </c>
      <c r="E1024" s="47">
        <v>0</v>
      </c>
      <c r="F1024" s="47">
        <v>0</v>
      </c>
      <c r="G1024" s="47">
        <v>0</v>
      </c>
      <c r="H1024" s="47">
        <v>0</v>
      </c>
      <c r="I1024" s="47">
        <v>0</v>
      </c>
      <c r="J1024" s="47">
        <v>0</v>
      </c>
      <c r="K1024" s="47">
        <v>0</v>
      </c>
      <c r="L1024" s="47">
        <v>0</v>
      </c>
      <c r="M1024" s="47">
        <v>0</v>
      </c>
      <c r="N1024" s="47">
        <v>0</v>
      </c>
      <c r="O1024" s="47">
        <v>0</v>
      </c>
      <c r="P1024" s="47">
        <v>0</v>
      </c>
      <c r="Q1024" s="47">
        <v>0</v>
      </c>
      <c r="R1024" s="47">
        <v>0</v>
      </c>
      <c r="S1024" s="47">
        <v>0</v>
      </c>
      <c r="T1024" s="47">
        <v>0</v>
      </c>
      <c r="U1024" s="47">
        <v>0</v>
      </c>
      <c r="V1024" s="47">
        <v>0</v>
      </c>
      <c r="W1024" s="47">
        <v>0</v>
      </c>
      <c r="X1024" s="47">
        <v>0</v>
      </c>
      <c r="Y1024" s="48">
        <f t="shared" ref="Y1024:Y1033" si="183">SUM(E1024:X1024)</f>
        <v>0</v>
      </c>
      <c r="Z1024" s="49">
        <v>0</v>
      </c>
      <c r="AA1024" s="50">
        <v>0</v>
      </c>
      <c r="AB1024" s="50">
        <v>0</v>
      </c>
      <c r="AC1024" s="50">
        <v>0</v>
      </c>
      <c r="AD1024" s="50">
        <v>0</v>
      </c>
      <c r="AE1024" s="50">
        <v>0</v>
      </c>
      <c r="AF1024" s="50">
        <v>0</v>
      </c>
      <c r="AG1024" s="49">
        <f t="shared" ref="AG1024:AG1033" si="184">SUM(AA1024:AF1024)</f>
        <v>0</v>
      </c>
      <c r="AH1024" s="51" t="s">
        <v>74</v>
      </c>
      <c r="AI1024" s="51" t="s">
        <v>74</v>
      </c>
      <c r="AJ1024" s="51" t="s">
        <v>74</v>
      </c>
      <c r="AK1024" s="51" t="s">
        <v>74</v>
      </c>
      <c r="AL1024" s="51" t="s">
        <v>74</v>
      </c>
      <c r="AM1024" s="51" t="s">
        <v>74</v>
      </c>
      <c r="AN1024" s="52"/>
      <c r="AO1024" s="52"/>
      <c r="AP1024" s="52"/>
      <c r="AQ1024" s="52"/>
      <c r="AR1024" s="52"/>
      <c r="AS1024" s="52">
        <f t="shared" ref="AS1024:AS1030" si="185">AN1024+AO1024+AP1024+AQ1024+AR1024</f>
        <v>0</v>
      </c>
      <c r="AT1024" s="53" t="s">
        <v>74</v>
      </c>
      <c r="AU1024" s="52"/>
      <c r="AV1024" s="52"/>
      <c r="AW1024" s="52"/>
      <c r="AX1024" s="59">
        <v>9564376.9499999993</v>
      </c>
      <c r="AY1024" s="59"/>
      <c r="AZ1024" s="52">
        <v>0</v>
      </c>
      <c r="BA1024" s="52">
        <f t="shared" ref="BA1024:BA1033" si="186">AU1024+AW1024+AX1024+AZ1024</f>
        <v>9564376.9499999993</v>
      </c>
      <c r="BB1024" s="54" t="s">
        <v>74</v>
      </c>
      <c r="BC1024" s="53" t="s">
        <v>74</v>
      </c>
      <c r="BD1024" s="55" t="s">
        <v>74</v>
      </c>
      <c r="BE1024" s="51" t="s">
        <v>1112</v>
      </c>
      <c r="BF1024" s="55" t="s">
        <v>74</v>
      </c>
      <c r="BG1024" s="55" t="s">
        <v>74</v>
      </c>
      <c r="BH1024" s="52">
        <f t="shared" ref="BH1024:BH1033" si="187">AS1024+BA1024</f>
        <v>9564376.9499999993</v>
      </c>
      <c r="BI1024" s="52">
        <f t="shared" ref="BI1024:BI1033" si="188">Y1024-AG1024+BH1024</f>
        <v>9564376.9499999993</v>
      </c>
      <c r="BJ1024" s="52" t="e">
        <f>#REF!-#REF!+BI1024</f>
        <v>#REF!</v>
      </c>
      <c r="BK1024" s="56">
        <v>44197</v>
      </c>
      <c r="BL1024" s="63">
        <v>9564376.9499999993</v>
      </c>
      <c r="BM1024" s="47">
        <v>0</v>
      </c>
      <c r="BN1024" s="9"/>
      <c r="BO1024" s="9"/>
      <c r="BP1024" s="9"/>
      <c r="BQ1024" s="9"/>
      <c r="BR1024" s="9"/>
      <c r="BS1024" s="9"/>
      <c r="BT1024" s="9"/>
      <c r="BU1024" s="9"/>
      <c r="BV1024" s="9"/>
      <c r="BW1024" s="9"/>
    </row>
    <row r="1025" spans="1:75" ht="345" hidden="1" outlineLevel="2" x14ac:dyDescent="0.25">
      <c r="A1025" s="43" t="s">
        <v>71</v>
      </c>
      <c r="B1025" s="110" t="s">
        <v>1110</v>
      </c>
      <c r="C1025" s="45">
        <v>2021</v>
      </c>
      <c r="D1025" s="110" t="s">
        <v>75</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f t="shared" si="183"/>
        <v>0</v>
      </c>
      <c r="Z1025" s="49">
        <v>0</v>
      </c>
      <c r="AA1025" s="50">
        <v>0</v>
      </c>
      <c r="AB1025" s="50">
        <v>0</v>
      </c>
      <c r="AC1025" s="50">
        <v>0</v>
      </c>
      <c r="AD1025" s="50">
        <v>0</v>
      </c>
      <c r="AE1025" s="50">
        <v>0</v>
      </c>
      <c r="AF1025" s="50">
        <v>0</v>
      </c>
      <c r="AG1025" s="49">
        <f t="shared" si="184"/>
        <v>0</v>
      </c>
      <c r="AH1025" s="51" t="s">
        <v>74</v>
      </c>
      <c r="AI1025" s="51" t="s">
        <v>74</v>
      </c>
      <c r="AJ1025" s="51" t="s">
        <v>74</v>
      </c>
      <c r="AK1025" s="51" t="s">
        <v>74</v>
      </c>
      <c r="AL1025" s="51" t="s">
        <v>74</v>
      </c>
      <c r="AM1025" s="51" t="s">
        <v>74</v>
      </c>
      <c r="AN1025" s="52"/>
      <c r="AO1025" s="52"/>
      <c r="AP1025" s="52"/>
      <c r="AQ1025" s="52"/>
      <c r="AR1025" s="52"/>
      <c r="AS1025" s="52">
        <f t="shared" si="185"/>
        <v>0</v>
      </c>
      <c r="AT1025" s="53" t="s">
        <v>74</v>
      </c>
      <c r="AU1025" s="52"/>
      <c r="AV1025" s="52"/>
      <c r="AW1025" s="52"/>
      <c r="AX1025" s="59">
        <f>8926751.82+549590.71</f>
        <v>9476342.5300000012</v>
      </c>
      <c r="AY1025" s="59"/>
      <c r="AZ1025" s="52">
        <v>0</v>
      </c>
      <c r="BA1025" s="52">
        <f t="shared" si="186"/>
        <v>9476342.5300000012</v>
      </c>
      <c r="BB1025" s="54" t="s">
        <v>74</v>
      </c>
      <c r="BC1025" s="53" t="s">
        <v>74</v>
      </c>
      <c r="BD1025" s="55" t="s">
        <v>74</v>
      </c>
      <c r="BE1025" s="51" t="s">
        <v>1113</v>
      </c>
      <c r="BF1025" s="55" t="s">
        <v>74</v>
      </c>
      <c r="BG1025" s="55" t="s">
        <v>74</v>
      </c>
      <c r="BH1025" s="52">
        <f t="shared" si="187"/>
        <v>9476342.5300000012</v>
      </c>
      <c r="BI1025" s="52">
        <f t="shared" si="188"/>
        <v>9476342.5300000012</v>
      </c>
      <c r="BJ1025" s="52" t="e">
        <f>#REF!-#REF!+BI1025</f>
        <v>#REF!</v>
      </c>
      <c r="BK1025" s="56">
        <v>44228</v>
      </c>
      <c r="BL1025" s="63">
        <f>8926751.82+549590.71</f>
        <v>9476342.5300000012</v>
      </c>
      <c r="BM1025" s="47">
        <v>0</v>
      </c>
      <c r="BN1025" s="9"/>
      <c r="BO1025" s="9"/>
      <c r="BP1025" s="9"/>
      <c r="BQ1025" s="9"/>
      <c r="BR1025" s="9"/>
      <c r="BS1025" s="9"/>
      <c r="BT1025" s="9"/>
      <c r="BU1025" s="9"/>
      <c r="BV1025" s="9"/>
      <c r="BW1025" s="9"/>
    </row>
    <row r="1026" spans="1:75" ht="357.75" hidden="1" outlineLevel="2" x14ac:dyDescent="0.25">
      <c r="A1026" s="43" t="s">
        <v>71</v>
      </c>
      <c r="B1026" s="110" t="s">
        <v>1110</v>
      </c>
      <c r="C1026" s="45">
        <v>2021</v>
      </c>
      <c r="D1026" s="110" t="s">
        <v>77</v>
      </c>
      <c r="E1026" s="47">
        <v>9245564.3900000006</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f t="shared" si="183"/>
        <v>9245564.3900000006</v>
      </c>
      <c r="Z1026" s="49">
        <v>0</v>
      </c>
      <c r="AA1026" s="50">
        <v>0</v>
      </c>
      <c r="AB1026" s="50">
        <v>0</v>
      </c>
      <c r="AC1026" s="50">
        <v>0</v>
      </c>
      <c r="AD1026" s="50">
        <v>0</v>
      </c>
      <c r="AE1026" s="50">
        <v>0</v>
      </c>
      <c r="AF1026" s="50">
        <v>0</v>
      </c>
      <c r="AG1026" s="49">
        <f t="shared" si="184"/>
        <v>0</v>
      </c>
      <c r="AH1026" s="51" t="s">
        <v>74</v>
      </c>
      <c r="AI1026" s="51" t="s">
        <v>74</v>
      </c>
      <c r="AJ1026" s="51" t="s">
        <v>74</v>
      </c>
      <c r="AK1026" s="51" t="s">
        <v>74</v>
      </c>
      <c r="AL1026" s="51" t="s">
        <v>74</v>
      </c>
      <c r="AM1026" s="51" t="s">
        <v>74</v>
      </c>
      <c r="AN1026" s="52"/>
      <c r="AO1026" s="52"/>
      <c r="AP1026" s="52"/>
      <c r="AQ1026" s="52"/>
      <c r="AR1026" s="52"/>
      <c r="AS1026" s="52">
        <f t="shared" si="185"/>
        <v>0</v>
      </c>
      <c r="AT1026" s="53" t="s">
        <v>74</v>
      </c>
      <c r="AU1026" s="52"/>
      <c r="AV1026" s="52"/>
      <c r="AW1026" s="59">
        <v>1770000</v>
      </c>
      <c r="AX1026" s="68">
        <f>549590.71+318812.57</f>
        <v>868403.28</v>
      </c>
      <c r="AY1026" s="52"/>
      <c r="AZ1026" s="52">
        <v>0</v>
      </c>
      <c r="BA1026" s="52">
        <f t="shared" si="186"/>
        <v>2638403.2800000003</v>
      </c>
      <c r="BB1026" s="54" t="s">
        <v>74</v>
      </c>
      <c r="BC1026" s="53" t="s">
        <v>74</v>
      </c>
      <c r="BD1026" s="55" t="s">
        <v>1114</v>
      </c>
      <c r="BE1026" s="55" t="s">
        <v>1115</v>
      </c>
      <c r="BF1026" s="55" t="s">
        <v>74</v>
      </c>
      <c r="BG1026" s="55" t="s">
        <v>74</v>
      </c>
      <c r="BH1026" s="52">
        <f t="shared" si="187"/>
        <v>2638403.2800000003</v>
      </c>
      <c r="BI1026" s="52">
        <f t="shared" si="188"/>
        <v>11883967.670000002</v>
      </c>
      <c r="BJ1026" s="52">
        <v>9245564.3900000006</v>
      </c>
      <c r="BK1026" s="56">
        <v>44256</v>
      </c>
      <c r="BL1026" s="63">
        <f>11015564.39+549590.71+318812.57</f>
        <v>11883967.670000002</v>
      </c>
      <c r="BM1026" s="47">
        <v>0</v>
      </c>
      <c r="BN1026" s="9"/>
      <c r="BO1026" s="9"/>
      <c r="BP1026" s="9"/>
      <c r="BQ1026" s="9"/>
      <c r="BR1026" s="9"/>
      <c r="BS1026" s="9"/>
      <c r="BT1026" s="9"/>
      <c r="BU1026" s="9"/>
      <c r="BV1026" s="9"/>
      <c r="BW1026" s="9"/>
    </row>
    <row r="1027" spans="1:75" ht="141" hidden="1" outlineLevel="2" x14ac:dyDescent="0.25">
      <c r="A1027" s="43" t="s">
        <v>71</v>
      </c>
      <c r="B1027" s="110" t="s">
        <v>1110</v>
      </c>
      <c r="C1027" s="45">
        <v>2021</v>
      </c>
      <c r="D1027" s="110" t="s">
        <v>79</v>
      </c>
      <c r="E1027" s="134">
        <v>9564376.9499999993</v>
      </c>
      <c r="F1027" s="47">
        <v>0</v>
      </c>
      <c r="G1027" s="47">
        <v>0</v>
      </c>
      <c r="H1027" s="47">
        <v>0</v>
      </c>
      <c r="I1027" s="47">
        <v>0</v>
      </c>
      <c r="J1027" s="47">
        <v>0</v>
      </c>
      <c r="K1027" s="47">
        <v>0</v>
      </c>
      <c r="L1027" s="47">
        <v>0</v>
      </c>
      <c r="M1027" s="47">
        <v>0</v>
      </c>
      <c r="N1027" s="47">
        <v>0</v>
      </c>
      <c r="O1027" s="47">
        <v>0</v>
      </c>
      <c r="P1027" s="47">
        <v>0</v>
      </c>
      <c r="Q1027" s="47">
        <v>0</v>
      </c>
      <c r="R1027" s="47">
        <v>0</v>
      </c>
      <c r="S1027" s="47">
        <v>0</v>
      </c>
      <c r="T1027" s="47">
        <v>0</v>
      </c>
      <c r="U1027" s="47">
        <v>0</v>
      </c>
      <c r="V1027" s="47">
        <v>0</v>
      </c>
      <c r="W1027" s="47">
        <v>0</v>
      </c>
      <c r="X1027" s="47">
        <v>0</v>
      </c>
      <c r="Y1027" s="48">
        <f t="shared" si="183"/>
        <v>9564376.9499999993</v>
      </c>
      <c r="Z1027" s="49">
        <v>0</v>
      </c>
      <c r="AA1027" s="50">
        <v>0</v>
      </c>
      <c r="AB1027" s="50">
        <v>0</v>
      </c>
      <c r="AC1027" s="50">
        <v>0</v>
      </c>
      <c r="AD1027" s="50">
        <v>0</v>
      </c>
      <c r="AE1027" s="50">
        <v>0</v>
      </c>
      <c r="AF1027" s="50">
        <v>0</v>
      </c>
      <c r="AG1027" s="49">
        <f t="shared" si="184"/>
        <v>0</v>
      </c>
      <c r="AH1027" s="51" t="s">
        <v>74</v>
      </c>
      <c r="AI1027" s="51" t="s">
        <v>74</v>
      </c>
      <c r="AJ1027" s="51" t="s">
        <v>74</v>
      </c>
      <c r="AK1027" s="51" t="s">
        <v>74</v>
      </c>
      <c r="AL1027" s="51" t="s">
        <v>74</v>
      </c>
      <c r="AM1027" s="51" t="s">
        <v>74</v>
      </c>
      <c r="AN1027" s="52"/>
      <c r="AO1027" s="52"/>
      <c r="AP1027" s="52"/>
      <c r="AQ1027" s="52"/>
      <c r="AR1027" s="52"/>
      <c r="AS1027" s="52">
        <f t="shared" si="185"/>
        <v>0</v>
      </c>
      <c r="AT1027" s="53" t="s">
        <v>74</v>
      </c>
      <c r="AU1027" s="52"/>
      <c r="AV1027" s="52"/>
      <c r="AW1027" s="59">
        <v>296021.5</v>
      </c>
      <c r="AX1027" s="68">
        <v>549590.71</v>
      </c>
      <c r="AY1027" s="52"/>
      <c r="AZ1027" s="52">
        <v>0</v>
      </c>
      <c r="BA1027" s="52">
        <f t="shared" si="186"/>
        <v>845612.21</v>
      </c>
      <c r="BB1027" s="54" t="s">
        <v>74</v>
      </c>
      <c r="BC1027" s="53" t="s">
        <v>74</v>
      </c>
      <c r="BD1027" s="55" t="s">
        <v>1116</v>
      </c>
      <c r="BE1027" s="55" t="s">
        <v>1117</v>
      </c>
      <c r="BF1027" s="55" t="s">
        <v>74</v>
      </c>
      <c r="BG1027" s="55" t="s">
        <v>74</v>
      </c>
      <c r="BH1027" s="52">
        <f t="shared" si="187"/>
        <v>845612.21</v>
      </c>
      <c r="BI1027" s="52">
        <f t="shared" si="188"/>
        <v>10409989.16</v>
      </c>
      <c r="BJ1027" s="52">
        <v>9860398.4499999993</v>
      </c>
      <c r="BK1027" s="56">
        <v>44287</v>
      </c>
      <c r="BL1027" s="63">
        <f>9860398.45+549590.71</f>
        <v>10409989.16</v>
      </c>
      <c r="BM1027" s="47">
        <v>0</v>
      </c>
      <c r="BN1027" s="9"/>
      <c r="BO1027" s="9"/>
      <c r="BP1027" s="9"/>
      <c r="BQ1027" s="9"/>
      <c r="BR1027" s="9"/>
      <c r="BS1027" s="9"/>
      <c r="BT1027" s="9"/>
      <c r="BU1027" s="9"/>
      <c r="BV1027" s="9"/>
      <c r="BW1027" s="9"/>
    </row>
    <row r="1028" spans="1:75" ht="128.25" hidden="1" outlineLevel="2" x14ac:dyDescent="0.25">
      <c r="A1028" s="43" t="s">
        <v>71</v>
      </c>
      <c r="B1028" s="110" t="s">
        <v>1110</v>
      </c>
      <c r="C1028" s="45">
        <v>2021</v>
      </c>
      <c r="D1028" s="110" t="s">
        <v>81</v>
      </c>
      <c r="E1028" s="134">
        <v>9564376.9499999993</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f t="shared" si="183"/>
        <v>9564376.9499999993</v>
      </c>
      <c r="Z1028" s="49">
        <v>0</v>
      </c>
      <c r="AA1028" s="50">
        <v>0</v>
      </c>
      <c r="AB1028" s="50">
        <v>0</v>
      </c>
      <c r="AC1028" s="50">
        <v>0</v>
      </c>
      <c r="AD1028" s="50">
        <v>0</v>
      </c>
      <c r="AE1028" s="50">
        <v>0</v>
      </c>
      <c r="AF1028" s="50">
        <v>0</v>
      </c>
      <c r="AG1028" s="49">
        <f t="shared" si="184"/>
        <v>0</v>
      </c>
      <c r="AH1028" s="51" t="s">
        <v>74</v>
      </c>
      <c r="AI1028" s="51" t="s">
        <v>74</v>
      </c>
      <c r="AJ1028" s="51" t="s">
        <v>74</v>
      </c>
      <c r="AK1028" s="51" t="s">
        <v>74</v>
      </c>
      <c r="AL1028" s="51" t="s">
        <v>74</v>
      </c>
      <c r="AM1028" s="51" t="s">
        <v>74</v>
      </c>
      <c r="AN1028" s="52"/>
      <c r="AO1028" s="52"/>
      <c r="AP1028" s="52"/>
      <c r="AQ1028" s="52"/>
      <c r="AR1028" s="52"/>
      <c r="AS1028" s="52">
        <f t="shared" si="185"/>
        <v>0</v>
      </c>
      <c r="AT1028" s="53" t="s">
        <v>74</v>
      </c>
      <c r="AU1028" s="52"/>
      <c r="AV1028" s="52"/>
      <c r="AW1028" s="52"/>
      <c r="AX1028" s="68">
        <v>549590.71</v>
      </c>
      <c r="AY1028" s="52"/>
      <c r="AZ1028" s="52">
        <v>0</v>
      </c>
      <c r="BA1028" s="52">
        <f t="shared" si="186"/>
        <v>549590.71</v>
      </c>
      <c r="BB1028" s="54" t="s">
        <v>74</v>
      </c>
      <c r="BC1028" s="53" t="s">
        <v>74</v>
      </c>
      <c r="BD1028" s="55" t="s">
        <v>74</v>
      </c>
      <c r="BE1028" s="55" t="s">
        <v>1118</v>
      </c>
      <c r="BF1028" s="55" t="s">
        <v>74</v>
      </c>
      <c r="BG1028" s="55" t="s">
        <v>74</v>
      </c>
      <c r="BH1028" s="52">
        <f t="shared" si="187"/>
        <v>549590.71</v>
      </c>
      <c r="BI1028" s="52">
        <f t="shared" si="188"/>
        <v>10113967.66</v>
      </c>
      <c r="BJ1028" s="52">
        <v>9564376.9499999993</v>
      </c>
      <c r="BK1028" s="56">
        <v>44317</v>
      </c>
      <c r="BL1028" s="63">
        <f>9564376.95+549590.71</f>
        <v>10113967.66</v>
      </c>
      <c r="BM1028" s="47">
        <v>0</v>
      </c>
      <c r="BN1028" s="9"/>
      <c r="BO1028" s="9"/>
      <c r="BP1028" s="9"/>
      <c r="BQ1028" s="9"/>
      <c r="BR1028" s="9"/>
      <c r="BS1028" s="9"/>
      <c r="BT1028" s="9"/>
      <c r="BU1028" s="9"/>
      <c r="BV1028" s="9"/>
      <c r="BW1028" s="9"/>
    </row>
    <row r="1029" spans="1:75" ht="128.25" hidden="1" outlineLevel="2" x14ac:dyDescent="0.25">
      <c r="A1029" s="43" t="s">
        <v>71</v>
      </c>
      <c r="B1029" s="110" t="s">
        <v>1110</v>
      </c>
      <c r="C1029" s="45">
        <v>2021</v>
      </c>
      <c r="D1029" s="110" t="s">
        <v>83</v>
      </c>
      <c r="E1029" s="134">
        <v>9564376.9499999993</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f t="shared" si="183"/>
        <v>9564376.9499999993</v>
      </c>
      <c r="Z1029" s="49">
        <v>0</v>
      </c>
      <c r="AA1029" s="50">
        <v>0</v>
      </c>
      <c r="AB1029" s="50">
        <v>0</v>
      </c>
      <c r="AC1029" s="50">
        <v>0</v>
      </c>
      <c r="AD1029" s="50">
        <v>0</v>
      </c>
      <c r="AE1029" s="50">
        <v>0</v>
      </c>
      <c r="AF1029" s="50">
        <v>0</v>
      </c>
      <c r="AG1029" s="49">
        <f t="shared" si="184"/>
        <v>0</v>
      </c>
      <c r="AH1029" s="51" t="s">
        <v>74</v>
      </c>
      <c r="AI1029" s="51" t="s">
        <v>74</v>
      </c>
      <c r="AJ1029" s="51" t="s">
        <v>74</v>
      </c>
      <c r="AK1029" s="51" t="s">
        <v>74</v>
      </c>
      <c r="AL1029" s="51" t="s">
        <v>74</v>
      </c>
      <c r="AM1029" s="51" t="s">
        <v>74</v>
      </c>
      <c r="AN1029" s="52"/>
      <c r="AO1029" s="52"/>
      <c r="AP1029" s="52"/>
      <c r="AQ1029" s="52"/>
      <c r="AR1029" s="52"/>
      <c r="AS1029" s="52">
        <f t="shared" si="185"/>
        <v>0</v>
      </c>
      <c r="AT1029" s="53" t="s">
        <v>74</v>
      </c>
      <c r="AU1029" s="52"/>
      <c r="AV1029" s="52"/>
      <c r="AW1029" s="52"/>
      <c r="AX1029" s="68">
        <v>549590.71</v>
      </c>
      <c r="AY1029" s="52"/>
      <c r="AZ1029" s="52">
        <v>0</v>
      </c>
      <c r="BA1029" s="52">
        <f t="shared" si="186"/>
        <v>549590.71</v>
      </c>
      <c r="BB1029" s="54" t="s">
        <v>74</v>
      </c>
      <c r="BC1029" s="53" t="s">
        <v>74</v>
      </c>
      <c r="BD1029" s="55" t="s">
        <v>74</v>
      </c>
      <c r="BE1029" s="55" t="s">
        <v>1119</v>
      </c>
      <c r="BF1029" s="55" t="s">
        <v>74</v>
      </c>
      <c r="BG1029" s="55" t="s">
        <v>74</v>
      </c>
      <c r="BH1029" s="52">
        <f t="shared" si="187"/>
        <v>549590.71</v>
      </c>
      <c r="BI1029" s="52">
        <f t="shared" si="188"/>
        <v>10113967.66</v>
      </c>
      <c r="BJ1029" s="52">
        <f>Y1029-AG1029+AX1029</f>
        <v>10113967.66</v>
      </c>
      <c r="BK1029" s="56">
        <v>44348</v>
      </c>
      <c r="BL1029" s="63">
        <f>9564376.95+549590.71</f>
        <v>10113967.66</v>
      </c>
      <c r="BM1029" s="47">
        <v>0</v>
      </c>
      <c r="BN1029" s="9"/>
      <c r="BO1029" s="9"/>
      <c r="BP1029" s="9"/>
      <c r="BQ1029" s="9"/>
      <c r="BR1029" s="9"/>
      <c r="BS1029" s="9"/>
      <c r="BT1029" s="9"/>
      <c r="BU1029" s="9"/>
      <c r="BV1029" s="9"/>
      <c r="BW1029" s="9"/>
    </row>
    <row r="1030" spans="1:75" ht="128.25" hidden="1" outlineLevel="2" x14ac:dyDescent="0.25">
      <c r="A1030" s="43" t="s">
        <v>71</v>
      </c>
      <c r="B1030" s="110" t="s">
        <v>1110</v>
      </c>
      <c r="C1030" s="45">
        <v>2021</v>
      </c>
      <c r="D1030" s="110" t="s">
        <v>84</v>
      </c>
      <c r="E1030" s="47">
        <f>637625.13+11589905.6</f>
        <v>12227530.73</v>
      </c>
      <c r="F1030" s="47">
        <v>0</v>
      </c>
      <c r="G1030" s="47">
        <v>0</v>
      </c>
      <c r="H1030" s="47">
        <v>0</v>
      </c>
      <c r="I1030" s="47">
        <v>0</v>
      </c>
      <c r="J1030" s="47">
        <v>0</v>
      </c>
      <c r="K1030" s="47">
        <v>0</v>
      </c>
      <c r="L1030" s="47">
        <v>0</v>
      </c>
      <c r="M1030" s="47">
        <v>0</v>
      </c>
      <c r="N1030" s="47">
        <v>0</v>
      </c>
      <c r="O1030" s="47">
        <v>0</v>
      </c>
      <c r="P1030" s="47">
        <v>0</v>
      </c>
      <c r="Q1030" s="47">
        <v>0</v>
      </c>
      <c r="R1030" s="47">
        <v>0</v>
      </c>
      <c r="S1030" s="47">
        <v>0</v>
      </c>
      <c r="T1030" s="47">
        <v>0</v>
      </c>
      <c r="U1030" s="47">
        <v>0</v>
      </c>
      <c r="V1030" s="47">
        <v>0</v>
      </c>
      <c r="W1030" s="47">
        <v>0</v>
      </c>
      <c r="X1030" s="47">
        <v>0</v>
      </c>
      <c r="Y1030" s="48">
        <f t="shared" si="183"/>
        <v>12227530.73</v>
      </c>
      <c r="Z1030" s="49">
        <v>0</v>
      </c>
      <c r="AA1030" s="50">
        <v>0</v>
      </c>
      <c r="AB1030" s="50">
        <v>0</v>
      </c>
      <c r="AC1030" s="50">
        <v>0</v>
      </c>
      <c r="AD1030" s="50">
        <v>0</v>
      </c>
      <c r="AE1030" s="50">
        <v>0</v>
      </c>
      <c r="AF1030" s="50">
        <v>0</v>
      </c>
      <c r="AG1030" s="49">
        <f t="shared" si="184"/>
        <v>0</v>
      </c>
      <c r="AH1030" s="51" t="s">
        <v>74</v>
      </c>
      <c r="AI1030" s="51" t="s">
        <v>74</v>
      </c>
      <c r="AJ1030" s="51" t="s">
        <v>74</v>
      </c>
      <c r="AK1030" s="51" t="s">
        <v>74</v>
      </c>
      <c r="AL1030" s="51" t="s">
        <v>74</v>
      </c>
      <c r="AM1030" s="51" t="s">
        <v>74</v>
      </c>
      <c r="AN1030" s="52"/>
      <c r="AO1030" s="52"/>
      <c r="AP1030" s="52"/>
      <c r="AQ1030" s="52"/>
      <c r="AR1030" s="52"/>
      <c r="AS1030" s="52">
        <f t="shared" si="185"/>
        <v>0</v>
      </c>
      <c r="AT1030" s="53" t="s">
        <v>74</v>
      </c>
      <c r="AU1030" s="52"/>
      <c r="AV1030" s="52"/>
      <c r="AW1030" s="52"/>
      <c r="AX1030" s="68">
        <v>36157.279999999999</v>
      </c>
      <c r="AY1030" s="52"/>
      <c r="AZ1030" s="52">
        <v>0</v>
      </c>
      <c r="BA1030" s="52">
        <f t="shared" si="186"/>
        <v>36157.279999999999</v>
      </c>
      <c r="BB1030" s="54" t="s">
        <v>74</v>
      </c>
      <c r="BC1030" s="53" t="s">
        <v>74</v>
      </c>
      <c r="BD1030" s="55" t="s">
        <v>74</v>
      </c>
      <c r="BE1030" s="55" t="s">
        <v>1120</v>
      </c>
      <c r="BF1030" s="55" t="s">
        <v>74</v>
      </c>
      <c r="BG1030" s="55" t="s">
        <v>74</v>
      </c>
      <c r="BH1030" s="52">
        <f t="shared" si="187"/>
        <v>36157.279999999999</v>
      </c>
      <c r="BI1030" s="52">
        <f t="shared" si="188"/>
        <v>12263688.01</v>
      </c>
      <c r="BJ1030" s="52">
        <f>Y1030-AG1030+AX1030</f>
        <v>12263688.01</v>
      </c>
      <c r="BK1030" s="56">
        <v>44378</v>
      </c>
      <c r="BL1030" s="63">
        <f>637625.13+11589905.6+36157.28</f>
        <v>12263688.01</v>
      </c>
      <c r="BM1030" s="47">
        <v>0</v>
      </c>
      <c r="BN1030" s="9"/>
      <c r="BO1030" s="9"/>
      <c r="BP1030" s="9"/>
      <c r="BQ1030" s="9"/>
      <c r="BR1030" s="9"/>
      <c r="BS1030" s="9"/>
      <c r="BT1030" s="9"/>
      <c r="BU1030" s="9"/>
      <c r="BV1030" s="9"/>
      <c r="BW1030" s="9"/>
    </row>
    <row r="1031" spans="1:75" hidden="1" outlineLevel="2" x14ac:dyDescent="0.25">
      <c r="A1031" s="43" t="s">
        <v>71</v>
      </c>
      <c r="B1031" s="110" t="s">
        <v>1110</v>
      </c>
      <c r="C1031" s="45">
        <v>2021</v>
      </c>
      <c r="D1031" s="110" t="s">
        <v>86</v>
      </c>
      <c r="E1031" s="47">
        <v>12417756</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f t="shared" si="183"/>
        <v>12417756</v>
      </c>
      <c r="Z1031" s="49">
        <v>0</v>
      </c>
      <c r="AA1031" s="50">
        <v>0</v>
      </c>
      <c r="AB1031" s="50">
        <v>0</v>
      </c>
      <c r="AC1031" s="50">
        <v>0</v>
      </c>
      <c r="AD1031" s="50">
        <v>0</v>
      </c>
      <c r="AE1031" s="50">
        <v>0</v>
      </c>
      <c r="AF1031" s="50">
        <v>0</v>
      </c>
      <c r="AG1031" s="49">
        <f t="shared" si="184"/>
        <v>0</v>
      </c>
      <c r="AH1031" s="70" t="s">
        <v>74</v>
      </c>
      <c r="AI1031" s="70" t="s">
        <v>74</v>
      </c>
      <c r="AJ1031" s="70" t="s">
        <v>74</v>
      </c>
      <c r="AK1031" s="70" t="s">
        <v>74</v>
      </c>
      <c r="AL1031" s="70" t="s">
        <v>74</v>
      </c>
      <c r="AM1031" s="70" t="s">
        <v>74</v>
      </c>
      <c r="AN1031" s="52"/>
      <c r="AO1031" s="52"/>
      <c r="AP1031" s="52"/>
      <c r="AQ1031" s="52"/>
      <c r="AR1031" s="52"/>
      <c r="AS1031" s="52"/>
      <c r="AT1031" s="70" t="s">
        <v>74</v>
      </c>
      <c r="AU1031" s="52"/>
      <c r="AV1031" s="52"/>
      <c r="AW1031" s="52"/>
      <c r="AX1031" s="52"/>
      <c r="AY1031" s="52"/>
      <c r="AZ1031" s="52"/>
      <c r="BA1031" s="52">
        <f t="shared" si="186"/>
        <v>0</v>
      </c>
      <c r="BB1031" s="52" t="s">
        <v>74</v>
      </c>
      <c r="BC1031" s="52" t="s">
        <v>74</v>
      </c>
      <c r="BD1031" s="52" t="s">
        <v>74</v>
      </c>
      <c r="BE1031" s="52" t="s">
        <v>74</v>
      </c>
      <c r="BF1031" s="52" t="s">
        <v>74</v>
      </c>
      <c r="BG1031" s="52"/>
      <c r="BH1031" s="52">
        <f t="shared" si="187"/>
        <v>0</v>
      </c>
      <c r="BI1031" s="52">
        <f t="shared" si="188"/>
        <v>12417756</v>
      </c>
      <c r="BJ1031" s="52">
        <f>Y1031-AG1031+AX1031</f>
        <v>12417756</v>
      </c>
      <c r="BK1031" s="56"/>
      <c r="BL1031" s="63">
        <v>12417756</v>
      </c>
      <c r="BM1031" s="47">
        <v>0</v>
      </c>
      <c r="BN1031" s="9"/>
      <c r="BO1031" s="9"/>
      <c r="BP1031" s="9"/>
      <c r="BQ1031" s="9"/>
      <c r="BR1031" s="9"/>
      <c r="BS1031" s="9"/>
      <c r="BT1031" s="9"/>
      <c r="BU1031" s="9"/>
      <c r="BV1031" s="9"/>
      <c r="BW1031" s="9"/>
    </row>
    <row r="1032" spans="1:75" hidden="1" outlineLevel="2" x14ac:dyDescent="0.25">
      <c r="A1032" s="43" t="s">
        <v>71</v>
      </c>
      <c r="B1032" s="110" t="s">
        <v>1110</v>
      </c>
      <c r="C1032" s="45">
        <v>2021</v>
      </c>
      <c r="D1032" s="110" t="s">
        <v>88</v>
      </c>
      <c r="E1032" s="47">
        <v>12417756</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f t="shared" si="183"/>
        <v>12417756</v>
      </c>
      <c r="Z1032" s="49">
        <v>0</v>
      </c>
      <c r="AA1032" s="50">
        <v>0</v>
      </c>
      <c r="AB1032" s="50">
        <v>0</v>
      </c>
      <c r="AC1032" s="50">
        <v>0</v>
      </c>
      <c r="AD1032" s="50">
        <v>0</v>
      </c>
      <c r="AE1032" s="50">
        <v>0</v>
      </c>
      <c r="AF1032" s="50">
        <v>0</v>
      </c>
      <c r="AG1032" s="49">
        <f t="shared" si="184"/>
        <v>0</v>
      </c>
      <c r="AH1032" s="70" t="s">
        <v>74</v>
      </c>
      <c r="AI1032" s="70" t="s">
        <v>74</v>
      </c>
      <c r="AJ1032" s="70" t="s">
        <v>74</v>
      </c>
      <c r="AK1032" s="70" t="s">
        <v>74</v>
      </c>
      <c r="AL1032" s="70" t="s">
        <v>74</v>
      </c>
      <c r="AM1032" s="70" t="s">
        <v>74</v>
      </c>
      <c r="AN1032" s="52"/>
      <c r="AO1032" s="52"/>
      <c r="AP1032" s="52"/>
      <c r="AQ1032" s="52"/>
      <c r="AR1032" s="52"/>
      <c r="AS1032" s="52"/>
      <c r="AT1032" s="70" t="s">
        <v>74</v>
      </c>
      <c r="AU1032" s="52"/>
      <c r="AV1032" s="52"/>
      <c r="AW1032" s="52"/>
      <c r="AX1032" s="52"/>
      <c r="AY1032" s="52"/>
      <c r="AZ1032" s="52"/>
      <c r="BA1032" s="52">
        <f t="shared" si="186"/>
        <v>0</v>
      </c>
      <c r="BB1032" s="52" t="s">
        <v>74</v>
      </c>
      <c r="BC1032" s="52" t="s">
        <v>74</v>
      </c>
      <c r="BD1032" s="52" t="s">
        <v>74</v>
      </c>
      <c r="BE1032" s="52" t="s">
        <v>74</v>
      </c>
      <c r="BF1032" s="52" t="s">
        <v>74</v>
      </c>
      <c r="BG1032" s="52"/>
      <c r="BH1032" s="52">
        <f t="shared" si="187"/>
        <v>0</v>
      </c>
      <c r="BI1032" s="52">
        <f t="shared" si="188"/>
        <v>12417756</v>
      </c>
      <c r="BJ1032" s="52">
        <f>Y1032-AG1032+AX1032</f>
        <v>12417756</v>
      </c>
      <c r="BK1032" s="56">
        <v>44440</v>
      </c>
      <c r="BL1032" s="63">
        <v>12417756</v>
      </c>
      <c r="BM1032" s="47">
        <v>0</v>
      </c>
      <c r="BN1032" s="9"/>
      <c r="BO1032" s="9"/>
      <c r="BP1032" s="9"/>
      <c r="BQ1032" s="9"/>
      <c r="BR1032" s="9"/>
      <c r="BS1032" s="9"/>
      <c r="BT1032" s="9"/>
      <c r="BU1032" s="9"/>
      <c r="BV1032" s="9"/>
      <c r="BW1032" s="9"/>
    </row>
    <row r="1033" spans="1:75" hidden="1" outlineLevel="2" x14ac:dyDescent="0.25">
      <c r="A1033" s="71" t="s">
        <v>71</v>
      </c>
      <c r="B1033" s="116" t="s">
        <v>1110</v>
      </c>
      <c r="C1033" s="73">
        <v>2021</v>
      </c>
      <c r="D1033" s="116" t="s">
        <v>89</v>
      </c>
      <c r="E1033" s="75">
        <v>12417756</v>
      </c>
      <c r="F1033" s="75">
        <v>0</v>
      </c>
      <c r="G1033" s="75">
        <v>0</v>
      </c>
      <c r="H1033" s="75">
        <v>0</v>
      </c>
      <c r="I1033" s="75">
        <v>0</v>
      </c>
      <c r="J1033" s="75">
        <v>0</v>
      </c>
      <c r="K1033" s="75">
        <v>0</v>
      </c>
      <c r="L1033" s="75">
        <v>0</v>
      </c>
      <c r="M1033" s="75">
        <v>0</v>
      </c>
      <c r="N1033" s="75">
        <v>0</v>
      </c>
      <c r="O1033" s="75">
        <v>0</v>
      </c>
      <c r="P1033" s="75">
        <v>0</v>
      </c>
      <c r="Q1033" s="75">
        <v>0</v>
      </c>
      <c r="R1033" s="75">
        <v>0</v>
      </c>
      <c r="S1033" s="75">
        <v>0</v>
      </c>
      <c r="T1033" s="75">
        <v>0</v>
      </c>
      <c r="U1033" s="75">
        <v>0</v>
      </c>
      <c r="V1033" s="75">
        <v>0</v>
      </c>
      <c r="W1033" s="75">
        <v>0</v>
      </c>
      <c r="X1033" s="75">
        <v>0</v>
      </c>
      <c r="Y1033" s="76">
        <f t="shared" si="183"/>
        <v>12417756</v>
      </c>
      <c r="Z1033" s="80">
        <v>0</v>
      </c>
      <c r="AA1033" s="79">
        <v>0</v>
      </c>
      <c r="AB1033" s="79">
        <v>0</v>
      </c>
      <c r="AC1033" s="79">
        <v>0</v>
      </c>
      <c r="AD1033" s="79">
        <v>0</v>
      </c>
      <c r="AE1033" s="79">
        <v>0</v>
      </c>
      <c r="AF1033" s="79">
        <v>0</v>
      </c>
      <c r="AG1033" s="80">
        <f t="shared" si="184"/>
        <v>0</v>
      </c>
      <c r="AH1033" s="81" t="s">
        <v>74</v>
      </c>
      <c r="AI1033" s="81" t="s">
        <v>74</v>
      </c>
      <c r="AJ1033" s="81" t="s">
        <v>74</v>
      </c>
      <c r="AK1033" s="81" t="s">
        <v>74</v>
      </c>
      <c r="AL1033" s="81" t="s">
        <v>74</v>
      </c>
      <c r="AM1033" s="81" t="s">
        <v>74</v>
      </c>
      <c r="AN1033" s="82"/>
      <c r="AO1033" s="82"/>
      <c r="AP1033" s="82"/>
      <c r="AQ1033" s="82"/>
      <c r="AR1033" s="82"/>
      <c r="AS1033" s="82"/>
      <c r="AT1033" s="81" t="s">
        <v>74</v>
      </c>
      <c r="AU1033" s="82"/>
      <c r="AV1033" s="82"/>
      <c r="AW1033" s="82"/>
      <c r="AX1033" s="82"/>
      <c r="AY1033" s="82"/>
      <c r="AZ1033" s="82"/>
      <c r="BA1033" s="82">
        <f t="shared" si="186"/>
        <v>0</v>
      </c>
      <c r="BB1033" s="82" t="s">
        <v>74</v>
      </c>
      <c r="BC1033" s="82" t="s">
        <v>74</v>
      </c>
      <c r="BD1033" s="82" t="s">
        <v>74</v>
      </c>
      <c r="BE1033" s="82" t="s">
        <v>74</v>
      </c>
      <c r="BF1033" s="82" t="s">
        <v>74</v>
      </c>
      <c r="BG1033" s="82"/>
      <c r="BH1033" s="82">
        <f t="shared" si="187"/>
        <v>0</v>
      </c>
      <c r="BI1033" s="82">
        <f t="shared" si="188"/>
        <v>12417756</v>
      </c>
      <c r="BJ1033" s="52">
        <f>Y1033-AG1033+AX1033</f>
        <v>12417756</v>
      </c>
      <c r="BK1033" s="56">
        <v>44470</v>
      </c>
      <c r="BL1033" s="83"/>
      <c r="BM1033" s="75">
        <f>BI1033-BL1033</f>
        <v>12417756</v>
      </c>
      <c r="BN1033" s="9"/>
      <c r="BO1033" s="9"/>
      <c r="BP1033" s="9"/>
      <c r="BQ1033" s="9"/>
      <c r="BR1033" s="9"/>
      <c r="BS1033" s="9"/>
      <c r="BT1033" s="9"/>
      <c r="BU1033" s="9"/>
      <c r="BV1033" s="9"/>
      <c r="BW1033" s="9"/>
    </row>
    <row r="1034" spans="1:75" hidden="1" outlineLevel="1" collapsed="1" x14ac:dyDescent="0.25">
      <c r="A1034" s="84"/>
      <c r="B1034" s="120" t="s">
        <v>1121</v>
      </c>
      <c r="C1034" s="86"/>
      <c r="D1034" s="120"/>
      <c r="E1034" s="88"/>
      <c r="F1034" s="88"/>
      <c r="G1034" s="88"/>
      <c r="H1034" s="88"/>
      <c r="I1034" s="88"/>
      <c r="J1034" s="88"/>
      <c r="K1034" s="88"/>
      <c r="L1034" s="88"/>
      <c r="M1034" s="88"/>
      <c r="N1034" s="88"/>
      <c r="O1034" s="88"/>
      <c r="P1034" s="88"/>
      <c r="Q1034" s="88"/>
      <c r="R1034" s="88"/>
      <c r="S1034" s="88"/>
      <c r="T1034" s="88"/>
      <c r="U1034" s="88"/>
      <c r="V1034" s="88"/>
      <c r="W1034" s="88"/>
      <c r="X1034" s="88"/>
      <c r="Y1034" s="89">
        <f t="shared" ref="Y1034:AG1034" si="189">SUBTOTAL(9,Y1014:Y1033)</f>
        <v>0</v>
      </c>
      <c r="Z1034" s="89">
        <f t="shared" si="189"/>
        <v>0</v>
      </c>
      <c r="AA1034" s="89">
        <f t="shared" si="189"/>
        <v>0</v>
      </c>
      <c r="AB1034" s="89">
        <f t="shared" si="189"/>
        <v>0</v>
      </c>
      <c r="AC1034" s="89">
        <f t="shared" si="189"/>
        <v>0</v>
      </c>
      <c r="AD1034" s="89">
        <f t="shared" si="189"/>
        <v>0</v>
      </c>
      <c r="AE1034" s="89">
        <f t="shared" si="189"/>
        <v>0</v>
      </c>
      <c r="AF1034" s="89">
        <f t="shared" si="189"/>
        <v>0</v>
      </c>
      <c r="AG1034" s="89">
        <f t="shared" si="189"/>
        <v>0</v>
      </c>
      <c r="AH1034" s="91"/>
      <c r="AI1034" s="91"/>
      <c r="AJ1034" s="91"/>
      <c r="AK1034" s="91"/>
      <c r="AL1034" s="91"/>
      <c r="AM1034" s="91"/>
      <c r="AN1034" s="92">
        <f t="shared" ref="AN1034:AS1034" si="190">SUBTOTAL(9,AN1014:AN1033)</f>
        <v>0</v>
      </c>
      <c r="AO1034" s="92">
        <f t="shared" si="190"/>
        <v>0</v>
      </c>
      <c r="AP1034" s="92">
        <f t="shared" si="190"/>
        <v>0</v>
      </c>
      <c r="AQ1034" s="92">
        <f t="shared" si="190"/>
        <v>0</v>
      </c>
      <c r="AR1034" s="92">
        <f t="shared" si="190"/>
        <v>0</v>
      </c>
      <c r="AS1034" s="92">
        <f t="shared" si="190"/>
        <v>0</v>
      </c>
      <c r="AT1034" s="91"/>
      <c r="AU1034" s="92">
        <f t="shared" ref="AU1034:BA1034" si="191">SUBTOTAL(9,AU1014:AU1033)</f>
        <v>0</v>
      </c>
      <c r="AV1034" s="92">
        <f t="shared" si="191"/>
        <v>0</v>
      </c>
      <c r="AW1034" s="92">
        <f t="shared" si="191"/>
        <v>0</v>
      </c>
      <c r="AX1034" s="92">
        <f t="shared" si="191"/>
        <v>0</v>
      </c>
      <c r="AY1034" s="92">
        <f t="shared" si="191"/>
        <v>0</v>
      </c>
      <c r="AZ1034" s="92">
        <f t="shared" si="191"/>
        <v>0</v>
      </c>
      <c r="BA1034" s="92">
        <f t="shared" si="191"/>
        <v>0</v>
      </c>
      <c r="BB1034" s="92"/>
      <c r="BC1034" s="92"/>
      <c r="BD1034" s="92"/>
      <c r="BE1034" s="92"/>
      <c r="BF1034" s="92"/>
      <c r="BG1034" s="92"/>
      <c r="BH1034" s="92">
        <f>SUBTOTAL(9,BH1014:BH1033)</f>
        <v>0</v>
      </c>
      <c r="BI1034" s="92">
        <f>SUBTOTAL(9,BI1014:BI1033)</f>
        <v>0</v>
      </c>
      <c r="BJ1034" s="93"/>
      <c r="BK1034" s="94"/>
      <c r="BL1034" s="95">
        <f>SUBTOTAL(9,BL1014:BL1033)</f>
        <v>0</v>
      </c>
      <c r="BM1034" s="88">
        <f>SUBTOTAL(9,BM1014:BM1033)</f>
        <v>0</v>
      </c>
      <c r="BN1034" s="9"/>
      <c r="BO1034" s="9"/>
      <c r="BP1034" s="9"/>
      <c r="BQ1034" s="9"/>
      <c r="BR1034" s="9"/>
      <c r="BS1034" s="9"/>
      <c r="BT1034" s="9"/>
      <c r="BU1034" s="9"/>
      <c r="BV1034" s="9"/>
      <c r="BW1034" s="9"/>
    </row>
    <row r="1035" spans="1:75" hidden="1" outlineLevel="2" x14ac:dyDescent="0.25">
      <c r="A1035" s="96" t="s">
        <v>1122</v>
      </c>
      <c r="B1035" s="97" t="s">
        <v>1123</v>
      </c>
      <c r="C1035" s="98">
        <v>2020</v>
      </c>
      <c r="D1035" s="99" t="s">
        <v>81</v>
      </c>
      <c r="E1035" s="210">
        <v>3947596.45</v>
      </c>
      <c r="F1035" s="100">
        <v>0</v>
      </c>
      <c r="G1035" s="100">
        <v>0</v>
      </c>
      <c r="H1035" s="100">
        <v>0</v>
      </c>
      <c r="I1035" s="100">
        <v>0</v>
      </c>
      <c r="J1035" s="100">
        <v>0</v>
      </c>
      <c r="K1035" s="100">
        <v>0</v>
      </c>
      <c r="L1035" s="100">
        <v>0</v>
      </c>
      <c r="M1035" s="100">
        <v>0</v>
      </c>
      <c r="N1035" s="100">
        <v>0</v>
      </c>
      <c r="O1035" s="100">
        <v>0</v>
      </c>
      <c r="P1035" s="100">
        <v>0</v>
      </c>
      <c r="Q1035" s="100">
        <v>0</v>
      </c>
      <c r="R1035" s="100">
        <v>0</v>
      </c>
      <c r="S1035" s="100">
        <v>0</v>
      </c>
      <c r="T1035" s="100">
        <v>0</v>
      </c>
      <c r="U1035" s="100">
        <v>0</v>
      </c>
      <c r="V1035" s="100">
        <v>0</v>
      </c>
      <c r="W1035" s="100">
        <v>0</v>
      </c>
      <c r="X1035" s="100">
        <v>0</v>
      </c>
      <c r="Y1035" s="101">
        <v>3947596.45</v>
      </c>
      <c r="Z1035" s="102">
        <v>0</v>
      </c>
      <c r="AA1035" s="103">
        <v>0</v>
      </c>
      <c r="AB1035" s="103">
        <v>0</v>
      </c>
      <c r="AC1035" s="103">
        <v>0</v>
      </c>
      <c r="AD1035" s="103">
        <v>0</v>
      </c>
      <c r="AE1035" s="103">
        <v>0</v>
      </c>
      <c r="AF1035" s="103">
        <v>0</v>
      </c>
      <c r="AG1035" s="102">
        <v>0</v>
      </c>
      <c r="AH1035" s="106" t="s">
        <v>74</v>
      </c>
      <c r="AI1035" s="104" t="s">
        <v>74</v>
      </c>
      <c r="AJ1035" s="104" t="s">
        <v>74</v>
      </c>
      <c r="AK1035" s="104" t="s">
        <v>74</v>
      </c>
      <c r="AL1035" s="104" t="s">
        <v>74</v>
      </c>
      <c r="AM1035" s="104" t="s">
        <v>74</v>
      </c>
      <c r="AN1035" s="105">
        <v>0</v>
      </c>
      <c r="AO1035" s="105">
        <v>0</v>
      </c>
      <c r="AP1035" s="105">
        <v>0</v>
      </c>
      <c r="AQ1035" s="105">
        <v>0</v>
      </c>
      <c r="AR1035" s="105">
        <v>0</v>
      </c>
      <c r="AS1035" s="105">
        <v>0</v>
      </c>
      <c r="AT1035" s="144" t="s">
        <v>74</v>
      </c>
      <c r="AU1035" s="105">
        <v>0</v>
      </c>
      <c r="AV1035" s="105"/>
      <c r="AW1035" s="105">
        <v>0</v>
      </c>
      <c r="AX1035" s="105"/>
      <c r="AY1035" s="105"/>
      <c r="AZ1035" s="105">
        <v>0</v>
      </c>
      <c r="BA1035" s="105">
        <v>0</v>
      </c>
      <c r="BB1035" s="105" t="s">
        <v>74</v>
      </c>
      <c r="BC1035" s="105" t="s">
        <v>74</v>
      </c>
      <c r="BD1035" s="105" t="s">
        <v>74</v>
      </c>
      <c r="BE1035" s="105" t="s">
        <v>74</v>
      </c>
      <c r="BF1035" s="105" t="s">
        <v>74</v>
      </c>
      <c r="BG1035" s="105"/>
      <c r="BH1035" s="105">
        <v>0</v>
      </c>
      <c r="BI1035" s="105">
        <v>3947596.45</v>
      </c>
      <c r="BJ1035" s="52">
        <v>3947596.45</v>
      </c>
      <c r="BK1035" s="56">
        <v>43952</v>
      </c>
      <c r="BL1035" s="109">
        <v>3947596.45</v>
      </c>
      <c r="BM1035" s="100">
        <v>0</v>
      </c>
      <c r="BN1035" s="9"/>
      <c r="BO1035" s="9"/>
      <c r="BP1035" s="9"/>
      <c r="BQ1035" s="9"/>
      <c r="BR1035" s="9"/>
      <c r="BS1035" s="9"/>
      <c r="BT1035" s="9"/>
      <c r="BU1035" s="9"/>
      <c r="BV1035" s="9"/>
      <c r="BW1035" s="9"/>
    </row>
    <row r="1036" spans="1:75" hidden="1" outlineLevel="2" x14ac:dyDescent="0.25">
      <c r="A1036" s="43" t="s">
        <v>1122</v>
      </c>
      <c r="B1036" s="110" t="s">
        <v>1123</v>
      </c>
      <c r="C1036" s="45">
        <v>2020</v>
      </c>
      <c r="D1036" s="110" t="s">
        <v>83</v>
      </c>
      <c r="E1036" s="134">
        <v>8459135.25</v>
      </c>
      <c r="F1036" s="47">
        <v>0</v>
      </c>
      <c r="G1036" s="47">
        <v>0</v>
      </c>
      <c r="H1036" s="47">
        <v>0</v>
      </c>
      <c r="I1036" s="47">
        <v>0</v>
      </c>
      <c r="J1036" s="47">
        <v>0</v>
      </c>
      <c r="K1036" s="47">
        <v>0</v>
      </c>
      <c r="L1036" s="47">
        <v>0</v>
      </c>
      <c r="M1036" s="47">
        <v>0</v>
      </c>
      <c r="N1036" s="47">
        <v>0</v>
      </c>
      <c r="O1036" s="47">
        <v>0</v>
      </c>
      <c r="P1036" s="47">
        <v>0</v>
      </c>
      <c r="Q1036" s="47">
        <v>0</v>
      </c>
      <c r="R1036" s="47">
        <v>0</v>
      </c>
      <c r="S1036" s="47">
        <v>0</v>
      </c>
      <c r="T1036" s="47">
        <v>0</v>
      </c>
      <c r="U1036" s="47">
        <v>0</v>
      </c>
      <c r="V1036" s="47">
        <v>0</v>
      </c>
      <c r="W1036" s="47">
        <v>0</v>
      </c>
      <c r="X1036" s="47">
        <v>0</v>
      </c>
      <c r="Y1036" s="48">
        <v>8459135.25</v>
      </c>
      <c r="Z1036" s="49">
        <v>0</v>
      </c>
      <c r="AA1036" s="50">
        <v>0</v>
      </c>
      <c r="AB1036" s="50">
        <v>0</v>
      </c>
      <c r="AC1036" s="50">
        <v>0</v>
      </c>
      <c r="AD1036" s="50">
        <v>0</v>
      </c>
      <c r="AE1036" s="50">
        <v>0</v>
      </c>
      <c r="AF1036" s="50">
        <v>0</v>
      </c>
      <c r="AG1036" s="49">
        <v>0</v>
      </c>
      <c r="AH1036" s="53" t="s">
        <v>74</v>
      </c>
      <c r="AI1036" s="51" t="s">
        <v>74</v>
      </c>
      <c r="AJ1036" s="51" t="s">
        <v>74</v>
      </c>
      <c r="AK1036" s="51" t="s">
        <v>74</v>
      </c>
      <c r="AL1036" s="51" t="s">
        <v>74</v>
      </c>
      <c r="AM1036" s="51" t="s">
        <v>74</v>
      </c>
      <c r="AN1036" s="52">
        <v>0</v>
      </c>
      <c r="AO1036" s="52">
        <v>0</v>
      </c>
      <c r="AP1036" s="52">
        <v>0</v>
      </c>
      <c r="AQ1036" s="52">
        <v>0</v>
      </c>
      <c r="AR1036" s="52">
        <v>0</v>
      </c>
      <c r="AS1036" s="52">
        <v>0</v>
      </c>
      <c r="AT1036" s="70" t="s">
        <v>74</v>
      </c>
      <c r="AU1036" s="52">
        <v>0</v>
      </c>
      <c r="AV1036" s="52"/>
      <c r="AW1036" s="52">
        <v>0</v>
      </c>
      <c r="AX1036" s="52"/>
      <c r="AY1036" s="52"/>
      <c r="AZ1036" s="52">
        <v>0</v>
      </c>
      <c r="BA1036" s="52">
        <v>0</v>
      </c>
      <c r="BB1036" s="52" t="s">
        <v>74</v>
      </c>
      <c r="BC1036" s="52" t="s">
        <v>74</v>
      </c>
      <c r="BD1036" s="52" t="s">
        <v>74</v>
      </c>
      <c r="BE1036" s="52" t="s">
        <v>74</v>
      </c>
      <c r="BF1036" s="52" t="s">
        <v>74</v>
      </c>
      <c r="BG1036" s="52"/>
      <c r="BH1036" s="52">
        <v>0</v>
      </c>
      <c r="BI1036" s="52">
        <v>8459135.25</v>
      </c>
      <c r="BJ1036" s="52">
        <v>8459135.25</v>
      </c>
      <c r="BK1036" s="56">
        <v>43983</v>
      </c>
      <c r="BL1036" s="57">
        <v>8459135.25</v>
      </c>
      <c r="BM1036" s="47">
        <v>0</v>
      </c>
      <c r="BN1036" s="9"/>
      <c r="BO1036" s="9"/>
      <c r="BP1036" s="9"/>
      <c r="BQ1036" s="9"/>
      <c r="BR1036" s="9"/>
      <c r="BS1036" s="9"/>
      <c r="BT1036" s="9"/>
      <c r="BU1036" s="9"/>
      <c r="BV1036" s="9"/>
      <c r="BW1036" s="9"/>
    </row>
    <row r="1037" spans="1:75" hidden="1" outlineLevel="2" x14ac:dyDescent="0.25">
      <c r="A1037" s="43" t="s">
        <v>1122</v>
      </c>
      <c r="B1037" s="110" t="s">
        <v>1123</v>
      </c>
      <c r="C1037" s="45">
        <v>2020</v>
      </c>
      <c r="D1037" s="110" t="s">
        <v>84</v>
      </c>
      <c r="E1037" s="134">
        <v>8459135.25</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8459135.25</v>
      </c>
      <c r="Z1037" s="49">
        <v>0</v>
      </c>
      <c r="AA1037" s="50">
        <v>0</v>
      </c>
      <c r="AB1037" s="50">
        <v>0</v>
      </c>
      <c r="AC1037" s="50">
        <v>0</v>
      </c>
      <c r="AD1037" s="50">
        <v>0</v>
      </c>
      <c r="AE1037" s="50">
        <v>0</v>
      </c>
      <c r="AF1037" s="50">
        <v>0</v>
      </c>
      <c r="AG1037" s="49">
        <v>0</v>
      </c>
      <c r="AH1037" s="51" t="s">
        <v>74</v>
      </c>
      <c r="AI1037" s="51" t="s">
        <v>74</v>
      </c>
      <c r="AJ1037" s="51" t="s">
        <v>74</v>
      </c>
      <c r="AK1037" s="51" t="s">
        <v>74</v>
      </c>
      <c r="AL1037" s="51" t="s">
        <v>74</v>
      </c>
      <c r="AM1037" s="51" t="s">
        <v>74</v>
      </c>
      <c r="AN1037" s="52">
        <v>0</v>
      </c>
      <c r="AO1037" s="52">
        <v>0</v>
      </c>
      <c r="AP1037" s="52">
        <v>0</v>
      </c>
      <c r="AQ1037" s="52">
        <v>0</v>
      </c>
      <c r="AR1037" s="52">
        <v>0</v>
      </c>
      <c r="AS1037" s="52">
        <v>0</v>
      </c>
      <c r="AT1037" s="70" t="s">
        <v>74</v>
      </c>
      <c r="AU1037" s="52">
        <v>0</v>
      </c>
      <c r="AV1037" s="52"/>
      <c r="AW1037" s="52">
        <v>0</v>
      </c>
      <c r="AX1037" s="52"/>
      <c r="AY1037" s="52"/>
      <c r="AZ1037" s="52">
        <v>0</v>
      </c>
      <c r="BA1037" s="52">
        <v>0</v>
      </c>
      <c r="BB1037" s="52" t="s">
        <v>74</v>
      </c>
      <c r="BC1037" s="52" t="s">
        <v>74</v>
      </c>
      <c r="BD1037" s="52" t="s">
        <v>74</v>
      </c>
      <c r="BE1037" s="52" t="s">
        <v>74</v>
      </c>
      <c r="BF1037" s="52" t="s">
        <v>74</v>
      </c>
      <c r="BG1037" s="52"/>
      <c r="BH1037" s="52">
        <v>0</v>
      </c>
      <c r="BI1037" s="52">
        <v>8459135.25</v>
      </c>
      <c r="BJ1037" s="52">
        <v>8459135.25</v>
      </c>
      <c r="BK1037" s="56">
        <v>44013</v>
      </c>
      <c r="BL1037" s="57">
        <v>8459135.25</v>
      </c>
      <c r="BM1037" s="47">
        <v>0</v>
      </c>
      <c r="BN1037" s="9"/>
      <c r="BO1037" s="9"/>
      <c r="BP1037" s="9"/>
      <c r="BQ1037" s="9"/>
      <c r="BR1037" s="9"/>
      <c r="BS1037" s="9"/>
      <c r="BT1037" s="9"/>
      <c r="BU1037" s="9"/>
      <c r="BV1037" s="9"/>
      <c r="BW1037" s="9"/>
    </row>
    <row r="1038" spans="1:75" hidden="1" outlineLevel="2" x14ac:dyDescent="0.25">
      <c r="A1038" s="43" t="s">
        <v>1122</v>
      </c>
      <c r="B1038" s="110" t="s">
        <v>1123</v>
      </c>
      <c r="C1038" s="45">
        <v>2020</v>
      </c>
      <c r="D1038" s="110" t="s">
        <v>86</v>
      </c>
      <c r="E1038" s="134">
        <v>8459135.25</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8459135.25</v>
      </c>
      <c r="Z1038" s="49">
        <v>0</v>
      </c>
      <c r="AA1038" s="50">
        <v>0</v>
      </c>
      <c r="AB1038" s="50">
        <v>0</v>
      </c>
      <c r="AC1038" s="50">
        <v>0</v>
      </c>
      <c r="AD1038" s="50">
        <v>0</v>
      </c>
      <c r="AE1038" s="50">
        <v>0</v>
      </c>
      <c r="AF1038" s="50">
        <v>0</v>
      </c>
      <c r="AG1038" s="49">
        <v>0</v>
      </c>
      <c r="AH1038" s="51" t="s">
        <v>74</v>
      </c>
      <c r="AI1038" s="51" t="s">
        <v>74</v>
      </c>
      <c r="AJ1038" s="51" t="s">
        <v>74</v>
      </c>
      <c r="AK1038" s="51" t="s">
        <v>74</v>
      </c>
      <c r="AL1038" s="51" t="s">
        <v>74</v>
      </c>
      <c r="AM1038" s="51" t="s">
        <v>74</v>
      </c>
      <c r="AN1038" s="52">
        <v>0</v>
      </c>
      <c r="AO1038" s="52">
        <v>0</v>
      </c>
      <c r="AP1038" s="52">
        <v>0</v>
      </c>
      <c r="AQ1038" s="52">
        <v>0</v>
      </c>
      <c r="AR1038" s="52">
        <v>0</v>
      </c>
      <c r="AS1038" s="52">
        <v>0</v>
      </c>
      <c r="AT1038" s="70" t="s">
        <v>74</v>
      </c>
      <c r="AU1038" s="52">
        <v>0</v>
      </c>
      <c r="AV1038" s="52"/>
      <c r="AW1038" s="52">
        <v>0</v>
      </c>
      <c r="AX1038" s="52"/>
      <c r="AY1038" s="52"/>
      <c r="AZ1038" s="52">
        <v>0</v>
      </c>
      <c r="BA1038" s="52">
        <v>0</v>
      </c>
      <c r="BB1038" s="52" t="s">
        <v>74</v>
      </c>
      <c r="BC1038" s="52" t="s">
        <v>74</v>
      </c>
      <c r="BD1038" s="52" t="s">
        <v>74</v>
      </c>
      <c r="BE1038" s="52" t="s">
        <v>74</v>
      </c>
      <c r="BF1038" s="52" t="s">
        <v>74</v>
      </c>
      <c r="BG1038" s="52"/>
      <c r="BH1038" s="52">
        <v>0</v>
      </c>
      <c r="BI1038" s="52">
        <v>8459135.25</v>
      </c>
      <c r="BJ1038" s="52">
        <v>8459135.25</v>
      </c>
      <c r="BK1038" s="56">
        <v>44044</v>
      </c>
      <c r="BL1038" s="63">
        <v>8459135.25</v>
      </c>
      <c r="BM1038" s="47">
        <v>0</v>
      </c>
      <c r="BN1038" s="9"/>
      <c r="BO1038" s="9"/>
      <c r="BP1038" s="9"/>
      <c r="BQ1038" s="9"/>
      <c r="BR1038" s="9"/>
      <c r="BS1038" s="9"/>
      <c r="BT1038" s="9"/>
      <c r="BU1038" s="9"/>
      <c r="BV1038" s="9"/>
      <c r="BW1038" s="9"/>
    </row>
    <row r="1039" spans="1:75" hidden="1" outlineLevel="2" x14ac:dyDescent="0.25">
      <c r="A1039" s="43" t="s">
        <v>1122</v>
      </c>
      <c r="B1039" s="110" t="s">
        <v>1123</v>
      </c>
      <c r="C1039" s="45">
        <v>2020</v>
      </c>
      <c r="D1039" s="110" t="s">
        <v>88</v>
      </c>
      <c r="E1039" s="134">
        <v>8459135.25</v>
      </c>
      <c r="F1039" s="47">
        <v>0</v>
      </c>
      <c r="G1039" s="47">
        <v>0</v>
      </c>
      <c r="H1039" s="47">
        <v>0</v>
      </c>
      <c r="I1039" s="47">
        <v>0</v>
      </c>
      <c r="J1039" s="47">
        <v>0</v>
      </c>
      <c r="K1039" s="47">
        <v>0</v>
      </c>
      <c r="L1039" s="47">
        <v>0</v>
      </c>
      <c r="M1039" s="47">
        <v>0</v>
      </c>
      <c r="N1039" s="47">
        <v>0</v>
      </c>
      <c r="O1039" s="47">
        <v>0</v>
      </c>
      <c r="P1039" s="47">
        <v>0</v>
      </c>
      <c r="Q1039" s="47">
        <v>0</v>
      </c>
      <c r="R1039" s="47">
        <v>0</v>
      </c>
      <c r="S1039" s="47">
        <v>0</v>
      </c>
      <c r="T1039" s="47">
        <v>0</v>
      </c>
      <c r="U1039" s="47">
        <v>0</v>
      </c>
      <c r="V1039" s="47">
        <v>0</v>
      </c>
      <c r="W1039" s="47">
        <v>0</v>
      </c>
      <c r="X1039" s="47">
        <v>0</v>
      </c>
      <c r="Y1039" s="48">
        <v>8459135.25</v>
      </c>
      <c r="Z1039" s="49">
        <v>0</v>
      </c>
      <c r="AA1039" s="50">
        <v>0</v>
      </c>
      <c r="AB1039" s="50">
        <v>0</v>
      </c>
      <c r="AC1039" s="50">
        <v>0</v>
      </c>
      <c r="AD1039" s="50">
        <v>0</v>
      </c>
      <c r="AE1039" s="50">
        <v>0</v>
      </c>
      <c r="AF1039" s="50">
        <v>0</v>
      </c>
      <c r="AG1039" s="49">
        <v>0</v>
      </c>
      <c r="AH1039" s="51" t="s">
        <v>74</v>
      </c>
      <c r="AI1039" s="51" t="s">
        <v>74</v>
      </c>
      <c r="AJ1039" s="51" t="s">
        <v>74</v>
      </c>
      <c r="AK1039" s="51" t="s">
        <v>74</v>
      </c>
      <c r="AL1039" s="51" t="s">
        <v>74</v>
      </c>
      <c r="AM1039" s="51" t="s">
        <v>74</v>
      </c>
      <c r="AN1039" s="52">
        <v>0</v>
      </c>
      <c r="AO1039" s="52">
        <v>0</v>
      </c>
      <c r="AP1039" s="52">
        <v>0</v>
      </c>
      <c r="AQ1039" s="52">
        <v>0</v>
      </c>
      <c r="AR1039" s="52">
        <v>0</v>
      </c>
      <c r="AS1039" s="52">
        <v>0</v>
      </c>
      <c r="AT1039" s="70" t="s">
        <v>74</v>
      </c>
      <c r="AU1039" s="52">
        <v>0</v>
      </c>
      <c r="AV1039" s="52"/>
      <c r="AW1039" s="52">
        <v>0</v>
      </c>
      <c r="AX1039" s="52"/>
      <c r="AY1039" s="52"/>
      <c r="AZ1039" s="52">
        <v>0</v>
      </c>
      <c r="BA1039" s="52">
        <v>0</v>
      </c>
      <c r="BB1039" s="52" t="s">
        <v>74</v>
      </c>
      <c r="BC1039" s="52" t="s">
        <v>74</v>
      </c>
      <c r="BD1039" s="52" t="s">
        <v>74</v>
      </c>
      <c r="BE1039" s="52" t="s">
        <v>74</v>
      </c>
      <c r="BF1039" s="52" t="s">
        <v>74</v>
      </c>
      <c r="BG1039" s="52"/>
      <c r="BH1039" s="52">
        <v>0</v>
      </c>
      <c r="BI1039" s="52">
        <v>8459135.25</v>
      </c>
      <c r="BJ1039" s="52">
        <v>8459135.25</v>
      </c>
      <c r="BK1039" s="56">
        <v>44075</v>
      </c>
      <c r="BL1039" s="63">
        <v>8459135.25</v>
      </c>
      <c r="BM1039" s="47">
        <v>0</v>
      </c>
      <c r="BN1039" s="9"/>
      <c r="BO1039" s="9"/>
      <c r="BP1039" s="9"/>
      <c r="BQ1039" s="9"/>
      <c r="BR1039" s="9"/>
      <c r="BS1039" s="9"/>
      <c r="BT1039" s="9"/>
      <c r="BU1039" s="9"/>
      <c r="BV1039" s="9"/>
      <c r="BW1039" s="9"/>
    </row>
    <row r="1040" spans="1:75" ht="128.25" hidden="1" outlineLevel="2" x14ac:dyDescent="0.25">
      <c r="A1040" s="43" t="s">
        <v>1122</v>
      </c>
      <c r="B1040" s="110" t="s">
        <v>1123</v>
      </c>
      <c r="C1040" s="45">
        <v>2020</v>
      </c>
      <c r="D1040" s="110" t="s">
        <v>89</v>
      </c>
      <c r="E1040" s="134">
        <v>8459135.25</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8459135.25</v>
      </c>
      <c r="Z1040" s="49">
        <v>0</v>
      </c>
      <c r="AA1040" s="50">
        <v>0</v>
      </c>
      <c r="AB1040" s="50">
        <v>0</v>
      </c>
      <c r="AC1040" s="50">
        <v>0</v>
      </c>
      <c r="AD1040" s="50">
        <v>0</v>
      </c>
      <c r="AE1040" s="50">
        <v>0</v>
      </c>
      <c r="AF1040" s="50">
        <v>0</v>
      </c>
      <c r="AG1040" s="49">
        <v>0</v>
      </c>
      <c r="AH1040" s="51" t="s">
        <v>74</v>
      </c>
      <c r="AI1040" s="51" t="s">
        <v>74</v>
      </c>
      <c r="AJ1040" s="51" t="s">
        <v>74</v>
      </c>
      <c r="AK1040" s="51" t="s">
        <v>74</v>
      </c>
      <c r="AL1040" s="51" t="s">
        <v>74</v>
      </c>
      <c r="AM1040" s="51" t="s">
        <v>74</v>
      </c>
      <c r="AN1040" s="52"/>
      <c r="AO1040" s="52"/>
      <c r="AP1040" s="52"/>
      <c r="AQ1040" s="52"/>
      <c r="AR1040" s="52"/>
      <c r="AS1040" s="52">
        <v>0</v>
      </c>
      <c r="AT1040" s="70" t="s">
        <v>74</v>
      </c>
      <c r="AU1040" s="52">
        <v>0</v>
      </c>
      <c r="AV1040" s="52"/>
      <c r="AW1040" s="59">
        <v>915000</v>
      </c>
      <c r="AX1040" s="52"/>
      <c r="AY1040" s="52"/>
      <c r="AZ1040" s="52">
        <v>0</v>
      </c>
      <c r="BA1040" s="52">
        <v>915000</v>
      </c>
      <c r="BB1040" s="52" t="s">
        <v>74</v>
      </c>
      <c r="BC1040" s="52" t="s">
        <v>74</v>
      </c>
      <c r="BD1040" s="53" t="s">
        <v>1124</v>
      </c>
      <c r="BE1040" s="52" t="s">
        <v>74</v>
      </c>
      <c r="BF1040" s="52" t="s">
        <v>74</v>
      </c>
      <c r="BG1040" s="52"/>
      <c r="BH1040" s="52">
        <v>915000</v>
      </c>
      <c r="BI1040" s="52">
        <v>9374135.25</v>
      </c>
      <c r="BJ1040" s="52">
        <v>8459135.25</v>
      </c>
      <c r="BK1040" s="56">
        <v>44105</v>
      </c>
      <c r="BL1040" s="63">
        <v>9374135.25</v>
      </c>
      <c r="BM1040" s="47">
        <v>0</v>
      </c>
      <c r="BN1040" s="9"/>
      <c r="BO1040" s="9"/>
      <c r="BP1040" s="9"/>
      <c r="BQ1040" s="9"/>
      <c r="BR1040" s="9"/>
      <c r="BS1040" s="9"/>
      <c r="BT1040" s="9"/>
      <c r="BU1040" s="9"/>
      <c r="BV1040" s="9"/>
      <c r="BW1040" s="9"/>
    </row>
    <row r="1041" spans="1:75" ht="51.75" hidden="1" outlineLevel="2" x14ac:dyDescent="0.25">
      <c r="A1041" s="43" t="s">
        <v>1122</v>
      </c>
      <c r="B1041" s="110" t="s">
        <v>1123</v>
      </c>
      <c r="C1041" s="45">
        <v>2020</v>
      </c>
      <c r="D1041" s="110" t="s">
        <v>90</v>
      </c>
      <c r="E1041" s="134">
        <v>4511538.8</v>
      </c>
      <c r="F1041" s="47">
        <v>2118112.11</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6629650.9100000001</v>
      </c>
      <c r="Z1041" s="58">
        <v>0</v>
      </c>
      <c r="AA1041" s="50">
        <v>0</v>
      </c>
      <c r="AB1041" s="50">
        <v>0</v>
      </c>
      <c r="AC1041" s="50">
        <v>0</v>
      </c>
      <c r="AD1041" s="62">
        <v>24046.59</v>
      </c>
      <c r="AE1041" s="50">
        <v>0</v>
      </c>
      <c r="AF1041" s="50">
        <v>0</v>
      </c>
      <c r="AG1041" s="49">
        <v>24046.59</v>
      </c>
      <c r="AH1041" s="51" t="s">
        <v>74</v>
      </c>
      <c r="AI1041" s="51" t="s">
        <v>74</v>
      </c>
      <c r="AJ1041" s="51" t="s">
        <v>74</v>
      </c>
      <c r="AK1041" s="51" t="s">
        <v>1125</v>
      </c>
      <c r="AL1041" s="51" t="s">
        <v>74</v>
      </c>
      <c r="AM1041" s="51" t="s">
        <v>74</v>
      </c>
      <c r="AN1041" s="52">
        <v>0</v>
      </c>
      <c r="AO1041" s="52">
        <v>0</v>
      </c>
      <c r="AP1041" s="52">
        <v>0</v>
      </c>
      <c r="AQ1041" s="52">
        <v>0</v>
      </c>
      <c r="AR1041" s="52">
        <v>0</v>
      </c>
      <c r="AS1041" s="52">
        <v>0</v>
      </c>
      <c r="AT1041" s="70" t="s">
        <v>74</v>
      </c>
      <c r="AU1041" s="52">
        <v>0</v>
      </c>
      <c r="AV1041" s="52"/>
      <c r="AW1041" s="52">
        <v>0</v>
      </c>
      <c r="AX1041" s="52"/>
      <c r="AY1041" s="52"/>
      <c r="AZ1041" s="52">
        <v>0</v>
      </c>
      <c r="BA1041" s="52">
        <v>0</v>
      </c>
      <c r="BB1041" s="52" t="s">
        <v>74</v>
      </c>
      <c r="BC1041" s="52" t="s">
        <v>74</v>
      </c>
      <c r="BD1041" s="52" t="s">
        <v>74</v>
      </c>
      <c r="BE1041" s="52" t="s">
        <v>74</v>
      </c>
      <c r="BF1041" s="52" t="s">
        <v>74</v>
      </c>
      <c r="BG1041" s="52"/>
      <c r="BH1041" s="52">
        <v>0</v>
      </c>
      <c r="BI1041" s="52">
        <v>6605604.3200000003</v>
      </c>
      <c r="BJ1041" s="52">
        <v>6605604.3200000003</v>
      </c>
      <c r="BK1041" s="56">
        <v>44136</v>
      </c>
      <c r="BL1041" s="57">
        <v>6575604.3200000003</v>
      </c>
      <c r="BM1041" s="47">
        <v>30000</v>
      </c>
      <c r="BN1041" s="9"/>
      <c r="BO1041" s="9"/>
      <c r="BP1041" s="9"/>
      <c r="BQ1041" s="9"/>
      <c r="BR1041" s="9"/>
      <c r="BS1041" s="9"/>
      <c r="BT1041" s="9"/>
      <c r="BU1041" s="9"/>
      <c r="BV1041" s="9"/>
      <c r="BW1041" s="9"/>
    </row>
    <row r="1042" spans="1:75" ht="179.25" hidden="1" outlineLevel="2" x14ac:dyDescent="0.25">
      <c r="A1042" s="43" t="s">
        <v>1122</v>
      </c>
      <c r="B1042" s="110" t="s">
        <v>1123</v>
      </c>
      <c r="C1042" s="45">
        <v>2020</v>
      </c>
      <c r="D1042" s="110" t="s">
        <v>93</v>
      </c>
      <c r="E1042" s="47">
        <v>0</v>
      </c>
      <c r="F1042" s="47">
        <v>3862439.81</v>
      </c>
      <c r="G1042" s="47">
        <v>0</v>
      </c>
      <c r="H1042" s="47">
        <v>0</v>
      </c>
      <c r="I1042" s="47">
        <v>0</v>
      </c>
      <c r="J1042" s="47">
        <v>0</v>
      </c>
      <c r="K1042" s="47">
        <v>0</v>
      </c>
      <c r="L1042" s="47">
        <v>0</v>
      </c>
      <c r="M1042" s="47">
        <v>0</v>
      </c>
      <c r="N1042" s="47">
        <v>0</v>
      </c>
      <c r="O1042" s="47">
        <v>0</v>
      </c>
      <c r="P1042" s="47">
        <v>0</v>
      </c>
      <c r="Q1042" s="47">
        <v>0</v>
      </c>
      <c r="R1042" s="47">
        <v>0</v>
      </c>
      <c r="S1042" s="47">
        <v>0</v>
      </c>
      <c r="T1042" s="47">
        <v>0</v>
      </c>
      <c r="U1042" s="47">
        <v>0</v>
      </c>
      <c r="V1042" s="47">
        <v>0</v>
      </c>
      <c r="W1042" s="47">
        <v>0</v>
      </c>
      <c r="X1042" s="47">
        <v>0</v>
      </c>
      <c r="Y1042" s="48">
        <v>3862439.81</v>
      </c>
      <c r="Z1042" s="115">
        <v>0</v>
      </c>
      <c r="AA1042" s="50">
        <v>0</v>
      </c>
      <c r="AB1042" s="50">
        <v>0</v>
      </c>
      <c r="AC1042" s="50">
        <v>0</v>
      </c>
      <c r="AD1042" s="62">
        <v>175084.73</v>
      </c>
      <c r="AE1042" s="50">
        <v>0</v>
      </c>
      <c r="AF1042" s="50">
        <v>0</v>
      </c>
      <c r="AG1042" s="49">
        <v>175084.73</v>
      </c>
      <c r="AH1042" s="51" t="s">
        <v>74</v>
      </c>
      <c r="AI1042" s="51" t="s">
        <v>74</v>
      </c>
      <c r="AJ1042" s="51" t="s">
        <v>74</v>
      </c>
      <c r="AK1042" s="51" t="s">
        <v>1126</v>
      </c>
      <c r="AL1042" s="51" t="s">
        <v>74</v>
      </c>
      <c r="AM1042" s="51" t="s">
        <v>74</v>
      </c>
      <c r="AN1042" s="52">
        <v>0</v>
      </c>
      <c r="AO1042" s="52">
        <v>0</v>
      </c>
      <c r="AP1042" s="52">
        <v>0</v>
      </c>
      <c r="AQ1042" s="52">
        <v>0</v>
      </c>
      <c r="AR1042" s="52">
        <v>0</v>
      </c>
      <c r="AS1042" s="52">
        <v>0</v>
      </c>
      <c r="AT1042" s="70" t="s">
        <v>74</v>
      </c>
      <c r="AU1042" s="52">
        <v>0</v>
      </c>
      <c r="AV1042" s="52"/>
      <c r="AW1042" s="52">
        <v>0</v>
      </c>
      <c r="AX1042" s="52"/>
      <c r="AY1042" s="52"/>
      <c r="AZ1042" s="52">
        <v>0</v>
      </c>
      <c r="BA1042" s="52">
        <v>0</v>
      </c>
      <c r="BB1042" s="52" t="s">
        <v>74</v>
      </c>
      <c r="BC1042" s="52" t="s">
        <v>74</v>
      </c>
      <c r="BD1042" s="52" t="s">
        <v>74</v>
      </c>
      <c r="BE1042" s="52" t="s">
        <v>74</v>
      </c>
      <c r="BF1042" s="52" t="s">
        <v>74</v>
      </c>
      <c r="BG1042" s="52"/>
      <c r="BH1042" s="52">
        <v>0</v>
      </c>
      <c r="BI1042" s="52">
        <v>3687355.08</v>
      </c>
      <c r="BJ1042" s="52">
        <v>3687355.08</v>
      </c>
      <c r="BK1042" s="56">
        <v>44166</v>
      </c>
      <c r="BL1042" s="57">
        <v>3687355.08</v>
      </c>
      <c r="BM1042" s="47">
        <v>0</v>
      </c>
      <c r="BN1042" s="9"/>
      <c r="BO1042" s="9"/>
      <c r="BP1042" s="9"/>
      <c r="BQ1042" s="9"/>
      <c r="BR1042" s="9"/>
      <c r="BS1042" s="9"/>
      <c r="BT1042" s="9"/>
      <c r="BU1042" s="9"/>
      <c r="BV1042" s="9"/>
      <c r="BW1042" s="9"/>
    </row>
    <row r="1043" spans="1:75" ht="153.75" hidden="1" outlineLevel="2" x14ac:dyDescent="0.25">
      <c r="A1043" s="43" t="s">
        <v>1122</v>
      </c>
      <c r="B1043" s="110" t="s">
        <v>1123</v>
      </c>
      <c r="C1043" s="45">
        <v>2021</v>
      </c>
      <c r="D1043" s="110" t="s">
        <v>73</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f t="shared" ref="Y1043:Y1052" si="192">SUM(E1043:X1043)</f>
        <v>0</v>
      </c>
      <c r="Z1043" s="58"/>
      <c r="AA1043" s="50">
        <v>0</v>
      </c>
      <c r="AB1043" s="50">
        <v>0</v>
      </c>
      <c r="AC1043" s="50">
        <v>0</v>
      </c>
      <c r="AD1043" s="50">
        <v>0</v>
      </c>
      <c r="AE1043" s="50">
        <v>0</v>
      </c>
      <c r="AF1043" s="50">
        <v>0</v>
      </c>
      <c r="AG1043" s="49">
        <f t="shared" ref="AG1043:AG1052" si="193">SUM(AA1043:AF1043)</f>
        <v>0</v>
      </c>
      <c r="AH1043" s="51" t="s">
        <v>74</v>
      </c>
      <c r="AI1043" s="51" t="s">
        <v>74</v>
      </c>
      <c r="AJ1043" s="51" t="s">
        <v>74</v>
      </c>
      <c r="AK1043" s="51" t="s">
        <v>74</v>
      </c>
      <c r="AL1043" s="51" t="s">
        <v>74</v>
      </c>
      <c r="AM1043" s="51" t="s">
        <v>74</v>
      </c>
      <c r="AN1043" s="52"/>
      <c r="AO1043" s="52"/>
      <c r="AP1043" s="52"/>
      <c r="AQ1043" s="52"/>
      <c r="AR1043" s="52"/>
      <c r="AS1043" s="52">
        <f t="shared" ref="AS1043:AS1049" si="194">AN1043+AO1043+AP1043+AQ1043+AR1043</f>
        <v>0</v>
      </c>
      <c r="AT1043" s="70" t="s">
        <v>74</v>
      </c>
      <c r="AU1043" s="52"/>
      <c r="AV1043" s="52"/>
      <c r="AW1043" s="52"/>
      <c r="AX1043" s="59">
        <v>3659980.21</v>
      </c>
      <c r="AY1043" s="52"/>
      <c r="AZ1043" s="52"/>
      <c r="BA1043" s="52">
        <f t="shared" ref="BA1043:BA1052" si="195">AU1043+AW1043+AX1043+AZ1043</f>
        <v>3659980.21</v>
      </c>
      <c r="BB1043" s="52" t="s">
        <v>74</v>
      </c>
      <c r="BC1043" s="52" t="s">
        <v>74</v>
      </c>
      <c r="BD1043" s="52" t="s">
        <v>74</v>
      </c>
      <c r="BE1043" s="193" t="s">
        <v>1127</v>
      </c>
      <c r="BF1043" s="52" t="s">
        <v>74</v>
      </c>
      <c r="BG1043" s="52"/>
      <c r="BH1043" s="52">
        <f t="shared" ref="BH1043:BH1052" si="196">AS1043+BA1043</f>
        <v>3659980.21</v>
      </c>
      <c r="BI1043" s="52">
        <f t="shared" ref="BI1043:BI1052" si="197">Y1043-AG1043+BH1043</f>
        <v>3659980.21</v>
      </c>
      <c r="BJ1043" s="52">
        <v>3659980.21</v>
      </c>
      <c r="BK1043" s="56">
        <v>44197</v>
      </c>
      <c r="BL1043" s="57">
        <v>3659980.21</v>
      </c>
      <c r="BM1043" s="47">
        <v>0</v>
      </c>
      <c r="BN1043" s="9"/>
      <c r="BO1043" s="9"/>
      <c r="BP1043" s="9"/>
      <c r="BQ1043" s="9"/>
      <c r="BR1043" s="9"/>
      <c r="BS1043" s="9"/>
      <c r="BT1043" s="9"/>
      <c r="BU1043" s="9"/>
      <c r="BV1043" s="9"/>
      <c r="BW1043" s="9"/>
    </row>
    <row r="1044" spans="1:75" ht="153.75" hidden="1" outlineLevel="2" x14ac:dyDescent="0.25">
      <c r="A1044" s="43" t="s">
        <v>1122</v>
      </c>
      <c r="B1044" s="110" t="s">
        <v>1123</v>
      </c>
      <c r="C1044" s="45">
        <v>2021</v>
      </c>
      <c r="D1044" s="110" t="s">
        <v>75</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f t="shared" si="192"/>
        <v>0</v>
      </c>
      <c r="Z1044" s="58"/>
      <c r="AA1044" s="50">
        <v>0</v>
      </c>
      <c r="AB1044" s="50">
        <v>0</v>
      </c>
      <c r="AC1044" s="50">
        <v>0</v>
      </c>
      <c r="AD1044" s="50">
        <v>0</v>
      </c>
      <c r="AE1044" s="50">
        <v>0</v>
      </c>
      <c r="AF1044" s="50">
        <v>0</v>
      </c>
      <c r="AG1044" s="49">
        <f t="shared" si="193"/>
        <v>0</v>
      </c>
      <c r="AH1044" s="51" t="s">
        <v>74</v>
      </c>
      <c r="AI1044" s="51" t="s">
        <v>74</v>
      </c>
      <c r="AJ1044" s="51" t="s">
        <v>74</v>
      </c>
      <c r="AK1044" s="51" t="s">
        <v>74</v>
      </c>
      <c r="AL1044" s="51" t="s">
        <v>74</v>
      </c>
      <c r="AM1044" s="51" t="s">
        <v>74</v>
      </c>
      <c r="AN1044" s="52"/>
      <c r="AO1044" s="52"/>
      <c r="AP1044" s="52"/>
      <c r="AQ1044" s="52"/>
      <c r="AR1044" s="52"/>
      <c r="AS1044" s="52">
        <f t="shared" si="194"/>
        <v>0</v>
      </c>
      <c r="AT1044" s="70" t="s">
        <v>74</v>
      </c>
      <c r="AU1044" s="52"/>
      <c r="AV1044" s="52"/>
      <c r="AW1044" s="52"/>
      <c r="AX1044" s="59">
        <v>3716269.33</v>
      </c>
      <c r="AY1044" s="52"/>
      <c r="AZ1044" s="52"/>
      <c r="BA1044" s="52">
        <f t="shared" si="195"/>
        <v>3716269.33</v>
      </c>
      <c r="BB1044" s="52" t="s">
        <v>74</v>
      </c>
      <c r="BC1044" s="52" t="s">
        <v>74</v>
      </c>
      <c r="BD1044" s="52" t="s">
        <v>74</v>
      </c>
      <c r="BE1044" s="193" t="s">
        <v>1128</v>
      </c>
      <c r="BF1044" s="52" t="s">
        <v>74</v>
      </c>
      <c r="BG1044" s="52"/>
      <c r="BH1044" s="52">
        <f t="shared" si="196"/>
        <v>3716269.33</v>
      </c>
      <c r="BI1044" s="52">
        <f t="shared" si="197"/>
        <v>3716269.33</v>
      </c>
      <c r="BJ1044" s="52">
        <v>3716269.33</v>
      </c>
      <c r="BK1044" s="56">
        <v>44228</v>
      </c>
      <c r="BL1044" s="57">
        <v>3716269.33</v>
      </c>
      <c r="BM1044" s="47">
        <v>0</v>
      </c>
      <c r="BN1044" s="9"/>
      <c r="BO1044" s="9"/>
      <c r="BP1044" s="9"/>
      <c r="BQ1044" s="9"/>
      <c r="BR1044" s="9"/>
      <c r="BS1044" s="9"/>
      <c r="BT1044" s="9"/>
      <c r="BU1044" s="9"/>
      <c r="BV1044" s="9"/>
      <c r="BW1044" s="9"/>
    </row>
    <row r="1045" spans="1:75" ht="243" hidden="1" outlineLevel="2" x14ac:dyDescent="0.25">
      <c r="A1045" s="43" t="s">
        <v>1122</v>
      </c>
      <c r="B1045" s="110" t="s">
        <v>1123</v>
      </c>
      <c r="C1045" s="45">
        <v>2021</v>
      </c>
      <c r="D1045" s="110" t="s">
        <v>77</v>
      </c>
      <c r="E1045" s="47">
        <v>0</v>
      </c>
      <c r="F1045" s="47">
        <v>0</v>
      </c>
      <c r="G1045" s="47">
        <v>0</v>
      </c>
      <c r="H1045" s="47">
        <v>0</v>
      </c>
      <c r="I1045" s="47">
        <v>0</v>
      </c>
      <c r="J1045" s="47">
        <v>0</v>
      </c>
      <c r="K1045" s="47">
        <v>0</v>
      </c>
      <c r="L1045" s="47">
        <v>0</v>
      </c>
      <c r="M1045" s="47">
        <v>0</v>
      </c>
      <c r="N1045" s="47">
        <v>0</v>
      </c>
      <c r="O1045" s="47">
        <v>0</v>
      </c>
      <c r="P1045" s="47">
        <v>0</v>
      </c>
      <c r="Q1045" s="47">
        <v>0</v>
      </c>
      <c r="R1045" s="47">
        <v>0</v>
      </c>
      <c r="S1045" s="47">
        <v>0</v>
      </c>
      <c r="T1045" s="47">
        <v>0</v>
      </c>
      <c r="U1045" s="47">
        <v>0</v>
      </c>
      <c r="V1045" s="47">
        <v>0</v>
      </c>
      <c r="W1045" s="47">
        <v>0</v>
      </c>
      <c r="X1045" s="47">
        <v>0</v>
      </c>
      <c r="Y1045" s="48">
        <f t="shared" si="192"/>
        <v>0</v>
      </c>
      <c r="Z1045" s="58"/>
      <c r="AA1045" s="50">
        <v>0</v>
      </c>
      <c r="AB1045" s="50">
        <v>0</v>
      </c>
      <c r="AC1045" s="50">
        <v>0</v>
      </c>
      <c r="AD1045" s="50">
        <v>0</v>
      </c>
      <c r="AE1045" s="50">
        <v>0</v>
      </c>
      <c r="AF1045" s="50">
        <v>0</v>
      </c>
      <c r="AG1045" s="49">
        <f t="shared" si="193"/>
        <v>0</v>
      </c>
      <c r="AH1045" s="51" t="s">
        <v>74</v>
      </c>
      <c r="AI1045" s="51" t="s">
        <v>74</v>
      </c>
      <c r="AJ1045" s="51" t="s">
        <v>74</v>
      </c>
      <c r="AK1045" s="51" t="s">
        <v>74</v>
      </c>
      <c r="AL1045" s="51" t="s">
        <v>74</v>
      </c>
      <c r="AM1045" s="51" t="s">
        <v>74</v>
      </c>
      <c r="AN1045" s="52"/>
      <c r="AO1045" s="52"/>
      <c r="AP1045" s="52"/>
      <c r="AQ1045" s="52"/>
      <c r="AR1045" s="52"/>
      <c r="AS1045" s="52">
        <f t="shared" si="194"/>
        <v>0</v>
      </c>
      <c r="AT1045" s="70" t="s">
        <v>74</v>
      </c>
      <c r="AU1045" s="52"/>
      <c r="AV1045" s="52"/>
      <c r="AW1045" s="52"/>
      <c r="AX1045" s="68">
        <f>827906.05+3659980.21</f>
        <v>4487886.26</v>
      </c>
      <c r="AY1045" s="52"/>
      <c r="AZ1045" s="52"/>
      <c r="BA1045" s="52">
        <f t="shared" si="195"/>
        <v>4487886.26</v>
      </c>
      <c r="BB1045" s="52" t="s">
        <v>74</v>
      </c>
      <c r="BC1045" s="52" t="s">
        <v>74</v>
      </c>
      <c r="BD1045" s="52" t="s">
        <v>74</v>
      </c>
      <c r="BE1045" s="193" t="s">
        <v>1129</v>
      </c>
      <c r="BF1045" s="52" t="s">
        <v>74</v>
      </c>
      <c r="BG1045" s="52"/>
      <c r="BH1045" s="52">
        <f t="shared" si="196"/>
        <v>4487886.26</v>
      </c>
      <c r="BI1045" s="52">
        <f t="shared" si="197"/>
        <v>4487886.26</v>
      </c>
      <c r="BJ1045" s="52">
        <v>827906.05</v>
      </c>
      <c r="BK1045" s="56">
        <v>44256</v>
      </c>
      <c r="BL1045" s="57">
        <f>827906.05+3659980.21</f>
        <v>4487886.26</v>
      </c>
      <c r="BM1045" s="47">
        <v>0</v>
      </c>
      <c r="BN1045" s="9"/>
      <c r="BO1045" s="9"/>
      <c r="BP1045" s="9"/>
      <c r="BQ1045" s="9"/>
      <c r="BR1045" s="9"/>
      <c r="BS1045" s="9"/>
      <c r="BT1045" s="9"/>
      <c r="BU1045" s="9"/>
      <c r="BV1045" s="9"/>
      <c r="BW1045" s="9"/>
    </row>
    <row r="1046" spans="1:75" ht="243" hidden="1" outlineLevel="2" x14ac:dyDescent="0.25">
      <c r="A1046" s="43" t="s">
        <v>1122</v>
      </c>
      <c r="B1046" s="110" t="s">
        <v>1123</v>
      </c>
      <c r="C1046" s="45">
        <v>2021</v>
      </c>
      <c r="D1046" s="110" t="s">
        <v>79</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f t="shared" si="192"/>
        <v>0</v>
      </c>
      <c r="Z1046" s="58"/>
      <c r="AA1046" s="50">
        <v>0</v>
      </c>
      <c r="AB1046" s="50">
        <v>0</v>
      </c>
      <c r="AC1046" s="50">
        <v>0</v>
      </c>
      <c r="AD1046" s="50">
        <v>0</v>
      </c>
      <c r="AE1046" s="50">
        <v>0</v>
      </c>
      <c r="AF1046" s="50">
        <v>0</v>
      </c>
      <c r="AG1046" s="49">
        <f t="shared" si="193"/>
        <v>0</v>
      </c>
      <c r="AH1046" s="51" t="s">
        <v>74</v>
      </c>
      <c r="AI1046" s="51" t="s">
        <v>74</v>
      </c>
      <c r="AJ1046" s="51" t="s">
        <v>74</v>
      </c>
      <c r="AK1046" s="51" t="s">
        <v>74</v>
      </c>
      <c r="AL1046" s="51" t="s">
        <v>74</v>
      </c>
      <c r="AM1046" s="51" t="s">
        <v>74</v>
      </c>
      <c r="AN1046" s="52"/>
      <c r="AO1046" s="52"/>
      <c r="AP1046" s="52"/>
      <c r="AQ1046" s="52"/>
      <c r="AR1046" s="52"/>
      <c r="AS1046" s="52">
        <f t="shared" si="194"/>
        <v>0</v>
      </c>
      <c r="AT1046" s="70" t="s">
        <v>74</v>
      </c>
      <c r="AU1046" s="52"/>
      <c r="AV1046" s="52"/>
      <c r="AW1046" s="52"/>
      <c r="AX1046" s="68">
        <f>1777037.7+3659980.21</f>
        <v>5437017.9100000001</v>
      </c>
      <c r="AY1046" s="52"/>
      <c r="AZ1046" s="52"/>
      <c r="BA1046" s="52">
        <f t="shared" si="195"/>
        <v>5437017.9100000001</v>
      </c>
      <c r="BB1046" s="52" t="s">
        <v>74</v>
      </c>
      <c r="BC1046" s="52" t="s">
        <v>74</v>
      </c>
      <c r="BD1046" s="52" t="s">
        <v>74</v>
      </c>
      <c r="BE1046" s="193" t="s">
        <v>1130</v>
      </c>
      <c r="BF1046" s="52" t="s">
        <v>74</v>
      </c>
      <c r="BG1046" s="52"/>
      <c r="BH1046" s="52">
        <f t="shared" si="196"/>
        <v>5437017.9100000001</v>
      </c>
      <c r="BI1046" s="52">
        <f t="shared" si="197"/>
        <v>5437017.9100000001</v>
      </c>
      <c r="BJ1046" s="52">
        <v>1777037.7</v>
      </c>
      <c r="BK1046" s="56">
        <v>44287</v>
      </c>
      <c r="BL1046" s="57">
        <f>1777037.7+3659980.21</f>
        <v>5437017.9100000001</v>
      </c>
      <c r="BM1046" s="47">
        <v>0</v>
      </c>
      <c r="BN1046" s="9"/>
      <c r="BO1046" s="9"/>
      <c r="BP1046" s="9"/>
      <c r="BQ1046" s="9"/>
      <c r="BR1046" s="9"/>
      <c r="BS1046" s="9"/>
      <c r="BT1046" s="9"/>
      <c r="BU1046" s="9"/>
      <c r="BV1046" s="9"/>
      <c r="BW1046" s="9"/>
    </row>
    <row r="1047" spans="1:75" ht="370.5" hidden="1" outlineLevel="2" x14ac:dyDescent="0.25">
      <c r="A1047" s="43" t="s">
        <v>1122</v>
      </c>
      <c r="B1047" s="110" t="s">
        <v>1123</v>
      </c>
      <c r="C1047" s="45">
        <v>2021</v>
      </c>
      <c r="D1047" s="110" t="s">
        <v>81</v>
      </c>
      <c r="E1047" s="47">
        <v>3293982.1889999998</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f t="shared" si="192"/>
        <v>3293982.1889999998</v>
      </c>
      <c r="Z1047" s="58"/>
      <c r="AA1047" s="50"/>
      <c r="AB1047" s="50"/>
      <c r="AC1047" s="50"/>
      <c r="AD1047" s="62">
        <v>268557.24</v>
      </c>
      <c r="AE1047" s="50"/>
      <c r="AF1047" s="50"/>
      <c r="AG1047" s="49">
        <f t="shared" si="193"/>
        <v>268557.24</v>
      </c>
      <c r="AH1047" s="51" t="s">
        <v>74</v>
      </c>
      <c r="AI1047" s="51" t="s">
        <v>74</v>
      </c>
      <c r="AJ1047" s="51" t="s">
        <v>74</v>
      </c>
      <c r="AK1047" s="51" t="s">
        <v>1131</v>
      </c>
      <c r="AL1047" s="51" t="s">
        <v>74</v>
      </c>
      <c r="AM1047" s="51" t="s">
        <v>74</v>
      </c>
      <c r="AN1047" s="52"/>
      <c r="AO1047" s="52"/>
      <c r="AP1047" s="52"/>
      <c r="AQ1047" s="52"/>
      <c r="AR1047" s="52"/>
      <c r="AS1047" s="52">
        <f t="shared" si="194"/>
        <v>0</v>
      </c>
      <c r="AT1047" s="70" t="s">
        <v>74</v>
      </c>
      <c r="AU1047" s="52"/>
      <c r="AV1047" s="52"/>
      <c r="AW1047" s="52"/>
      <c r="AX1047" s="59">
        <f>223623.17+365998.02+2042425.05</f>
        <v>2632046.2400000002</v>
      </c>
      <c r="AY1047" s="52"/>
      <c r="AZ1047" s="52"/>
      <c r="BA1047" s="52">
        <f t="shared" si="195"/>
        <v>2632046.2400000002</v>
      </c>
      <c r="BB1047" s="52" t="s">
        <v>74</v>
      </c>
      <c r="BC1047" s="52" t="s">
        <v>74</v>
      </c>
      <c r="BD1047" s="52" t="s">
        <v>74</v>
      </c>
      <c r="BE1047" s="193" t="s">
        <v>1132</v>
      </c>
      <c r="BF1047" s="52" t="s">
        <v>74</v>
      </c>
      <c r="BG1047" s="52"/>
      <c r="BH1047" s="52">
        <f t="shared" si="196"/>
        <v>2632046.2400000002</v>
      </c>
      <c r="BI1047" s="52">
        <f t="shared" si="197"/>
        <v>5657471.1890000002</v>
      </c>
      <c r="BJ1047" s="52">
        <v>3249048.1189999999</v>
      </c>
      <c r="BK1047" s="56">
        <v>44317</v>
      </c>
      <c r="BL1047" s="63">
        <f>3249048.12+365998.02+2042425.05</f>
        <v>5657471.1900000004</v>
      </c>
      <c r="BM1047" s="47">
        <v>0</v>
      </c>
      <c r="BN1047" s="9"/>
      <c r="BO1047" s="9"/>
      <c r="BP1047" s="9"/>
      <c r="BQ1047" s="9"/>
      <c r="BR1047" s="9"/>
      <c r="BS1047" s="9"/>
      <c r="BT1047" s="9"/>
      <c r="BU1047" s="9"/>
      <c r="BV1047" s="9"/>
      <c r="BW1047" s="9"/>
    </row>
    <row r="1048" spans="1:75" ht="128.25" hidden="1" outlineLevel="2" x14ac:dyDescent="0.25">
      <c r="A1048" s="43" t="s">
        <v>1122</v>
      </c>
      <c r="B1048" s="110" t="s">
        <v>1123</v>
      </c>
      <c r="C1048" s="45">
        <v>2021</v>
      </c>
      <c r="D1048" s="110" t="s">
        <v>83</v>
      </c>
      <c r="E1048" s="47">
        <v>3659980.21</v>
      </c>
      <c r="F1048" s="47">
        <v>0</v>
      </c>
      <c r="G1048" s="47">
        <v>0</v>
      </c>
      <c r="H1048" s="47">
        <v>0</v>
      </c>
      <c r="I1048" s="47">
        <v>0</v>
      </c>
      <c r="J1048" s="47">
        <v>0</v>
      </c>
      <c r="K1048" s="47">
        <v>0</v>
      </c>
      <c r="L1048" s="47">
        <v>0</v>
      </c>
      <c r="M1048" s="47">
        <v>0</v>
      </c>
      <c r="N1048" s="47">
        <v>0</v>
      </c>
      <c r="O1048" s="47">
        <v>0</v>
      </c>
      <c r="P1048" s="47">
        <v>0</v>
      </c>
      <c r="Q1048" s="47">
        <v>0</v>
      </c>
      <c r="R1048" s="47">
        <v>0</v>
      </c>
      <c r="S1048" s="47">
        <v>0</v>
      </c>
      <c r="T1048" s="47">
        <v>0</v>
      </c>
      <c r="U1048" s="47">
        <v>0</v>
      </c>
      <c r="V1048" s="47">
        <v>0</v>
      </c>
      <c r="W1048" s="47">
        <v>0</v>
      </c>
      <c r="X1048" s="47">
        <v>0</v>
      </c>
      <c r="Y1048" s="48">
        <f t="shared" si="192"/>
        <v>3659980.21</v>
      </c>
      <c r="Z1048" s="115"/>
      <c r="AA1048" s="50"/>
      <c r="AB1048" s="50"/>
      <c r="AC1048" s="50"/>
      <c r="AD1048" s="148">
        <v>66001.61</v>
      </c>
      <c r="AE1048" s="50"/>
      <c r="AF1048" s="50"/>
      <c r="AG1048" s="49">
        <f t="shared" si="193"/>
        <v>66001.61</v>
      </c>
      <c r="AH1048" s="51" t="s">
        <v>74</v>
      </c>
      <c r="AI1048" s="51" t="s">
        <v>74</v>
      </c>
      <c r="AJ1048" s="51" t="s">
        <v>74</v>
      </c>
      <c r="AK1048" s="51" t="s">
        <v>1133</v>
      </c>
      <c r="AL1048" s="51" t="s">
        <v>74</v>
      </c>
      <c r="AM1048" s="51" t="s">
        <v>74</v>
      </c>
      <c r="AN1048" s="52"/>
      <c r="AO1048" s="52"/>
      <c r="AP1048" s="52"/>
      <c r="AQ1048" s="52"/>
      <c r="AR1048" s="52"/>
      <c r="AS1048" s="52">
        <f t="shared" si="194"/>
        <v>0</v>
      </c>
      <c r="AT1048" s="70" t="s">
        <v>74</v>
      </c>
      <c r="AU1048" s="52"/>
      <c r="AV1048" s="52"/>
      <c r="AW1048" s="52"/>
      <c r="AX1048" s="68">
        <v>2460532.42</v>
      </c>
      <c r="AY1048" s="52"/>
      <c r="AZ1048" s="52"/>
      <c r="BA1048" s="52">
        <f t="shared" si="195"/>
        <v>2460532.42</v>
      </c>
      <c r="BB1048" s="52" t="s">
        <v>74</v>
      </c>
      <c r="BC1048" s="52" t="s">
        <v>74</v>
      </c>
      <c r="BD1048" s="52" t="s">
        <v>74</v>
      </c>
      <c r="BE1048" s="193" t="s">
        <v>1134</v>
      </c>
      <c r="BF1048" s="52" t="s">
        <v>74</v>
      </c>
      <c r="BG1048" s="52"/>
      <c r="BH1048" s="52">
        <f t="shared" si="196"/>
        <v>2460532.42</v>
      </c>
      <c r="BI1048" s="52">
        <f t="shared" si="197"/>
        <v>6054511.0199999996</v>
      </c>
      <c r="BJ1048" s="52">
        <f>Y1048-AG1048+AX1048</f>
        <v>6054511.0199999996</v>
      </c>
      <c r="BK1048" s="56">
        <v>44348</v>
      </c>
      <c r="BL1048" s="57">
        <f>3359980.21+233998.39+2460532.42</f>
        <v>6054511.0199999996</v>
      </c>
      <c r="BM1048" s="47">
        <v>0</v>
      </c>
      <c r="BN1048" s="9"/>
      <c r="BO1048" s="9"/>
      <c r="BP1048" s="9"/>
      <c r="BQ1048" s="9"/>
      <c r="BR1048" s="9"/>
      <c r="BS1048" s="9"/>
      <c r="BT1048" s="9"/>
      <c r="BU1048" s="9"/>
      <c r="BV1048" s="9"/>
      <c r="BW1048" s="9"/>
    </row>
    <row r="1049" spans="1:75" ht="115.5" hidden="1" outlineLevel="2" x14ac:dyDescent="0.25">
      <c r="A1049" s="43" t="s">
        <v>1122</v>
      </c>
      <c r="B1049" s="110" t="s">
        <v>1123</v>
      </c>
      <c r="C1049" s="45">
        <v>2021</v>
      </c>
      <c r="D1049" s="110" t="s">
        <v>84</v>
      </c>
      <c r="E1049" s="47">
        <f>243998.68+7296347.33</f>
        <v>7540346.0099999998</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f t="shared" si="192"/>
        <v>7540346.0099999998</v>
      </c>
      <c r="Z1049" s="58"/>
      <c r="AA1049" s="50"/>
      <c r="AB1049" s="50"/>
      <c r="AC1049" s="50"/>
      <c r="AD1049" s="148">
        <f>24550.37+19649.36+21569.31</f>
        <v>65769.039999999994</v>
      </c>
      <c r="AE1049" s="50"/>
      <c r="AF1049" s="50"/>
      <c r="AG1049" s="49">
        <f t="shared" si="193"/>
        <v>65769.039999999994</v>
      </c>
      <c r="AH1049" s="51" t="s">
        <v>74</v>
      </c>
      <c r="AI1049" s="51" t="s">
        <v>74</v>
      </c>
      <c r="AJ1049" s="51" t="s">
        <v>74</v>
      </c>
      <c r="AK1049" s="51" t="s">
        <v>1135</v>
      </c>
      <c r="AL1049" s="51" t="s">
        <v>74</v>
      </c>
      <c r="AM1049" s="51" t="s">
        <v>74</v>
      </c>
      <c r="AN1049" s="52"/>
      <c r="AO1049" s="52"/>
      <c r="AP1049" s="52"/>
      <c r="AQ1049" s="52"/>
      <c r="AR1049" s="52"/>
      <c r="AS1049" s="52">
        <f t="shared" si="194"/>
        <v>0</v>
      </c>
      <c r="AT1049" s="70" t="s">
        <v>74</v>
      </c>
      <c r="AU1049" s="52"/>
      <c r="AV1049" s="52"/>
      <c r="AW1049" s="52"/>
      <c r="AX1049" s="68">
        <v>163427.71</v>
      </c>
      <c r="AY1049" s="52"/>
      <c r="AZ1049" s="52"/>
      <c r="BA1049" s="52">
        <f t="shared" si="195"/>
        <v>163427.71</v>
      </c>
      <c r="BB1049" s="52" t="s">
        <v>74</v>
      </c>
      <c r="BC1049" s="52" t="s">
        <v>74</v>
      </c>
      <c r="BD1049" s="52" t="s">
        <v>74</v>
      </c>
      <c r="BE1049" s="193" t="s">
        <v>1136</v>
      </c>
      <c r="BF1049" s="52" t="s">
        <v>74</v>
      </c>
      <c r="BG1049" s="52"/>
      <c r="BH1049" s="52">
        <f t="shared" si="196"/>
        <v>163427.71</v>
      </c>
      <c r="BI1049" s="52">
        <f t="shared" si="197"/>
        <v>7638004.6799999997</v>
      </c>
      <c r="BJ1049" s="52">
        <f>Y1049-AG1049+AX1049</f>
        <v>7638004.6799999997</v>
      </c>
      <c r="BK1049" s="56">
        <v>44378</v>
      </c>
      <c r="BL1049" s="63">
        <f>7296347.33+163427.71+178229.64</f>
        <v>7638004.6799999997</v>
      </c>
      <c r="BM1049" s="47">
        <v>0</v>
      </c>
      <c r="BN1049" s="9"/>
      <c r="BO1049" s="9"/>
      <c r="BP1049" s="9"/>
      <c r="BQ1049" s="9"/>
      <c r="BR1049" s="9"/>
      <c r="BS1049" s="9"/>
      <c r="BT1049" s="9"/>
      <c r="BU1049" s="9"/>
      <c r="BV1049" s="9"/>
      <c r="BW1049" s="9"/>
    </row>
    <row r="1050" spans="1:75" ht="102.75" hidden="1" outlineLevel="2" x14ac:dyDescent="0.25">
      <c r="A1050" s="43" t="s">
        <v>1122</v>
      </c>
      <c r="B1050" s="110" t="s">
        <v>1123</v>
      </c>
      <c r="C1050" s="45">
        <v>2021</v>
      </c>
      <c r="D1050" s="110" t="s">
        <v>86</v>
      </c>
      <c r="E1050" s="47">
        <v>7817515</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f t="shared" si="192"/>
        <v>7817515</v>
      </c>
      <c r="Z1050" s="58"/>
      <c r="AA1050" s="50"/>
      <c r="AB1050" s="50"/>
      <c r="AC1050" s="50"/>
      <c r="AD1050" s="148">
        <f>23895.44+21368.59+19208.11</f>
        <v>64472.14</v>
      </c>
      <c r="AE1050" s="50"/>
      <c r="AF1050" s="50"/>
      <c r="AG1050" s="49">
        <f t="shared" si="193"/>
        <v>64472.14</v>
      </c>
      <c r="AH1050" s="70" t="s">
        <v>74</v>
      </c>
      <c r="AI1050" s="70" t="s">
        <v>74</v>
      </c>
      <c r="AJ1050" s="70" t="s">
        <v>74</v>
      </c>
      <c r="AK1050" s="193" t="s">
        <v>1137</v>
      </c>
      <c r="AL1050" s="70" t="s">
        <v>74</v>
      </c>
      <c r="AM1050" s="70" t="s">
        <v>74</v>
      </c>
      <c r="AN1050" s="52"/>
      <c r="AO1050" s="52"/>
      <c r="AP1050" s="52"/>
      <c r="AQ1050" s="52"/>
      <c r="AR1050" s="52"/>
      <c r="AS1050" s="52"/>
      <c r="AT1050" s="70" t="s">
        <v>74</v>
      </c>
      <c r="AU1050" s="52"/>
      <c r="AV1050" s="52"/>
      <c r="AW1050" s="52"/>
      <c r="AX1050" s="52"/>
      <c r="AY1050" s="52"/>
      <c r="AZ1050" s="52"/>
      <c r="BA1050" s="52">
        <f t="shared" si="195"/>
        <v>0</v>
      </c>
      <c r="BB1050" s="52" t="s">
        <v>74</v>
      </c>
      <c r="BC1050" s="52" t="s">
        <v>74</v>
      </c>
      <c r="BD1050" s="52" t="s">
        <v>74</v>
      </c>
      <c r="BE1050" s="52" t="s">
        <v>74</v>
      </c>
      <c r="BF1050" s="52" t="s">
        <v>74</v>
      </c>
      <c r="BG1050" s="52"/>
      <c r="BH1050" s="52">
        <f t="shared" si="196"/>
        <v>0</v>
      </c>
      <c r="BI1050" s="52">
        <f t="shared" si="197"/>
        <v>7753042.8600000003</v>
      </c>
      <c r="BJ1050" s="52">
        <f>Y1050-AG1050+AX1050</f>
        <v>7753042.8600000003</v>
      </c>
      <c r="BK1050" s="56">
        <v>44409</v>
      </c>
      <c r="BL1050" s="63">
        <f>7717515+35527.86</f>
        <v>7753042.8600000003</v>
      </c>
      <c r="BM1050" s="47">
        <v>0</v>
      </c>
      <c r="BN1050" s="9"/>
      <c r="BO1050" s="9"/>
      <c r="BP1050" s="9"/>
      <c r="BQ1050" s="9"/>
      <c r="BR1050" s="9"/>
      <c r="BS1050" s="9"/>
      <c r="BT1050" s="9"/>
      <c r="BU1050" s="9"/>
      <c r="BV1050" s="9"/>
      <c r="BW1050" s="9"/>
    </row>
    <row r="1051" spans="1:75" hidden="1" outlineLevel="2" x14ac:dyDescent="0.25">
      <c r="A1051" s="43" t="s">
        <v>1122</v>
      </c>
      <c r="B1051" s="110" t="s">
        <v>1123</v>
      </c>
      <c r="C1051" s="45">
        <v>2021</v>
      </c>
      <c r="D1051" s="110" t="s">
        <v>88</v>
      </c>
      <c r="E1051" s="47">
        <v>7817515</v>
      </c>
      <c r="F1051" s="47">
        <v>0</v>
      </c>
      <c r="G1051" s="47">
        <v>0</v>
      </c>
      <c r="H1051" s="47">
        <v>0</v>
      </c>
      <c r="I1051" s="47">
        <v>0</v>
      </c>
      <c r="J1051" s="47">
        <v>0</v>
      </c>
      <c r="K1051" s="47">
        <v>0</v>
      </c>
      <c r="L1051" s="47">
        <v>0</v>
      </c>
      <c r="M1051" s="47">
        <v>0</v>
      </c>
      <c r="N1051" s="47">
        <v>0</v>
      </c>
      <c r="O1051" s="47">
        <v>0</v>
      </c>
      <c r="P1051" s="47">
        <v>0</v>
      </c>
      <c r="Q1051" s="47">
        <v>0</v>
      </c>
      <c r="R1051" s="47">
        <v>0</v>
      </c>
      <c r="S1051" s="47">
        <v>0</v>
      </c>
      <c r="T1051" s="47">
        <v>0</v>
      </c>
      <c r="U1051" s="47">
        <v>0</v>
      </c>
      <c r="V1051" s="47">
        <v>0</v>
      </c>
      <c r="W1051" s="47">
        <v>0</v>
      </c>
      <c r="X1051" s="47">
        <v>0</v>
      </c>
      <c r="Y1051" s="48">
        <f t="shared" si="192"/>
        <v>7817515</v>
      </c>
      <c r="Z1051" s="133"/>
      <c r="AA1051" s="50"/>
      <c r="AB1051" s="50"/>
      <c r="AC1051" s="50"/>
      <c r="AD1051" s="50">
        <v>100000</v>
      </c>
      <c r="AE1051" s="50"/>
      <c r="AF1051" s="50"/>
      <c r="AG1051" s="49">
        <f t="shared" si="193"/>
        <v>100000</v>
      </c>
      <c r="AH1051" s="70" t="s">
        <v>74</v>
      </c>
      <c r="AI1051" s="70" t="s">
        <v>74</v>
      </c>
      <c r="AJ1051" s="70" t="s">
        <v>74</v>
      </c>
      <c r="AK1051" s="51" t="s">
        <v>595</v>
      </c>
      <c r="AL1051" s="70" t="s">
        <v>74</v>
      </c>
      <c r="AM1051" s="70" t="s">
        <v>74</v>
      </c>
      <c r="AN1051" s="52"/>
      <c r="AO1051" s="52"/>
      <c r="AP1051" s="52"/>
      <c r="AQ1051" s="52"/>
      <c r="AR1051" s="52"/>
      <c r="AS1051" s="52"/>
      <c r="AT1051" s="70" t="s">
        <v>74</v>
      </c>
      <c r="AU1051" s="52"/>
      <c r="AV1051" s="52"/>
      <c r="AW1051" s="52"/>
      <c r="AX1051" s="52"/>
      <c r="AY1051" s="52"/>
      <c r="AZ1051" s="52"/>
      <c r="BA1051" s="52">
        <f t="shared" si="195"/>
        <v>0</v>
      </c>
      <c r="BB1051" s="52" t="s">
        <v>74</v>
      </c>
      <c r="BC1051" s="52" t="s">
        <v>74</v>
      </c>
      <c r="BD1051" s="52" t="s">
        <v>74</v>
      </c>
      <c r="BE1051" s="52" t="s">
        <v>74</v>
      </c>
      <c r="BF1051" s="52" t="s">
        <v>74</v>
      </c>
      <c r="BG1051" s="52"/>
      <c r="BH1051" s="52">
        <f t="shared" si="196"/>
        <v>0</v>
      </c>
      <c r="BI1051" s="52">
        <f t="shared" si="197"/>
        <v>7717515</v>
      </c>
      <c r="BJ1051" s="52">
        <f>Y1051-AG1051+AX1051</f>
        <v>7717515</v>
      </c>
      <c r="BK1051" s="56">
        <v>44440</v>
      </c>
      <c r="BL1051" s="63">
        <v>7717515</v>
      </c>
      <c r="BM1051" s="47">
        <v>0</v>
      </c>
      <c r="BN1051" s="9"/>
      <c r="BO1051" s="9"/>
      <c r="BP1051" s="9"/>
      <c r="BQ1051" s="9"/>
      <c r="BR1051" s="9"/>
      <c r="BS1051" s="9"/>
      <c r="BT1051" s="9"/>
      <c r="BU1051" s="9"/>
      <c r="BV1051" s="9"/>
      <c r="BW1051" s="9"/>
    </row>
    <row r="1052" spans="1:75" hidden="1" outlineLevel="2" x14ac:dyDescent="0.25">
      <c r="A1052" s="71" t="s">
        <v>1122</v>
      </c>
      <c r="B1052" s="116" t="s">
        <v>1123</v>
      </c>
      <c r="C1052" s="73">
        <v>2021</v>
      </c>
      <c r="D1052" s="116" t="s">
        <v>89</v>
      </c>
      <c r="E1052" s="75">
        <v>7817515</v>
      </c>
      <c r="F1052" s="75">
        <v>0</v>
      </c>
      <c r="G1052" s="75">
        <v>0</v>
      </c>
      <c r="H1052" s="75">
        <v>0</v>
      </c>
      <c r="I1052" s="75">
        <v>0</v>
      </c>
      <c r="J1052" s="75">
        <v>0</v>
      </c>
      <c r="K1052" s="75">
        <v>0</v>
      </c>
      <c r="L1052" s="75">
        <v>0</v>
      </c>
      <c r="M1052" s="75">
        <v>0</v>
      </c>
      <c r="N1052" s="75">
        <v>0</v>
      </c>
      <c r="O1052" s="75">
        <v>0</v>
      </c>
      <c r="P1052" s="75">
        <v>0</v>
      </c>
      <c r="Q1052" s="75">
        <v>0</v>
      </c>
      <c r="R1052" s="75">
        <v>0</v>
      </c>
      <c r="S1052" s="75">
        <v>0</v>
      </c>
      <c r="T1052" s="75">
        <v>0</v>
      </c>
      <c r="U1052" s="75">
        <v>0</v>
      </c>
      <c r="V1052" s="75">
        <v>0</v>
      </c>
      <c r="W1052" s="75">
        <v>0</v>
      </c>
      <c r="X1052" s="75">
        <v>0</v>
      </c>
      <c r="Y1052" s="76">
        <f t="shared" si="192"/>
        <v>7817515</v>
      </c>
      <c r="Z1052" s="201"/>
      <c r="AA1052" s="79"/>
      <c r="AB1052" s="79"/>
      <c r="AC1052" s="79"/>
      <c r="AD1052" s="79">
        <v>100000</v>
      </c>
      <c r="AE1052" s="79"/>
      <c r="AF1052" s="79"/>
      <c r="AG1052" s="80">
        <f t="shared" si="193"/>
        <v>100000</v>
      </c>
      <c r="AH1052" s="81" t="s">
        <v>74</v>
      </c>
      <c r="AI1052" s="81" t="s">
        <v>74</v>
      </c>
      <c r="AJ1052" s="81" t="s">
        <v>74</v>
      </c>
      <c r="AK1052" s="123" t="s">
        <v>595</v>
      </c>
      <c r="AL1052" s="81" t="s">
        <v>74</v>
      </c>
      <c r="AM1052" s="81" t="s">
        <v>74</v>
      </c>
      <c r="AN1052" s="82"/>
      <c r="AO1052" s="82"/>
      <c r="AP1052" s="82"/>
      <c r="AQ1052" s="82"/>
      <c r="AR1052" s="82"/>
      <c r="AS1052" s="82"/>
      <c r="AT1052" s="81" t="s">
        <v>74</v>
      </c>
      <c r="AU1052" s="82"/>
      <c r="AV1052" s="82"/>
      <c r="AW1052" s="82"/>
      <c r="AX1052" s="82"/>
      <c r="AY1052" s="82"/>
      <c r="AZ1052" s="82"/>
      <c r="BA1052" s="82">
        <f t="shared" si="195"/>
        <v>0</v>
      </c>
      <c r="BB1052" s="82" t="s">
        <v>74</v>
      </c>
      <c r="BC1052" s="82" t="s">
        <v>74</v>
      </c>
      <c r="BD1052" s="82" t="s">
        <v>74</v>
      </c>
      <c r="BE1052" s="82" t="s">
        <v>74</v>
      </c>
      <c r="BF1052" s="82" t="s">
        <v>74</v>
      </c>
      <c r="BG1052" s="82"/>
      <c r="BH1052" s="82">
        <f t="shared" si="196"/>
        <v>0</v>
      </c>
      <c r="BI1052" s="82">
        <f t="shared" si="197"/>
        <v>7717515</v>
      </c>
      <c r="BJ1052" s="52">
        <v>0</v>
      </c>
      <c r="BK1052" s="56">
        <v>44470</v>
      </c>
      <c r="BL1052" s="127"/>
      <c r="BM1052" s="75">
        <f>BI1052-BL1052</f>
        <v>7717515</v>
      </c>
      <c r="BN1052" s="9"/>
      <c r="BO1052" s="9"/>
      <c r="BP1052" s="9"/>
      <c r="BQ1052" s="9"/>
      <c r="BR1052" s="9"/>
      <c r="BS1052" s="9"/>
      <c r="BT1052" s="9"/>
      <c r="BU1052" s="9"/>
      <c r="BV1052" s="9"/>
      <c r="BW1052" s="9"/>
    </row>
    <row r="1053" spans="1:75" hidden="1" outlineLevel="1" collapsed="1" x14ac:dyDescent="0.25">
      <c r="A1053" s="84"/>
      <c r="B1053" s="120" t="s">
        <v>1138</v>
      </c>
      <c r="C1053" s="86"/>
      <c r="D1053" s="120"/>
      <c r="E1053" s="88"/>
      <c r="F1053" s="88"/>
      <c r="G1053" s="88"/>
      <c r="H1053" s="88"/>
      <c r="I1053" s="88"/>
      <c r="J1053" s="88"/>
      <c r="K1053" s="88"/>
      <c r="L1053" s="88"/>
      <c r="M1053" s="88"/>
      <c r="N1053" s="88"/>
      <c r="O1053" s="88"/>
      <c r="P1053" s="88"/>
      <c r="Q1053" s="88"/>
      <c r="R1053" s="88"/>
      <c r="S1053" s="88"/>
      <c r="T1053" s="88"/>
      <c r="U1053" s="88"/>
      <c r="V1053" s="88"/>
      <c r="W1053" s="88"/>
      <c r="X1053" s="88"/>
      <c r="Y1053" s="89">
        <f t="shared" ref="Y1053:AG1053" si="198">SUBTOTAL(9,Y1035:Y1052)</f>
        <v>0</v>
      </c>
      <c r="Z1053" s="128">
        <f t="shared" si="198"/>
        <v>0</v>
      </c>
      <c r="AA1053" s="89">
        <f t="shared" si="198"/>
        <v>0</v>
      </c>
      <c r="AB1053" s="89">
        <f t="shared" si="198"/>
        <v>0</v>
      </c>
      <c r="AC1053" s="89">
        <f t="shared" si="198"/>
        <v>0</v>
      </c>
      <c r="AD1053" s="89">
        <f t="shared" si="198"/>
        <v>0</v>
      </c>
      <c r="AE1053" s="89">
        <f t="shared" si="198"/>
        <v>0</v>
      </c>
      <c r="AF1053" s="89">
        <f t="shared" si="198"/>
        <v>0</v>
      </c>
      <c r="AG1053" s="89">
        <f t="shared" si="198"/>
        <v>0</v>
      </c>
      <c r="AH1053" s="91"/>
      <c r="AI1053" s="91"/>
      <c r="AJ1053" s="91"/>
      <c r="AK1053" s="129"/>
      <c r="AL1053" s="91"/>
      <c r="AM1053" s="91"/>
      <c r="AN1053" s="92">
        <f t="shared" ref="AN1053:AS1053" si="199">SUBTOTAL(9,AN1035:AN1052)</f>
        <v>0</v>
      </c>
      <c r="AO1053" s="92">
        <f t="shared" si="199"/>
        <v>0</v>
      </c>
      <c r="AP1053" s="92">
        <f t="shared" si="199"/>
        <v>0</v>
      </c>
      <c r="AQ1053" s="92">
        <f t="shared" si="199"/>
        <v>0</v>
      </c>
      <c r="AR1053" s="92">
        <f t="shared" si="199"/>
        <v>0</v>
      </c>
      <c r="AS1053" s="92">
        <f t="shared" si="199"/>
        <v>0</v>
      </c>
      <c r="AT1053" s="91"/>
      <c r="AU1053" s="92">
        <f t="shared" ref="AU1053:BA1053" si="200">SUBTOTAL(9,AU1035:AU1052)</f>
        <v>0</v>
      </c>
      <c r="AV1053" s="92">
        <f t="shared" si="200"/>
        <v>0</v>
      </c>
      <c r="AW1053" s="92">
        <f t="shared" si="200"/>
        <v>0</v>
      </c>
      <c r="AX1053" s="92">
        <f t="shared" si="200"/>
        <v>0</v>
      </c>
      <c r="AY1053" s="92">
        <f t="shared" si="200"/>
        <v>0</v>
      </c>
      <c r="AZ1053" s="92">
        <f t="shared" si="200"/>
        <v>0</v>
      </c>
      <c r="BA1053" s="92">
        <f t="shared" si="200"/>
        <v>0</v>
      </c>
      <c r="BB1053" s="92"/>
      <c r="BC1053" s="92"/>
      <c r="BD1053" s="92"/>
      <c r="BE1053" s="92"/>
      <c r="BF1053" s="92"/>
      <c r="BG1053" s="92"/>
      <c r="BH1053" s="92">
        <f>SUBTOTAL(9,BH1035:BH1052)</f>
        <v>0</v>
      </c>
      <c r="BI1053" s="92">
        <f>SUBTOTAL(9,BI1035:BI1052)</f>
        <v>0</v>
      </c>
      <c r="BJ1053" s="93"/>
      <c r="BK1053" s="94"/>
      <c r="BL1053" s="88">
        <f>SUBTOTAL(9,BL1035:BL1052)</f>
        <v>0</v>
      </c>
      <c r="BM1053" s="88">
        <f>SUBTOTAL(9,BM1035:BM1052)</f>
        <v>0</v>
      </c>
      <c r="BN1053" s="9"/>
      <c r="BO1053" s="9"/>
      <c r="BP1053" s="9"/>
      <c r="BQ1053" s="9"/>
      <c r="BR1053" s="9"/>
      <c r="BS1053" s="9"/>
      <c r="BT1053" s="9"/>
      <c r="BU1053" s="9"/>
      <c r="BV1053" s="9"/>
      <c r="BW1053" s="9"/>
    </row>
    <row r="1054" spans="1:75" hidden="1" outlineLevel="2" x14ac:dyDescent="0.25">
      <c r="A1054" s="96" t="s">
        <v>1073</v>
      </c>
      <c r="B1054" s="97" t="s">
        <v>1139</v>
      </c>
      <c r="C1054" s="98">
        <v>2020</v>
      </c>
      <c r="D1054" s="97" t="s">
        <v>81</v>
      </c>
      <c r="E1054" s="100">
        <v>1710469.4739999999</v>
      </c>
      <c r="F1054" s="100">
        <v>0</v>
      </c>
      <c r="G1054" s="100">
        <v>0</v>
      </c>
      <c r="H1054" s="100">
        <v>0</v>
      </c>
      <c r="I1054" s="100">
        <v>0</v>
      </c>
      <c r="J1054" s="100">
        <v>0</v>
      </c>
      <c r="K1054" s="100">
        <v>0</v>
      </c>
      <c r="L1054" s="100">
        <v>0</v>
      </c>
      <c r="M1054" s="100">
        <v>0</v>
      </c>
      <c r="N1054" s="100">
        <v>0</v>
      </c>
      <c r="O1054" s="100">
        <v>0</v>
      </c>
      <c r="P1054" s="100">
        <v>0</v>
      </c>
      <c r="Q1054" s="100">
        <v>0</v>
      </c>
      <c r="R1054" s="100">
        <v>0</v>
      </c>
      <c r="S1054" s="100">
        <v>0</v>
      </c>
      <c r="T1054" s="100">
        <v>0</v>
      </c>
      <c r="U1054" s="100">
        <v>0</v>
      </c>
      <c r="V1054" s="100">
        <v>0</v>
      </c>
      <c r="W1054" s="100">
        <v>0</v>
      </c>
      <c r="X1054" s="100">
        <v>0</v>
      </c>
      <c r="Y1054" s="101">
        <v>1710469.4739999999</v>
      </c>
      <c r="Z1054" s="102">
        <v>0</v>
      </c>
      <c r="AA1054" s="103">
        <v>0</v>
      </c>
      <c r="AB1054" s="103">
        <v>0</v>
      </c>
      <c r="AC1054" s="103">
        <v>0</v>
      </c>
      <c r="AD1054" s="103">
        <v>0</v>
      </c>
      <c r="AE1054" s="103">
        <v>0</v>
      </c>
      <c r="AF1054" s="103">
        <v>0</v>
      </c>
      <c r="AG1054" s="102">
        <v>0</v>
      </c>
      <c r="AH1054" s="106" t="s">
        <v>74</v>
      </c>
      <c r="AI1054" s="104" t="s">
        <v>74</v>
      </c>
      <c r="AJ1054" s="104" t="s">
        <v>74</v>
      </c>
      <c r="AK1054" s="104" t="s">
        <v>74</v>
      </c>
      <c r="AL1054" s="104" t="s">
        <v>74</v>
      </c>
      <c r="AM1054" s="104" t="s">
        <v>74</v>
      </c>
      <c r="AN1054" s="105">
        <v>0</v>
      </c>
      <c r="AO1054" s="105">
        <v>0</v>
      </c>
      <c r="AP1054" s="105">
        <v>0</v>
      </c>
      <c r="AQ1054" s="105">
        <v>0</v>
      </c>
      <c r="AR1054" s="105">
        <v>0</v>
      </c>
      <c r="AS1054" s="105">
        <v>0</v>
      </c>
      <c r="AT1054" s="106" t="s">
        <v>74</v>
      </c>
      <c r="AU1054" s="105">
        <v>0</v>
      </c>
      <c r="AV1054" s="105"/>
      <c r="AW1054" s="105">
        <v>0</v>
      </c>
      <c r="AX1054" s="105"/>
      <c r="AY1054" s="105"/>
      <c r="AZ1054" s="105">
        <v>0</v>
      </c>
      <c r="BA1054" s="105">
        <v>0</v>
      </c>
      <c r="BB1054" s="107" t="s">
        <v>74</v>
      </c>
      <c r="BC1054" s="106" t="s">
        <v>74</v>
      </c>
      <c r="BD1054" s="108" t="s">
        <v>74</v>
      </c>
      <c r="BE1054" s="108" t="s">
        <v>74</v>
      </c>
      <c r="BF1054" s="108" t="s">
        <v>74</v>
      </c>
      <c r="BG1054" s="108" t="s">
        <v>74</v>
      </c>
      <c r="BH1054" s="105">
        <v>0</v>
      </c>
      <c r="BI1054" s="105">
        <v>1710469.4739999999</v>
      </c>
      <c r="BJ1054" s="52">
        <v>1710469.4739999999</v>
      </c>
      <c r="BK1054" s="56">
        <v>43952</v>
      </c>
      <c r="BL1054" s="109">
        <v>1710469.47</v>
      </c>
      <c r="BM1054" s="100">
        <v>0</v>
      </c>
      <c r="BN1054" s="9"/>
      <c r="BO1054" s="9"/>
      <c r="BP1054" s="9"/>
      <c r="BQ1054" s="9"/>
      <c r="BR1054" s="9"/>
      <c r="BS1054" s="9"/>
      <c r="BT1054" s="9"/>
      <c r="BU1054" s="9"/>
      <c r="BV1054" s="9"/>
      <c r="BW1054" s="9"/>
    </row>
    <row r="1055" spans="1:75" hidden="1" outlineLevel="2" x14ac:dyDescent="0.25">
      <c r="A1055" s="43" t="s">
        <v>1073</v>
      </c>
      <c r="B1055" s="110" t="s">
        <v>1139</v>
      </c>
      <c r="C1055" s="45">
        <v>2020</v>
      </c>
      <c r="D1055" s="110" t="s">
        <v>83</v>
      </c>
      <c r="E1055" s="134">
        <v>3665291.73</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3665291.73</v>
      </c>
      <c r="Z1055" s="49">
        <v>0</v>
      </c>
      <c r="AA1055" s="50">
        <v>0</v>
      </c>
      <c r="AB1055" s="50">
        <v>0</v>
      </c>
      <c r="AC1055" s="50">
        <v>0</v>
      </c>
      <c r="AD1055" s="50">
        <v>0</v>
      </c>
      <c r="AE1055" s="50">
        <v>0</v>
      </c>
      <c r="AF1055" s="50">
        <v>0</v>
      </c>
      <c r="AG1055" s="49">
        <v>0</v>
      </c>
      <c r="AH1055" s="53" t="s">
        <v>74</v>
      </c>
      <c r="AI1055" s="51" t="s">
        <v>74</v>
      </c>
      <c r="AJ1055" s="51" t="s">
        <v>74</v>
      </c>
      <c r="AK1055" s="51" t="s">
        <v>74</v>
      </c>
      <c r="AL1055" s="51" t="s">
        <v>74</v>
      </c>
      <c r="AM1055" s="51" t="s">
        <v>74</v>
      </c>
      <c r="AN1055" s="52">
        <v>0</v>
      </c>
      <c r="AO1055" s="52">
        <v>0</v>
      </c>
      <c r="AP1055" s="52">
        <v>0</v>
      </c>
      <c r="AQ1055" s="52">
        <v>0</v>
      </c>
      <c r="AR1055" s="52">
        <v>0</v>
      </c>
      <c r="AS1055" s="52">
        <v>0</v>
      </c>
      <c r="AT1055" s="53" t="s">
        <v>74</v>
      </c>
      <c r="AU1055" s="52">
        <v>0</v>
      </c>
      <c r="AV1055" s="52"/>
      <c r="AW1055" s="52">
        <v>0</v>
      </c>
      <c r="AX1055" s="52"/>
      <c r="AY1055" s="52"/>
      <c r="AZ1055" s="52">
        <v>0</v>
      </c>
      <c r="BA1055" s="52">
        <v>0</v>
      </c>
      <c r="BB1055" s="54" t="s">
        <v>74</v>
      </c>
      <c r="BC1055" s="53" t="s">
        <v>74</v>
      </c>
      <c r="BD1055" s="55" t="s">
        <v>74</v>
      </c>
      <c r="BE1055" s="55" t="s">
        <v>74</v>
      </c>
      <c r="BF1055" s="55" t="s">
        <v>74</v>
      </c>
      <c r="BG1055" s="55" t="s">
        <v>74</v>
      </c>
      <c r="BH1055" s="52">
        <v>0</v>
      </c>
      <c r="BI1055" s="52">
        <v>3665291.73</v>
      </c>
      <c r="BJ1055" s="52">
        <v>3665291.73</v>
      </c>
      <c r="BK1055" s="56">
        <v>43983</v>
      </c>
      <c r="BL1055" s="57">
        <v>3665291.73</v>
      </c>
      <c r="BM1055" s="47">
        <v>0</v>
      </c>
      <c r="BN1055" s="9"/>
      <c r="BO1055" s="9"/>
      <c r="BP1055" s="9"/>
      <c r="BQ1055" s="9"/>
      <c r="BR1055" s="9"/>
      <c r="BS1055" s="9"/>
      <c r="BT1055" s="9"/>
      <c r="BU1055" s="9"/>
      <c r="BV1055" s="9"/>
      <c r="BW1055" s="9"/>
    </row>
    <row r="1056" spans="1:75" hidden="1" outlineLevel="2" x14ac:dyDescent="0.25">
      <c r="A1056" s="43" t="s">
        <v>1073</v>
      </c>
      <c r="B1056" s="110" t="s">
        <v>1139</v>
      </c>
      <c r="C1056" s="45">
        <v>2020</v>
      </c>
      <c r="D1056" s="110" t="s">
        <v>84</v>
      </c>
      <c r="E1056" s="134">
        <v>3665291.73</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3665291.73</v>
      </c>
      <c r="Z1056" s="49">
        <v>0</v>
      </c>
      <c r="AA1056" s="50">
        <v>0</v>
      </c>
      <c r="AB1056" s="50">
        <v>0</v>
      </c>
      <c r="AC1056" s="50">
        <v>0</v>
      </c>
      <c r="AD1056" s="50">
        <v>0</v>
      </c>
      <c r="AE1056" s="50">
        <v>0</v>
      </c>
      <c r="AF1056" s="50">
        <v>0</v>
      </c>
      <c r="AG1056" s="49">
        <v>0</v>
      </c>
      <c r="AH1056" s="51" t="s">
        <v>74</v>
      </c>
      <c r="AI1056" s="51" t="s">
        <v>74</v>
      </c>
      <c r="AJ1056" s="51" t="s">
        <v>74</v>
      </c>
      <c r="AK1056" s="51" t="s">
        <v>74</v>
      </c>
      <c r="AL1056" s="51" t="s">
        <v>74</v>
      </c>
      <c r="AM1056" s="51" t="s">
        <v>74</v>
      </c>
      <c r="AN1056" s="52">
        <v>0</v>
      </c>
      <c r="AO1056" s="52">
        <v>0</v>
      </c>
      <c r="AP1056" s="52">
        <v>0</v>
      </c>
      <c r="AQ1056" s="52">
        <v>0</v>
      </c>
      <c r="AR1056" s="52">
        <v>0</v>
      </c>
      <c r="AS1056" s="52">
        <v>0</v>
      </c>
      <c r="AT1056" s="53" t="s">
        <v>74</v>
      </c>
      <c r="AU1056" s="52">
        <v>0</v>
      </c>
      <c r="AV1056" s="52"/>
      <c r="AW1056" s="52">
        <v>0</v>
      </c>
      <c r="AX1056" s="52"/>
      <c r="AY1056" s="52"/>
      <c r="AZ1056" s="52">
        <v>0</v>
      </c>
      <c r="BA1056" s="52">
        <v>0</v>
      </c>
      <c r="BB1056" s="54" t="s">
        <v>74</v>
      </c>
      <c r="BC1056" s="53" t="s">
        <v>74</v>
      </c>
      <c r="BD1056" s="55" t="s">
        <v>74</v>
      </c>
      <c r="BE1056" s="55" t="s">
        <v>74</v>
      </c>
      <c r="BF1056" s="55" t="s">
        <v>74</v>
      </c>
      <c r="BG1056" s="55" t="s">
        <v>74</v>
      </c>
      <c r="BH1056" s="52">
        <v>0</v>
      </c>
      <c r="BI1056" s="52">
        <v>3665291.73</v>
      </c>
      <c r="BJ1056" s="52">
        <v>3665291.73</v>
      </c>
      <c r="BK1056" s="56">
        <v>44013</v>
      </c>
      <c r="BL1056" s="57">
        <v>3665291.73</v>
      </c>
      <c r="BM1056" s="47">
        <v>0</v>
      </c>
      <c r="BN1056" s="9"/>
      <c r="BO1056" s="9"/>
      <c r="BP1056" s="9"/>
      <c r="BQ1056" s="9"/>
      <c r="BR1056" s="9"/>
      <c r="BS1056" s="9"/>
      <c r="BT1056" s="9"/>
      <c r="BU1056" s="9"/>
      <c r="BV1056" s="9"/>
      <c r="BW1056" s="9"/>
    </row>
    <row r="1057" spans="1:75" hidden="1" outlineLevel="2" x14ac:dyDescent="0.25">
      <c r="A1057" s="43" t="s">
        <v>1073</v>
      </c>
      <c r="B1057" s="110" t="s">
        <v>1139</v>
      </c>
      <c r="C1057" s="45">
        <v>2020</v>
      </c>
      <c r="D1057" s="110" t="s">
        <v>86</v>
      </c>
      <c r="E1057" s="134">
        <v>3665291.73</v>
      </c>
      <c r="F1057" s="47">
        <v>0</v>
      </c>
      <c r="G1057" s="47">
        <v>0</v>
      </c>
      <c r="H1057" s="47">
        <v>0</v>
      </c>
      <c r="I1057" s="47">
        <v>0</v>
      </c>
      <c r="J1057" s="47">
        <v>0</v>
      </c>
      <c r="K1057" s="47">
        <v>0</v>
      </c>
      <c r="L1057" s="47">
        <v>0</v>
      </c>
      <c r="M1057" s="47">
        <v>0</v>
      </c>
      <c r="N1057" s="47">
        <v>0</v>
      </c>
      <c r="O1057" s="47">
        <v>0</v>
      </c>
      <c r="P1057" s="47">
        <v>0</v>
      </c>
      <c r="Q1057" s="47">
        <v>0</v>
      </c>
      <c r="R1057" s="47">
        <v>0</v>
      </c>
      <c r="S1057" s="47">
        <v>0</v>
      </c>
      <c r="T1057" s="47">
        <v>0</v>
      </c>
      <c r="U1057" s="47">
        <v>0</v>
      </c>
      <c r="V1057" s="47">
        <v>0</v>
      </c>
      <c r="W1057" s="47">
        <v>0</v>
      </c>
      <c r="X1057" s="47">
        <v>0</v>
      </c>
      <c r="Y1057" s="48">
        <v>3665291.73</v>
      </c>
      <c r="Z1057" s="49">
        <v>0</v>
      </c>
      <c r="AA1057" s="50">
        <v>0</v>
      </c>
      <c r="AB1057" s="50">
        <v>0</v>
      </c>
      <c r="AC1057" s="50">
        <v>0</v>
      </c>
      <c r="AD1057" s="50">
        <v>0</v>
      </c>
      <c r="AE1057" s="50">
        <v>0</v>
      </c>
      <c r="AF1057" s="50">
        <v>0</v>
      </c>
      <c r="AG1057" s="49">
        <v>0</v>
      </c>
      <c r="AH1057" s="51" t="s">
        <v>74</v>
      </c>
      <c r="AI1057" s="51" t="s">
        <v>74</v>
      </c>
      <c r="AJ1057" s="51" t="s">
        <v>74</v>
      </c>
      <c r="AK1057" s="51" t="s">
        <v>74</v>
      </c>
      <c r="AL1057" s="51" t="s">
        <v>74</v>
      </c>
      <c r="AM1057" s="51" t="s">
        <v>74</v>
      </c>
      <c r="AN1057" s="52">
        <v>0</v>
      </c>
      <c r="AO1057" s="52">
        <v>0</v>
      </c>
      <c r="AP1057" s="52">
        <v>0</v>
      </c>
      <c r="AQ1057" s="52">
        <v>0</v>
      </c>
      <c r="AR1057" s="52">
        <v>0</v>
      </c>
      <c r="AS1057" s="52">
        <v>0</v>
      </c>
      <c r="AT1057" s="53" t="s">
        <v>74</v>
      </c>
      <c r="AU1057" s="52">
        <v>0</v>
      </c>
      <c r="AV1057" s="52"/>
      <c r="AW1057" s="52">
        <v>0</v>
      </c>
      <c r="AX1057" s="52"/>
      <c r="AY1057" s="52"/>
      <c r="AZ1057" s="52">
        <v>0</v>
      </c>
      <c r="BA1057" s="52">
        <v>0</v>
      </c>
      <c r="BB1057" s="54" t="s">
        <v>74</v>
      </c>
      <c r="BC1057" s="53" t="s">
        <v>74</v>
      </c>
      <c r="BD1057" s="55" t="s">
        <v>74</v>
      </c>
      <c r="BE1057" s="55" t="s">
        <v>74</v>
      </c>
      <c r="BF1057" s="55" t="s">
        <v>74</v>
      </c>
      <c r="BG1057" s="55" t="s">
        <v>74</v>
      </c>
      <c r="BH1057" s="52">
        <v>0</v>
      </c>
      <c r="BI1057" s="52">
        <v>3665291.73</v>
      </c>
      <c r="BJ1057" s="52">
        <v>3665291.73</v>
      </c>
      <c r="BK1057" s="56">
        <v>44044</v>
      </c>
      <c r="BL1057" s="63">
        <v>3665291.73</v>
      </c>
      <c r="BM1057" s="47">
        <v>0</v>
      </c>
      <c r="BN1057" s="9"/>
      <c r="BO1057" s="9"/>
      <c r="BP1057" s="9"/>
      <c r="BQ1057" s="9"/>
      <c r="BR1057" s="9"/>
      <c r="BS1057" s="9"/>
      <c r="BT1057" s="9"/>
      <c r="BU1057" s="9"/>
      <c r="BV1057" s="9"/>
      <c r="BW1057" s="9"/>
    </row>
    <row r="1058" spans="1:75" hidden="1" outlineLevel="2" x14ac:dyDescent="0.25">
      <c r="A1058" s="43" t="s">
        <v>1073</v>
      </c>
      <c r="B1058" s="110" t="s">
        <v>1139</v>
      </c>
      <c r="C1058" s="45">
        <v>2020</v>
      </c>
      <c r="D1058" s="110" t="s">
        <v>88</v>
      </c>
      <c r="E1058" s="134">
        <v>3665291.73</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3665291.73</v>
      </c>
      <c r="Z1058" s="49">
        <v>0</v>
      </c>
      <c r="AA1058" s="50">
        <v>0</v>
      </c>
      <c r="AB1058" s="50">
        <v>0</v>
      </c>
      <c r="AC1058" s="50">
        <v>0</v>
      </c>
      <c r="AD1058" s="50">
        <v>0</v>
      </c>
      <c r="AE1058" s="50">
        <v>0</v>
      </c>
      <c r="AF1058" s="50">
        <v>0</v>
      </c>
      <c r="AG1058" s="49">
        <v>0</v>
      </c>
      <c r="AH1058" s="51" t="s">
        <v>74</v>
      </c>
      <c r="AI1058" s="51" t="s">
        <v>74</v>
      </c>
      <c r="AJ1058" s="51" t="s">
        <v>74</v>
      </c>
      <c r="AK1058" s="51" t="s">
        <v>74</v>
      </c>
      <c r="AL1058" s="51" t="s">
        <v>74</v>
      </c>
      <c r="AM1058" s="51" t="s">
        <v>74</v>
      </c>
      <c r="AN1058" s="52">
        <v>0</v>
      </c>
      <c r="AO1058" s="52">
        <v>0</v>
      </c>
      <c r="AP1058" s="52">
        <v>0</v>
      </c>
      <c r="AQ1058" s="52">
        <v>0</v>
      </c>
      <c r="AR1058" s="52">
        <v>0</v>
      </c>
      <c r="AS1058" s="52">
        <v>0</v>
      </c>
      <c r="AT1058" s="53" t="s">
        <v>74</v>
      </c>
      <c r="AU1058" s="52">
        <v>0</v>
      </c>
      <c r="AV1058" s="52"/>
      <c r="AW1058" s="52">
        <v>0</v>
      </c>
      <c r="AX1058" s="52"/>
      <c r="AY1058" s="52"/>
      <c r="AZ1058" s="52">
        <v>0</v>
      </c>
      <c r="BA1058" s="52">
        <v>0</v>
      </c>
      <c r="BB1058" s="54" t="s">
        <v>74</v>
      </c>
      <c r="BC1058" s="53" t="s">
        <v>74</v>
      </c>
      <c r="BD1058" s="55" t="s">
        <v>74</v>
      </c>
      <c r="BE1058" s="55" t="s">
        <v>74</v>
      </c>
      <c r="BF1058" s="55" t="s">
        <v>74</v>
      </c>
      <c r="BG1058" s="55" t="s">
        <v>74</v>
      </c>
      <c r="BH1058" s="52">
        <v>0</v>
      </c>
      <c r="BI1058" s="52">
        <v>3665291.73</v>
      </c>
      <c r="BJ1058" s="52">
        <v>3665291.73</v>
      </c>
      <c r="BK1058" s="56">
        <v>44075</v>
      </c>
      <c r="BL1058" s="63">
        <v>3665291.73</v>
      </c>
      <c r="BM1058" s="47">
        <v>0</v>
      </c>
      <c r="BN1058" s="9"/>
      <c r="BO1058" s="9"/>
      <c r="BP1058" s="9"/>
      <c r="BQ1058" s="9"/>
      <c r="BR1058" s="9"/>
      <c r="BS1058" s="9"/>
      <c r="BT1058" s="9"/>
      <c r="BU1058" s="9"/>
      <c r="BV1058" s="9"/>
      <c r="BW1058" s="9"/>
    </row>
    <row r="1059" spans="1:75" hidden="1" outlineLevel="2" x14ac:dyDescent="0.25">
      <c r="A1059" s="43" t="s">
        <v>1073</v>
      </c>
      <c r="B1059" s="110" t="s">
        <v>1139</v>
      </c>
      <c r="C1059" s="45">
        <v>2020</v>
      </c>
      <c r="D1059" s="110" t="s">
        <v>89</v>
      </c>
      <c r="E1059" s="134">
        <v>3665291.73</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3665291.73</v>
      </c>
      <c r="Z1059" s="49">
        <v>0</v>
      </c>
      <c r="AA1059" s="50">
        <v>0</v>
      </c>
      <c r="AB1059" s="50">
        <v>0</v>
      </c>
      <c r="AC1059" s="50">
        <v>0</v>
      </c>
      <c r="AD1059" s="50">
        <v>0</v>
      </c>
      <c r="AE1059" s="50">
        <v>0</v>
      </c>
      <c r="AF1059" s="50">
        <v>0</v>
      </c>
      <c r="AG1059" s="49">
        <v>0</v>
      </c>
      <c r="AH1059" s="51" t="s">
        <v>74</v>
      </c>
      <c r="AI1059" s="51" t="s">
        <v>74</v>
      </c>
      <c r="AJ1059" s="51" t="s">
        <v>74</v>
      </c>
      <c r="AK1059" s="51" t="s">
        <v>74</v>
      </c>
      <c r="AL1059" s="51" t="s">
        <v>74</v>
      </c>
      <c r="AM1059" s="51" t="s">
        <v>74</v>
      </c>
      <c r="AN1059" s="52">
        <v>0</v>
      </c>
      <c r="AO1059" s="52">
        <v>0</v>
      </c>
      <c r="AP1059" s="52">
        <v>0</v>
      </c>
      <c r="AQ1059" s="52">
        <v>0</v>
      </c>
      <c r="AR1059" s="52">
        <v>0</v>
      </c>
      <c r="AS1059" s="52">
        <v>0</v>
      </c>
      <c r="AT1059" s="53" t="s">
        <v>74</v>
      </c>
      <c r="AU1059" s="52">
        <v>0</v>
      </c>
      <c r="AV1059" s="52"/>
      <c r="AW1059" s="52">
        <v>0</v>
      </c>
      <c r="AX1059" s="52"/>
      <c r="AY1059" s="52"/>
      <c r="AZ1059" s="52">
        <v>0</v>
      </c>
      <c r="BA1059" s="52">
        <v>0</v>
      </c>
      <c r="BB1059" s="54" t="s">
        <v>74</v>
      </c>
      <c r="BC1059" s="53" t="s">
        <v>74</v>
      </c>
      <c r="BD1059" s="55" t="s">
        <v>74</v>
      </c>
      <c r="BE1059" s="55" t="s">
        <v>74</v>
      </c>
      <c r="BF1059" s="55" t="s">
        <v>74</v>
      </c>
      <c r="BG1059" s="55" t="s">
        <v>74</v>
      </c>
      <c r="BH1059" s="52">
        <v>0</v>
      </c>
      <c r="BI1059" s="52">
        <v>3665291.73</v>
      </c>
      <c r="BJ1059" s="52">
        <v>3665291.73</v>
      </c>
      <c r="BK1059" s="56">
        <v>44105</v>
      </c>
      <c r="BL1059" s="63">
        <v>3665291.73</v>
      </c>
      <c r="BM1059" s="47">
        <v>0</v>
      </c>
      <c r="BN1059" s="9"/>
      <c r="BO1059" s="9"/>
      <c r="BP1059" s="9"/>
      <c r="BQ1059" s="9"/>
      <c r="BR1059" s="9"/>
      <c r="BS1059" s="9"/>
      <c r="BT1059" s="9"/>
      <c r="BU1059" s="9"/>
      <c r="BV1059" s="9"/>
      <c r="BW1059" s="9"/>
    </row>
    <row r="1060" spans="1:75" ht="128.25" hidden="1" outlineLevel="2" x14ac:dyDescent="0.25">
      <c r="A1060" s="43" t="s">
        <v>1073</v>
      </c>
      <c r="B1060" s="110" t="s">
        <v>1139</v>
      </c>
      <c r="C1060" s="45">
        <v>2020</v>
      </c>
      <c r="D1060" s="110" t="s">
        <v>90</v>
      </c>
      <c r="E1060" s="134">
        <v>1954822.2560000001</v>
      </c>
      <c r="F1060" s="47">
        <v>1975776.04</v>
      </c>
      <c r="G1060" s="47">
        <v>0</v>
      </c>
      <c r="H1060" s="47">
        <v>0</v>
      </c>
      <c r="I1060" s="47">
        <v>0</v>
      </c>
      <c r="J1060" s="47">
        <v>0</v>
      </c>
      <c r="K1060" s="47">
        <v>0</v>
      </c>
      <c r="L1060" s="47">
        <v>0</v>
      </c>
      <c r="M1060" s="47">
        <v>0</v>
      </c>
      <c r="N1060" s="47">
        <v>0</v>
      </c>
      <c r="O1060" s="47">
        <v>0</v>
      </c>
      <c r="P1060" s="47">
        <v>0</v>
      </c>
      <c r="Q1060" s="47">
        <v>0</v>
      </c>
      <c r="R1060" s="47">
        <v>0</v>
      </c>
      <c r="S1060" s="47">
        <v>0</v>
      </c>
      <c r="T1060" s="47">
        <v>0</v>
      </c>
      <c r="U1060" s="47">
        <v>0</v>
      </c>
      <c r="V1060" s="47">
        <v>0</v>
      </c>
      <c r="W1060" s="47">
        <v>0</v>
      </c>
      <c r="X1060" s="47">
        <v>0</v>
      </c>
      <c r="Y1060" s="48">
        <v>3930598.2960000001</v>
      </c>
      <c r="Z1060" s="49">
        <v>0</v>
      </c>
      <c r="AA1060" s="50">
        <v>0</v>
      </c>
      <c r="AB1060" s="50">
        <v>0</v>
      </c>
      <c r="AC1060" s="50">
        <v>0</v>
      </c>
      <c r="AD1060" s="50">
        <v>0</v>
      </c>
      <c r="AE1060" s="50">
        <v>0</v>
      </c>
      <c r="AF1060" s="50">
        <v>0</v>
      </c>
      <c r="AG1060" s="49">
        <v>0</v>
      </c>
      <c r="AH1060" s="51" t="s">
        <v>74</v>
      </c>
      <c r="AI1060" s="51" t="s">
        <v>74</v>
      </c>
      <c r="AJ1060" s="51" t="s">
        <v>74</v>
      </c>
      <c r="AK1060" s="51" t="s">
        <v>74</v>
      </c>
      <c r="AL1060" s="51" t="s">
        <v>74</v>
      </c>
      <c r="AM1060" s="51" t="s">
        <v>74</v>
      </c>
      <c r="AN1060" s="52"/>
      <c r="AO1060" s="52"/>
      <c r="AP1060" s="52"/>
      <c r="AQ1060" s="52"/>
      <c r="AR1060" s="52"/>
      <c r="AS1060" s="52">
        <v>0</v>
      </c>
      <c r="AT1060" s="53" t="s">
        <v>74</v>
      </c>
      <c r="AU1060" s="52">
        <v>0</v>
      </c>
      <c r="AV1060" s="52"/>
      <c r="AW1060" s="59">
        <v>315000</v>
      </c>
      <c r="AX1060" s="52"/>
      <c r="AY1060" s="52"/>
      <c r="AZ1060" s="52">
        <v>0</v>
      </c>
      <c r="BA1060" s="52">
        <v>315000</v>
      </c>
      <c r="BB1060" s="54" t="s">
        <v>74</v>
      </c>
      <c r="BC1060" s="53" t="s">
        <v>74</v>
      </c>
      <c r="BD1060" s="55" t="s">
        <v>1140</v>
      </c>
      <c r="BE1060" s="55" t="s">
        <v>74</v>
      </c>
      <c r="BF1060" s="55" t="s">
        <v>74</v>
      </c>
      <c r="BG1060" s="55" t="s">
        <v>74</v>
      </c>
      <c r="BH1060" s="52">
        <v>315000</v>
      </c>
      <c r="BI1060" s="52">
        <v>4245598.2960000001</v>
      </c>
      <c r="BJ1060" s="52">
        <v>3930598.2960000001</v>
      </c>
      <c r="BK1060" s="56">
        <v>44136</v>
      </c>
      <c r="BL1060" s="57">
        <v>4245598.3</v>
      </c>
      <c r="BM1060" s="47">
        <v>0</v>
      </c>
      <c r="BN1060" s="9"/>
      <c r="BO1060" s="9"/>
      <c r="BP1060" s="9"/>
      <c r="BQ1060" s="9"/>
      <c r="BR1060" s="9"/>
      <c r="BS1060" s="9"/>
      <c r="BT1060" s="9"/>
      <c r="BU1060" s="9"/>
      <c r="BV1060" s="9"/>
      <c r="BW1060" s="9"/>
    </row>
    <row r="1061" spans="1:75" hidden="1" outlineLevel="2" x14ac:dyDescent="0.25">
      <c r="A1061" s="43" t="s">
        <v>1073</v>
      </c>
      <c r="B1061" s="110" t="s">
        <v>1139</v>
      </c>
      <c r="C1061" s="45">
        <v>2020</v>
      </c>
      <c r="D1061" s="110" t="s">
        <v>93</v>
      </c>
      <c r="E1061" s="47">
        <v>0</v>
      </c>
      <c r="F1061" s="47">
        <v>3602885.57</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3602885.57</v>
      </c>
      <c r="Z1061" s="80">
        <v>0</v>
      </c>
      <c r="AA1061" s="50">
        <v>0</v>
      </c>
      <c r="AB1061" s="50">
        <v>0</v>
      </c>
      <c r="AC1061" s="50">
        <v>0</v>
      </c>
      <c r="AD1061" s="50">
        <v>0</v>
      </c>
      <c r="AE1061" s="50">
        <v>0</v>
      </c>
      <c r="AF1061" s="50">
        <v>0</v>
      </c>
      <c r="AG1061" s="49">
        <v>0</v>
      </c>
      <c r="AH1061" s="51" t="s">
        <v>74</v>
      </c>
      <c r="AI1061" s="51" t="s">
        <v>74</v>
      </c>
      <c r="AJ1061" s="51" t="s">
        <v>74</v>
      </c>
      <c r="AK1061" s="51" t="s">
        <v>74</v>
      </c>
      <c r="AL1061" s="51" t="s">
        <v>74</v>
      </c>
      <c r="AM1061" s="51" t="s">
        <v>74</v>
      </c>
      <c r="AN1061" s="52">
        <v>0</v>
      </c>
      <c r="AO1061" s="52">
        <v>0</v>
      </c>
      <c r="AP1061" s="52">
        <v>0</v>
      </c>
      <c r="AQ1061" s="52">
        <v>0</v>
      </c>
      <c r="AR1061" s="52">
        <v>0</v>
      </c>
      <c r="AS1061" s="52"/>
      <c r="AT1061" s="53" t="s">
        <v>74</v>
      </c>
      <c r="AU1061" s="52">
        <v>0</v>
      </c>
      <c r="AV1061" s="52"/>
      <c r="AW1061" s="52">
        <v>0</v>
      </c>
      <c r="AX1061" s="52"/>
      <c r="AY1061" s="52"/>
      <c r="AZ1061" s="52">
        <v>0</v>
      </c>
      <c r="BA1061" s="52">
        <v>0</v>
      </c>
      <c r="BB1061" s="54" t="s">
        <v>74</v>
      </c>
      <c r="BC1061" s="53" t="s">
        <v>74</v>
      </c>
      <c r="BD1061" s="55" t="s">
        <v>74</v>
      </c>
      <c r="BE1061" s="55" t="s">
        <v>74</v>
      </c>
      <c r="BF1061" s="55" t="s">
        <v>74</v>
      </c>
      <c r="BG1061" s="55" t="s">
        <v>74</v>
      </c>
      <c r="BH1061" s="52">
        <v>0</v>
      </c>
      <c r="BI1061" s="52">
        <v>3602885.57</v>
      </c>
      <c r="BJ1061" s="52">
        <v>3602885.57</v>
      </c>
      <c r="BK1061" s="56">
        <v>44166</v>
      </c>
      <c r="BL1061" s="57">
        <v>3602885.57</v>
      </c>
      <c r="BM1061" s="47">
        <v>0</v>
      </c>
      <c r="BN1061" s="9"/>
      <c r="BO1061" s="9"/>
      <c r="BP1061" s="9"/>
      <c r="BQ1061" s="9"/>
      <c r="BR1061" s="9"/>
      <c r="BS1061" s="9"/>
      <c r="BT1061" s="9"/>
      <c r="BU1061" s="9"/>
      <c r="BV1061" s="9"/>
      <c r="BW1061" s="9"/>
    </row>
    <row r="1062" spans="1:75" ht="179.25" hidden="1" outlineLevel="2" x14ac:dyDescent="0.25">
      <c r="A1062" s="43" t="s">
        <v>1073</v>
      </c>
      <c r="B1062" s="110" t="s">
        <v>1139</v>
      </c>
      <c r="C1062" s="45">
        <v>2021</v>
      </c>
      <c r="D1062" s="110" t="s">
        <v>73</v>
      </c>
      <c r="E1062" s="47"/>
      <c r="F1062" s="47"/>
      <c r="G1062" s="47"/>
      <c r="H1062" s="47"/>
      <c r="I1062" s="47"/>
      <c r="J1062" s="47"/>
      <c r="K1062" s="47"/>
      <c r="L1062" s="47"/>
      <c r="M1062" s="47"/>
      <c r="N1062" s="47"/>
      <c r="O1062" s="47"/>
      <c r="P1062" s="47"/>
      <c r="Q1062" s="47"/>
      <c r="R1062" s="47"/>
      <c r="S1062" s="47"/>
      <c r="T1062" s="47"/>
      <c r="U1062" s="47"/>
      <c r="V1062" s="47"/>
      <c r="W1062" s="47">
        <v>0</v>
      </c>
      <c r="X1062" s="47">
        <v>0</v>
      </c>
      <c r="Y1062" s="48">
        <f t="shared" ref="Y1062:Y1071" si="201">SUM(E1062:X1062)</f>
        <v>0</v>
      </c>
      <c r="Z1062" s="49">
        <v>0</v>
      </c>
      <c r="AA1062" s="50">
        <v>0</v>
      </c>
      <c r="AB1062" s="50">
        <v>0</v>
      </c>
      <c r="AC1062" s="50">
        <v>0</v>
      </c>
      <c r="AD1062" s="50">
        <v>0</v>
      </c>
      <c r="AE1062" s="50">
        <v>0</v>
      </c>
      <c r="AF1062" s="50">
        <v>0</v>
      </c>
      <c r="AG1062" s="49">
        <f t="shared" ref="AG1062:AG1071" si="202">SUM(AA1062:AF1062)</f>
        <v>0</v>
      </c>
      <c r="AH1062" s="51" t="s">
        <v>74</v>
      </c>
      <c r="AI1062" s="51" t="s">
        <v>74</v>
      </c>
      <c r="AJ1062" s="51" t="s">
        <v>74</v>
      </c>
      <c r="AK1062" s="51" t="s">
        <v>74</v>
      </c>
      <c r="AL1062" s="51" t="s">
        <v>74</v>
      </c>
      <c r="AM1062" s="51" t="s">
        <v>74</v>
      </c>
      <c r="AN1062" s="52"/>
      <c r="AO1062" s="52"/>
      <c r="AP1062" s="52"/>
      <c r="AQ1062" s="52"/>
      <c r="AR1062" s="52"/>
      <c r="AS1062" s="52">
        <f t="shared" ref="AS1062:AS1068" si="203">AN1062+AO1062+AP1062+AQ1062+AR1062</f>
        <v>0</v>
      </c>
      <c r="AT1062" s="53" t="s">
        <v>74</v>
      </c>
      <c r="AU1062" s="52"/>
      <c r="AV1062" s="52"/>
      <c r="AW1062" s="52"/>
      <c r="AX1062" s="59">
        <v>3467794.54</v>
      </c>
      <c r="AY1062" s="59"/>
      <c r="AZ1062" s="52"/>
      <c r="BA1062" s="52">
        <f t="shared" ref="BA1062:BA1071" si="204">AU1062+AW1062+AX1062+AZ1062</f>
        <v>3467794.54</v>
      </c>
      <c r="BB1062" s="54" t="s">
        <v>74</v>
      </c>
      <c r="BC1062" s="53" t="s">
        <v>74</v>
      </c>
      <c r="BD1062" s="55" t="s">
        <v>74</v>
      </c>
      <c r="BE1062" s="51" t="s">
        <v>1141</v>
      </c>
      <c r="BF1062" s="55" t="s">
        <v>74</v>
      </c>
      <c r="BG1062" s="55" t="s">
        <v>74</v>
      </c>
      <c r="BH1062" s="52">
        <f t="shared" ref="BH1062:BH1071" si="205">AS1062+BA1062</f>
        <v>3467794.54</v>
      </c>
      <c r="BI1062" s="52">
        <f t="shared" ref="BI1062:BI1071" si="206">Y1062-AG1062+BH1062</f>
        <v>3467794.54</v>
      </c>
      <c r="BJ1062" s="52">
        <v>3467794.54</v>
      </c>
      <c r="BK1062" s="56">
        <v>44197</v>
      </c>
      <c r="BL1062" s="63">
        <v>3467794.54</v>
      </c>
      <c r="BM1062" s="47">
        <v>0</v>
      </c>
      <c r="BN1062" s="9"/>
      <c r="BO1062" s="9"/>
      <c r="BP1062" s="9"/>
      <c r="BQ1062" s="9"/>
      <c r="BR1062" s="9"/>
      <c r="BS1062" s="9"/>
      <c r="BT1062" s="9"/>
      <c r="BU1062" s="9"/>
      <c r="BV1062" s="9"/>
      <c r="BW1062" s="9"/>
    </row>
    <row r="1063" spans="1:75" ht="409.6" hidden="1" outlineLevel="2" x14ac:dyDescent="0.25">
      <c r="A1063" s="43" t="s">
        <v>1073</v>
      </c>
      <c r="B1063" s="110" t="s">
        <v>1139</v>
      </c>
      <c r="C1063" s="45">
        <v>2021</v>
      </c>
      <c r="D1063" s="110" t="s">
        <v>75</v>
      </c>
      <c r="E1063" s="47"/>
      <c r="F1063" s="47"/>
      <c r="G1063" s="47"/>
      <c r="H1063" s="47"/>
      <c r="I1063" s="47"/>
      <c r="J1063" s="47"/>
      <c r="K1063" s="47"/>
      <c r="L1063" s="47"/>
      <c r="M1063" s="47"/>
      <c r="N1063" s="47"/>
      <c r="O1063" s="47"/>
      <c r="P1063" s="47"/>
      <c r="Q1063" s="47"/>
      <c r="R1063" s="47"/>
      <c r="S1063" s="47"/>
      <c r="T1063" s="47"/>
      <c r="U1063" s="47"/>
      <c r="V1063" s="47"/>
      <c r="W1063" s="47">
        <v>0</v>
      </c>
      <c r="X1063" s="47">
        <v>0</v>
      </c>
      <c r="Y1063" s="48">
        <f t="shared" si="201"/>
        <v>0</v>
      </c>
      <c r="Z1063" s="49">
        <v>0</v>
      </c>
      <c r="AA1063" s="50">
        <v>0</v>
      </c>
      <c r="AB1063" s="50">
        <v>0</v>
      </c>
      <c r="AC1063" s="50">
        <v>0</v>
      </c>
      <c r="AD1063" s="50">
        <v>0</v>
      </c>
      <c r="AE1063" s="50">
        <v>0</v>
      </c>
      <c r="AF1063" s="50">
        <v>0</v>
      </c>
      <c r="AG1063" s="49">
        <f t="shared" si="202"/>
        <v>0</v>
      </c>
      <c r="AH1063" s="51" t="s">
        <v>74</v>
      </c>
      <c r="AI1063" s="51" t="s">
        <v>74</v>
      </c>
      <c r="AJ1063" s="51" t="s">
        <v>74</v>
      </c>
      <c r="AK1063" s="51" t="s">
        <v>74</v>
      </c>
      <c r="AL1063" s="51" t="s">
        <v>74</v>
      </c>
      <c r="AM1063" s="51" t="s">
        <v>74</v>
      </c>
      <c r="AN1063" s="52"/>
      <c r="AO1063" s="52"/>
      <c r="AP1063" s="52"/>
      <c r="AQ1063" s="52"/>
      <c r="AR1063" s="52"/>
      <c r="AS1063" s="52">
        <f t="shared" si="203"/>
        <v>0</v>
      </c>
      <c r="AT1063" s="53" t="s">
        <v>74</v>
      </c>
      <c r="AU1063" s="52"/>
      <c r="AV1063" s="52"/>
      <c r="AW1063" s="52"/>
      <c r="AX1063" s="59">
        <v>5221932.7</v>
      </c>
      <c r="AY1063" s="59"/>
      <c r="AZ1063" s="52"/>
      <c r="BA1063" s="52">
        <f t="shared" si="204"/>
        <v>5221932.7</v>
      </c>
      <c r="BB1063" s="54" t="s">
        <v>74</v>
      </c>
      <c r="BC1063" s="53" t="s">
        <v>74</v>
      </c>
      <c r="BD1063" s="55" t="s">
        <v>74</v>
      </c>
      <c r="BE1063" s="51" t="s">
        <v>1142</v>
      </c>
      <c r="BF1063" s="55" t="s">
        <v>74</v>
      </c>
      <c r="BG1063" s="55" t="s">
        <v>74</v>
      </c>
      <c r="BH1063" s="52">
        <f t="shared" si="205"/>
        <v>5221932.7</v>
      </c>
      <c r="BI1063" s="52">
        <f t="shared" si="206"/>
        <v>5221932.7</v>
      </c>
      <c r="BJ1063" s="52">
        <v>5221932.7</v>
      </c>
      <c r="BK1063" s="56">
        <v>44228</v>
      </c>
      <c r="BL1063" s="63">
        <v>5221932.7</v>
      </c>
      <c r="BM1063" s="47">
        <v>0</v>
      </c>
      <c r="BN1063" s="9"/>
      <c r="BO1063" s="9"/>
      <c r="BP1063" s="9"/>
      <c r="BQ1063" s="9"/>
      <c r="BR1063" s="9"/>
      <c r="BS1063" s="9"/>
      <c r="BT1063" s="9"/>
      <c r="BU1063" s="9"/>
      <c r="BV1063" s="9"/>
      <c r="BW1063" s="9"/>
    </row>
    <row r="1064" spans="1:75" ht="409.6" hidden="1" outlineLevel="2" x14ac:dyDescent="0.25">
      <c r="A1064" s="43" t="s">
        <v>1073</v>
      </c>
      <c r="B1064" s="110" t="s">
        <v>1139</v>
      </c>
      <c r="C1064" s="45">
        <v>2021</v>
      </c>
      <c r="D1064" s="110" t="s">
        <v>77</v>
      </c>
      <c r="E1064" s="47"/>
      <c r="F1064" s="47"/>
      <c r="G1064" s="47"/>
      <c r="H1064" s="47"/>
      <c r="I1064" s="47"/>
      <c r="J1064" s="47"/>
      <c r="K1064" s="47"/>
      <c r="L1064" s="47"/>
      <c r="M1064" s="47"/>
      <c r="N1064" s="47"/>
      <c r="O1064" s="47"/>
      <c r="P1064" s="47"/>
      <c r="Q1064" s="47"/>
      <c r="R1064" s="47"/>
      <c r="S1064" s="47"/>
      <c r="T1064" s="47"/>
      <c r="U1064" s="47"/>
      <c r="V1064" s="47"/>
      <c r="W1064" s="47">
        <v>0</v>
      </c>
      <c r="X1064" s="47">
        <v>0</v>
      </c>
      <c r="Y1064" s="48">
        <f t="shared" si="201"/>
        <v>0</v>
      </c>
      <c r="Z1064" s="49">
        <v>0</v>
      </c>
      <c r="AA1064" s="50">
        <v>0</v>
      </c>
      <c r="AB1064" s="50">
        <v>0</v>
      </c>
      <c r="AC1064" s="50">
        <v>0</v>
      </c>
      <c r="AD1064" s="50">
        <v>0</v>
      </c>
      <c r="AE1064" s="50">
        <v>0</v>
      </c>
      <c r="AF1064" s="50">
        <v>0</v>
      </c>
      <c r="AG1064" s="49">
        <f t="shared" si="202"/>
        <v>0</v>
      </c>
      <c r="AH1064" s="51" t="s">
        <v>74</v>
      </c>
      <c r="AI1064" s="51" t="s">
        <v>74</v>
      </c>
      <c r="AJ1064" s="51" t="s">
        <v>74</v>
      </c>
      <c r="AK1064" s="51" t="s">
        <v>74</v>
      </c>
      <c r="AL1064" s="51" t="s">
        <v>74</v>
      </c>
      <c r="AM1064" s="51" t="s">
        <v>74</v>
      </c>
      <c r="AN1064" s="52"/>
      <c r="AO1064" s="52"/>
      <c r="AP1064" s="52"/>
      <c r="AQ1064" s="52"/>
      <c r="AR1064" s="52"/>
      <c r="AS1064" s="52">
        <f t="shared" si="203"/>
        <v>0</v>
      </c>
      <c r="AT1064" s="53" t="s">
        <v>74</v>
      </c>
      <c r="AU1064" s="52"/>
      <c r="AV1064" s="52"/>
      <c r="AW1064" s="59">
        <v>32900</v>
      </c>
      <c r="AX1064" s="59">
        <v>4966747.01</v>
      </c>
      <c r="AY1064" s="59"/>
      <c r="AZ1064" s="52"/>
      <c r="BA1064" s="52">
        <f t="shared" si="204"/>
        <v>4999647.01</v>
      </c>
      <c r="BB1064" s="54" t="s">
        <v>74</v>
      </c>
      <c r="BC1064" s="53" t="s">
        <v>74</v>
      </c>
      <c r="BD1064" s="55" t="s">
        <v>1143</v>
      </c>
      <c r="BE1064" s="51" t="s">
        <v>1144</v>
      </c>
      <c r="BF1064" s="55" t="s">
        <v>74</v>
      </c>
      <c r="BG1064" s="55" t="s">
        <v>74</v>
      </c>
      <c r="BH1064" s="52">
        <f t="shared" si="205"/>
        <v>4999647.01</v>
      </c>
      <c r="BI1064" s="52">
        <f t="shared" si="206"/>
        <v>4999647.01</v>
      </c>
      <c r="BJ1064" s="52">
        <v>4999647.01</v>
      </c>
      <c r="BK1064" s="56">
        <v>44256</v>
      </c>
      <c r="BL1064" s="63">
        <v>4999647.01</v>
      </c>
      <c r="BM1064" s="47">
        <v>0</v>
      </c>
      <c r="BN1064" s="9"/>
      <c r="BO1064" s="9"/>
      <c r="BP1064" s="9"/>
      <c r="BQ1064" s="9"/>
      <c r="BR1064" s="9"/>
      <c r="BS1064" s="9"/>
      <c r="BT1064" s="9"/>
      <c r="BU1064" s="9"/>
      <c r="BV1064" s="9"/>
      <c r="BW1064" s="9"/>
    </row>
    <row r="1065" spans="1:75" ht="319.5" hidden="1" outlineLevel="2" x14ac:dyDescent="0.25">
      <c r="A1065" s="43" t="s">
        <v>1073</v>
      </c>
      <c r="B1065" s="110" t="s">
        <v>1139</v>
      </c>
      <c r="C1065" s="45">
        <v>2021</v>
      </c>
      <c r="D1065" s="110" t="s">
        <v>79</v>
      </c>
      <c r="E1065" s="211">
        <v>1733897.27</v>
      </c>
      <c r="F1065" s="47">
        <v>1095927.8899999999</v>
      </c>
      <c r="G1065" s="47"/>
      <c r="H1065" s="47"/>
      <c r="I1065" s="47"/>
      <c r="J1065" s="47"/>
      <c r="K1065" s="47"/>
      <c r="L1065" s="47"/>
      <c r="M1065" s="47"/>
      <c r="N1065" s="47"/>
      <c r="O1065" s="47"/>
      <c r="P1065" s="47"/>
      <c r="Q1065" s="47"/>
      <c r="R1065" s="47"/>
      <c r="S1065" s="47"/>
      <c r="T1065" s="47"/>
      <c r="U1065" s="47"/>
      <c r="V1065" s="47"/>
      <c r="W1065" s="47">
        <v>0</v>
      </c>
      <c r="X1065" s="47">
        <v>0</v>
      </c>
      <c r="Y1065" s="48">
        <f t="shared" si="201"/>
        <v>2829825.16</v>
      </c>
      <c r="Z1065" s="49">
        <v>0</v>
      </c>
      <c r="AA1065" s="50">
        <v>0</v>
      </c>
      <c r="AB1065" s="50">
        <v>0</v>
      </c>
      <c r="AC1065" s="50">
        <v>0</v>
      </c>
      <c r="AD1065" s="50">
        <v>0</v>
      </c>
      <c r="AE1065" s="50">
        <v>0</v>
      </c>
      <c r="AF1065" s="50">
        <v>1095927.8899999999</v>
      </c>
      <c r="AG1065" s="49">
        <f t="shared" si="202"/>
        <v>1095927.8899999999</v>
      </c>
      <c r="AH1065" s="51" t="s">
        <v>74</v>
      </c>
      <c r="AI1065" s="51" t="s">
        <v>74</v>
      </c>
      <c r="AJ1065" s="51" t="s">
        <v>74</v>
      </c>
      <c r="AK1065" s="51" t="s">
        <v>74</v>
      </c>
      <c r="AL1065" s="51" t="s">
        <v>74</v>
      </c>
      <c r="AM1065" s="51" t="s">
        <v>1145</v>
      </c>
      <c r="AN1065" s="52"/>
      <c r="AO1065" s="52"/>
      <c r="AP1065" s="52"/>
      <c r="AQ1065" s="52"/>
      <c r="AR1065" s="52"/>
      <c r="AS1065" s="52">
        <f t="shared" si="203"/>
        <v>0</v>
      </c>
      <c r="AT1065" s="53" t="s">
        <v>74</v>
      </c>
      <c r="AU1065" s="52"/>
      <c r="AV1065" s="52"/>
      <c r="AW1065" s="59">
        <v>428746.7</v>
      </c>
      <c r="AX1065" s="59">
        <v>3902938.62</v>
      </c>
      <c r="AY1065" s="59"/>
      <c r="AZ1065" s="52"/>
      <c r="BA1065" s="52">
        <f t="shared" si="204"/>
        <v>4331685.32</v>
      </c>
      <c r="BB1065" s="54" t="s">
        <v>74</v>
      </c>
      <c r="BC1065" s="53" t="s">
        <v>74</v>
      </c>
      <c r="BD1065" s="55" t="s">
        <v>1146</v>
      </c>
      <c r="BE1065" s="51" t="s">
        <v>1147</v>
      </c>
      <c r="BF1065" s="55" t="s">
        <v>74</v>
      </c>
      <c r="BG1065" s="55" t="s">
        <v>74</v>
      </c>
      <c r="BH1065" s="52">
        <f t="shared" si="205"/>
        <v>4331685.32</v>
      </c>
      <c r="BI1065" s="52">
        <f t="shared" si="206"/>
        <v>6065582.5900000008</v>
      </c>
      <c r="BJ1065" s="52">
        <v>4540908</v>
      </c>
      <c r="BK1065" s="56">
        <v>44287</v>
      </c>
      <c r="BL1065" s="57">
        <v>6065582.5899999999</v>
      </c>
      <c r="BM1065" s="47">
        <v>0</v>
      </c>
      <c r="BN1065" s="9"/>
      <c r="BO1065" s="9"/>
      <c r="BP1065" s="9"/>
      <c r="BQ1065" s="9"/>
      <c r="BR1065" s="9"/>
      <c r="BS1065" s="9"/>
      <c r="BT1065" s="9"/>
      <c r="BU1065" s="9"/>
      <c r="BV1065" s="9"/>
      <c r="BW1065" s="9"/>
    </row>
    <row r="1066" spans="1:75" ht="204.75" hidden="1" outlineLevel="2" x14ac:dyDescent="0.25">
      <c r="A1066" s="43" t="s">
        <v>1073</v>
      </c>
      <c r="B1066" s="110" t="s">
        <v>1139</v>
      </c>
      <c r="C1066" s="45">
        <v>2021</v>
      </c>
      <c r="D1066" s="110" t="s">
        <v>81</v>
      </c>
      <c r="E1066" s="47">
        <v>3467794.54</v>
      </c>
      <c r="F1066" s="47">
        <v>2191855.7599999998</v>
      </c>
      <c r="G1066" s="47"/>
      <c r="H1066" s="47"/>
      <c r="I1066" s="47"/>
      <c r="J1066" s="47"/>
      <c r="K1066" s="47"/>
      <c r="L1066" s="47"/>
      <c r="M1066" s="47"/>
      <c r="N1066" s="47"/>
      <c r="O1066" s="47"/>
      <c r="P1066" s="47"/>
      <c r="Q1066" s="47"/>
      <c r="R1066" s="47"/>
      <c r="S1066" s="47"/>
      <c r="T1066" s="47"/>
      <c r="U1066" s="47"/>
      <c r="V1066" s="47"/>
      <c r="W1066" s="47">
        <v>0</v>
      </c>
      <c r="X1066" s="47">
        <v>0</v>
      </c>
      <c r="Y1066" s="48">
        <f t="shared" si="201"/>
        <v>5659650.2999999998</v>
      </c>
      <c r="Z1066" s="49">
        <v>0</v>
      </c>
      <c r="AA1066" s="50">
        <v>0</v>
      </c>
      <c r="AB1066" s="50">
        <v>0</v>
      </c>
      <c r="AC1066" s="50">
        <v>0</v>
      </c>
      <c r="AD1066" s="50">
        <v>0</v>
      </c>
      <c r="AE1066" s="50">
        <v>0</v>
      </c>
      <c r="AF1066" s="50">
        <v>0</v>
      </c>
      <c r="AG1066" s="49">
        <f t="shared" si="202"/>
        <v>0</v>
      </c>
      <c r="AH1066" s="51" t="s">
        <v>74</v>
      </c>
      <c r="AI1066" s="51" t="s">
        <v>74</v>
      </c>
      <c r="AJ1066" s="51" t="s">
        <v>74</v>
      </c>
      <c r="AK1066" s="51" t="s">
        <v>74</v>
      </c>
      <c r="AL1066" s="51" t="s">
        <v>74</v>
      </c>
      <c r="AM1066" s="51" t="s">
        <v>74</v>
      </c>
      <c r="AN1066" s="52"/>
      <c r="AO1066" s="52"/>
      <c r="AP1066" s="52"/>
      <c r="AQ1066" s="52"/>
      <c r="AR1066" s="52"/>
      <c r="AS1066" s="52">
        <f t="shared" si="203"/>
        <v>0</v>
      </c>
      <c r="AT1066" s="53" t="s">
        <v>74</v>
      </c>
      <c r="AU1066" s="52"/>
      <c r="AV1066" s="52"/>
      <c r="AW1066" s="59">
        <v>282051.20000000001</v>
      </c>
      <c r="AX1066" s="52"/>
      <c r="AY1066" s="52"/>
      <c r="AZ1066" s="52"/>
      <c r="BA1066" s="52">
        <f t="shared" si="204"/>
        <v>282051.20000000001</v>
      </c>
      <c r="BB1066" s="54" t="s">
        <v>74</v>
      </c>
      <c r="BC1066" s="53" t="s">
        <v>74</v>
      </c>
      <c r="BD1066" s="55" t="s">
        <v>1148</v>
      </c>
      <c r="BE1066" s="55" t="s">
        <v>74</v>
      </c>
      <c r="BF1066" s="55" t="s">
        <v>74</v>
      </c>
      <c r="BG1066" s="55" t="s">
        <v>74</v>
      </c>
      <c r="BH1066" s="52">
        <f t="shared" si="205"/>
        <v>282051.20000000001</v>
      </c>
      <c r="BI1066" s="52">
        <f t="shared" si="206"/>
        <v>5941701.5</v>
      </c>
      <c r="BJ1066" s="52">
        <f>Y1066-AG1066+AX1066</f>
        <v>5659650.2999999998</v>
      </c>
      <c r="BK1066" s="56">
        <v>44317</v>
      </c>
      <c r="BL1066" s="63">
        <f>3749845.74+480000+751855.76+960000</f>
        <v>5941701.5</v>
      </c>
      <c r="BM1066" s="47">
        <v>0</v>
      </c>
      <c r="BN1066" s="9"/>
      <c r="BO1066" s="9"/>
      <c r="BP1066" s="9"/>
      <c r="BQ1066" s="9"/>
      <c r="BR1066" s="9"/>
      <c r="BS1066" s="9"/>
      <c r="BT1066" s="9"/>
      <c r="BU1066" s="9"/>
      <c r="BV1066" s="9"/>
      <c r="BW1066" s="9"/>
    </row>
    <row r="1067" spans="1:75" hidden="1" outlineLevel="2" x14ac:dyDescent="0.25">
      <c r="A1067" s="43" t="s">
        <v>1073</v>
      </c>
      <c r="B1067" s="110" t="s">
        <v>1139</v>
      </c>
      <c r="C1067" s="45">
        <v>2021</v>
      </c>
      <c r="D1067" s="110" t="s">
        <v>83</v>
      </c>
      <c r="E1067" s="47">
        <v>3467794.54</v>
      </c>
      <c r="F1067" s="47">
        <v>2191855.7599999998</v>
      </c>
      <c r="G1067" s="47"/>
      <c r="H1067" s="47"/>
      <c r="I1067" s="47"/>
      <c r="J1067" s="47"/>
      <c r="K1067" s="47"/>
      <c r="L1067" s="47"/>
      <c r="M1067" s="47"/>
      <c r="N1067" s="47"/>
      <c r="O1067" s="47"/>
      <c r="P1067" s="47"/>
      <c r="Q1067" s="47"/>
      <c r="R1067" s="47"/>
      <c r="S1067" s="47"/>
      <c r="T1067" s="47"/>
      <c r="U1067" s="47"/>
      <c r="V1067" s="47"/>
      <c r="W1067" s="47">
        <v>0</v>
      </c>
      <c r="X1067" s="47">
        <v>0</v>
      </c>
      <c r="Y1067" s="48">
        <f t="shared" si="201"/>
        <v>5659650.2999999998</v>
      </c>
      <c r="Z1067" s="80">
        <v>0</v>
      </c>
      <c r="AA1067" s="50">
        <v>0</v>
      </c>
      <c r="AB1067" s="50">
        <v>0</v>
      </c>
      <c r="AC1067" s="50">
        <v>0</v>
      </c>
      <c r="AD1067" s="50">
        <v>0</v>
      </c>
      <c r="AE1067" s="50">
        <v>0</v>
      </c>
      <c r="AF1067" s="50">
        <v>0</v>
      </c>
      <c r="AG1067" s="49">
        <f t="shared" si="202"/>
        <v>0</v>
      </c>
      <c r="AH1067" s="51" t="s">
        <v>74</v>
      </c>
      <c r="AI1067" s="51" t="s">
        <v>74</v>
      </c>
      <c r="AJ1067" s="51" t="s">
        <v>74</v>
      </c>
      <c r="AK1067" s="51" t="s">
        <v>74</v>
      </c>
      <c r="AL1067" s="51" t="s">
        <v>74</v>
      </c>
      <c r="AM1067" s="51" t="s">
        <v>74</v>
      </c>
      <c r="AN1067" s="52"/>
      <c r="AO1067" s="52"/>
      <c r="AP1067" s="52"/>
      <c r="AQ1067" s="52"/>
      <c r="AR1067" s="52"/>
      <c r="AS1067" s="52">
        <f t="shared" si="203"/>
        <v>0</v>
      </c>
      <c r="AT1067" s="53" t="s">
        <v>74</v>
      </c>
      <c r="AU1067" s="52"/>
      <c r="AV1067" s="52"/>
      <c r="AW1067" s="52"/>
      <c r="AX1067" s="52"/>
      <c r="AY1067" s="52"/>
      <c r="AZ1067" s="52"/>
      <c r="BA1067" s="52">
        <f t="shared" si="204"/>
        <v>0</v>
      </c>
      <c r="BB1067" s="54" t="s">
        <v>74</v>
      </c>
      <c r="BC1067" s="53" t="s">
        <v>74</v>
      </c>
      <c r="BD1067" s="55" t="s">
        <v>74</v>
      </c>
      <c r="BE1067" s="55" t="s">
        <v>74</v>
      </c>
      <c r="BF1067" s="55" t="s">
        <v>74</v>
      </c>
      <c r="BG1067" s="55" t="s">
        <v>74</v>
      </c>
      <c r="BH1067" s="52">
        <f t="shared" si="205"/>
        <v>0</v>
      </c>
      <c r="BI1067" s="52">
        <f t="shared" si="206"/>
        <v>5659650.2999999998</v>
      </c>
      <c r="BJ1067" s="52">
        <f>Y1067-AG1067+AX1067</f>
        <v>5659650.2999999998</v>
      </c>
      <c r="BK1067" s="56">
        <v>44348</v>
      </c>
      <c r="BL1067" s="57">
        <f>3467794.54+2191855.76</f>
        <v>5659650.2999999998</v>
      </c>
      <c r="BM1067" s="47">
        <v>0</v>
      </c>
      <c r="BN1067" s="9"/>
      <c r="BO1067" s="9"/>
      <c r="BP1067" s="9"/>
      <c r="BQ1067" s="9"/>
      <c r="BR1067" s="9"/>
      <c r="BS1067" s="9"/>
      <c r="BT1067" s="9"/>
      <c r="BU1067" s="9"/>
      <c r="BV1067" s="9"/>
      <c r="BW1067" s="9"/>
    </row>
    <row r="1068" spans="1:75" ht="102.75" hidden="1" outlineLevel="2" x14ac:dyDescent="0.25">
      <c r="A1068" s="43" t="s">
        <v>1073</v>
      </c>
      <c r="B1068" s="110" t="s">
        <v>1139</v>
      </c>
      <c r="C1068" s="45">
        <v>2021</v>
      </c>
      <c r="D1068" s="110" t="s">
        <v>84</v>
      </c>
      <c r="E1068" s="47">
        <f>6818184.8+231186.3</f>
        <v>7049371.0999999996</v>
      </c>
      <c r="F1068" s="47">
        <v>144201.04</v>
      </c>
      <c r="G1068" s="47"/>
      <c r="H1068" s="47"/>
      <c r="I1068" s="47"/>
      <c r="J1068" s="47"/>
      <c r="K1068" s="47"/>
      <c r="L1068" s="47"/>
      <c r="M1068" s="47"/>
      <c r="N1068" s="47"/>
      <c r="O1068" s="47"/>
      <c r="P1068" s="47"/>
      <c r="Q1068" s="47"/>
      <c r="R1068" s="47"/>
      <c r="S1068" s="47"/>
      <c r="T1068" s="47"/>
      <c r="U1068" s="47"/>
      <c r="V1068" s="47"/>
      <c r="W1068" s="47">
        <v>0</v>
      </c>
      <c r="X1068" s="47">
        <v>0</v>
      </c>
      <c r="Y1068" s="48">
        <f t="shared" si="201"/>
        <v>7193572.1399999997</v>
      </c>
      <c r="Z1068" s="49">
        <v>0</v>
      </c>
      <c r="AA1068" s="50">
        <v>0</v>
      </c>
      <c r="AB1068" s="50">
        <v>0</v>
      </c>
      <c r="AC1068" s="50">
        <v>0</v>
      </c>
      <c r="AD1068" s="62">
        <v>62949.99</v>
      </c>
      <c r="AE1068" s="50">
        <v>0</v>
      </c>
      <c r="AF1068" s="50">
        <v>0</v>
      </c>
      <c r="AG1068" s="49">
        <f t="shared" si="202"/>
        <v>62949.99</v>
      </c>
      <c r="AH1068" s="51" t="s">
        <v>74</v>
      </c>
      <c r="AI1068" s="51" t="s">
        <v>74</v>
      </c>
      <c r="AJ1068" s="51" t="s">
        <v>74</v>
      </c>
      <c r="AK1068" s="51" t="s">
        <v>1149</v>
      </c>
      <c r="AL1068" s="51" t="s">
        <v>74</v>
      </c>
      <c r="AM1068" s="51" t="s">
        <v>74</v>
      </c>
      <c r="AN1068" s="52"/>
      <c r="AO1068" s="52"/>
      <c r="AP1068" s="52"/>
      <c r="AQ1068" s="52"/>
      <c r="AR1068" s="52"/>
      <c r="AS1068" s="52">
        <f t="shared" si="203"/>
        <v>0</v>
      </c>
      <c r="AT1068" s="53" t="s">
        <v>74</v>
      </c>
      <c r="AU1068" s="52"/>
      <c r="AV1068" s="52"/>
      <c r="AW1068" s="68">
        <v>93600</v>
      </c>
      <c r="AX1068" s="52"/>
      <c r="AY1068" s="52"/>
      <c r="AZ1068" s="52"/>
      <c r="BA1068" s="52">
        <f t="shared" si="204"/>
        <v>93600</v>
      </c>
      <c r="BB1068" s="54" t="s">
        <v>74</v>
      </c>
      <c r="BC1068" s="53" t="s">
        <v>74</v>
      </c>
      <c r="BD1068" s="55" t="s">
        <v>1150</v>
      </c>
      <c r="BE1068" s="55" t="s">
        <v>74</v>
      </c>
      <c r="BF1068" s="55" t="s">
        <v>74</v>
      </c>
      <c r="BG1068" s="55" t="s">
        <v>74</v>
      </c>
      <c r="BH1068" s="52">
        <f t="shared" si="205"/>
        <v>93600</v>
      </c>
      <c r="BI1068" s="52">
        <f t="shared" si="206"/>
        <v>7224222.1499999994</v>
      </c>
      <c r="BJ1068" s="52">
        <f>Y1068-AG1068+AX1068</f>
        <v>7130622.1499999994</v>
      </c>
      <c r="BK1068" s="56">
        <v>44378</v>
      </c>
      <c r="BL1068" s="63">
        <f>6818184.8+93600+144201.04+168236.31</f>
        <v>7224222.1499999994</v>
      </c>
      <c r="BM1068" s="47">
        <v>0</v>
      </c>
      <c r="BN1068" s="9"/>
      <c r="BO1068" s="9"/>
      <c r="BP1068" s="9"/>
      <c r="BQ1068" s="9"/>
      <c r="BR1068" s="9"/>
      <c r="BS1068" s="9"/>
      <c r="BT1068" s="9"/>
      <c r="BU1068" s="9"/>
      <c r="BV1068" s="9"/>
      <c r="BW1068" s="9"/>
    </row>
    <row r="1069" spans="1:75" ht="77.25" hidden="1" outlineLevel="2" x14ac:dyDescent="0.25">
      <c r="A1069" s="43" t="s">
        <v>1073</v>
      </c>
      <c r="B1069" s="110" t="s">
        <v>1139</v>
      </c>
      <c r="C1069" s="45">
        <v>2021</v>
      </c>
      <c r="D1069" s="110" t="s">
        <v>86</v>
      </c>
      <c r="E1069" s="47">
        <v>7305198</v>
      </c>
      <c r="F1069" s="47"/>
      <c r="G1069" s="47"/>
      <c r="H1069" s="47"/>
      <c r="I1069" s="47"/>
      <c r="J1069" s="47"/>
      <c r="K1069" s="47"/>
      <c r="L1069" s="47"/>
      <c r="M1069" s="47"/>
      <c r="N1069" s="47"/>
      <c r="O1069" s="47"/>
      <c r="P1069" s="47"/>
      <c r="Q1069" s="47"/>
      <c r="R1069" s="47"/>
      <c r="S1069" s="47"/>
      <c r="T1069" s="47"/>
      <c r="U1069" s="47"/>
      <c r="V1069" s="47"/>
      <c r="W1069" s="47">
        <v>0</v>
      </c>
      <c r="X1069" s="47">
        <v>0</v>
      </c>
      <c r="Y1069" s="48">
        <f t="shared" si="201"/>
        <v>7305198</v>
      </c>
      <c r="Z1069" s="49"/>
      <c r="AA1069" s="50"/>
      <c r="AB1069" s="50"/>
      <c r="AC1069" s="50"/>
      <c r="AD1069" s="148">
        <f>43337.32+36730.89</f>
        <v>80068.209999999992</v>
      </c>
      <c r="AE1069" s="50"/>
      <c r="AF1069" s="50"/>
      <c r="AG1069" s="49">
        <f t="shared" si="202"/>
        <v>80068.209999999992</v>
      </c>
      <c r="AH1069" s="70" t="s">
        <v>74</v>
      </c>
      <c r="AI1069" s="70" t="s">
        <v>74</v>
      </c>
      <c r="AJ1069" s="70" t="s">
        <v>74</v>
      </c>
      <c r="AK1069" s="193" t="s">
        <v>1151</v>
      </c>
      <c r="AL1069" s="70" t="s">
        <v>74</v>
      </c>
      <c r="AM1069" s="70" t="s">
        <v>74</v>
      </c>
      <c r="AN1069" s="52"/>
      <c r="AO1069" s="52"/>
      <c r="AP1069" s="52"/>
      <c r="AQ1069" s="52"/>
      <c r="AR1069" s="52"/>
      <c r="AS1069" s="52"/>
      <c r="AT1069" s="70" t="s">
        <v>74</v>
      </c>
      <c r="AU1069" s="52"/>
      <c r="AV1069" s="52"/>
      <c r="AW1069" s="68"/>
      <c r="AX1069" s="52"/>
      <c r="AY1069" s="52"/>
      <c r="AZ1069" s="52"/>
      <c r="BA1069" s="52">
        <f t="shared" si="204"/>
        <v>0</v>
      </c>
      <c r="BB1069" s="52" t="s">
        <v>74</v>
      </c>
      <c r="BC1069" s="52" t="s">
        <v>74</v>
      </c>
      <c r="BD1069" s="52" t="s">
        <v>74</v>
      </c>
      <c r="BE1069" s="52" t="s">
        <v>74</v>
      </c>
      <c r="BF1069" s="52" t="s">
        <v>74</v>
      </c>
      <c r="BG1069" s="52"/>
      <c r="BH1069" s="52">
        <f t="shared" si="205"/>
        <v>0</v>
      </c>
      <c r="BI1069" s="52">
        <f t="shared" si="206"/>
        <v>7225129.79</v>
      </c>
      <c r="BJ1069" s="52">
        <f>Y1069-AG1069+AX1069</f>
        <v>7225129.79</v>
      </c>
      <c r="BK1069" s="56">
        <v>44409</v>
      </c>
      <c r="BL1069" s="63">
        <f>7205198+19931.79</f>
        <v>7225129.79</v>
      </c>
      <c r="BM1069" s="47">
        <v>0</v>
      </c>
      <c r="BN1069" s="9"/>
      <c r="BO1069" s="9"/>
      <c r="BP1069" s="9"/>
      <c r="BQ1069" s="9"/>
      <c r="BR1069" s="9"/>
      <c r="BS1069" s="9"/>
      <c r="BT1069" s="9"/>
      <c r="BU1069" s="9"/>
      <c r="BV1069" s="9"/>
      <c r="BW1069" s="9"/>
    </row>
    <row r="1070" spans="1:75" hidden="1" outlineLevel="2" x14ac:dyDescent="0.25">
      <c r="A1070" s="43" t="s">
        <v>1073</v>
      </c>
      <c r="B1070" s="110" t="s">
        <v>1139</v>
      </c>
      <c r="C1070" s="45">
        <v>2021</v>
      </c>
      <c r="D1070" s="110" t="s">
        <v>88</v>
      </c>
      <c r="E1070" s="47">
        <v>7305198</v>
      </c>
      <c r="F1070" s="47"/>
      <c r="G1070" s="47"/>
      <c r="H1070" s="47"/>
      <c r="I1070" s="47"/>
      <c r="J1070" s="47"/>
      <c r="K1070" s="47"/>
      <c r="L1070" s="47"/>
      <c r="M1070" s="47"/>
      <c r="N1070" s="47"/>
      <c r="O1070" s="47"/>
      <c r="P1070" s="47"/>
      <c r="Q1070" s="47"/>
      <c r="R1070" s="47"/>
      <c r="S1070" s="47"/>
      <c r="T1070" s="47"/>
      <c r="U1070" s="47"/>
      <c r="V1070" s="47"/>
      <c r="W1070" s="47">
        <v>0</v>
      </c>
      <c r="X1070" s="47">
        <v>0</v>
      </c>
      <c r="Y1070" s="48">
        <f t="shared" si="201"/>
        <v>7305198</v>
      </c>
      <c r="Z1070" s="102"/>
      <c r="AA1070" s="50"/>
      <c r="AB1070" s="50"/>
      <c r="AC1070" s="50"/>
      <c r="AD1070" s="62">
        <v>100000</v>
      </c>
      <c r="AE1070" s="50"/>
      <c r="AF1070" s="50"/>
      <c r="AG1070" s="49">
        <f t="shared" si="202"/>
        <v>100000</v>
      </c>
      <c r="AH1070" s="70" t="s">
        <v>74</v>
      </c>
      <c r="AI1070" s="70" t="s">
        <v>74</v>
      </c>
      <c r="AJ1070" s="70" t="s">
        <v>74</v>
      </c>
      <c r="AK1070" s="51" t="s">
        <v>595</v>
      </c>
      <c r="AL1070" s="70" t="s">
        <v>74</v>
      </c>
      <c r="AM1070" s="70" t="s">
        <v>74</v>
      </c>
      <c r="AN1070" s="52"/>
      <c r="AO1070" s="52"/>
      <c r="AP1070" s="52"/>
      <c r="AQ1070" s="52"/>
      <c r="AR1070" s="52"/>
      <c r="AS1070" s="52"/>
      <c r="AT1070" s="70" t="s">
        <v>74</v>
      </c>
      <c r="AU1070" s="52"/>
      <c r="AV1070" s="52"/>
      <c r="AW1070" s="68"/>
      <c r="AX1070" s="52"/>
      <c r="AY1070" s="52"/>
      <c r="AZ1070" s="52"/>
      <c r="BA1070" s="52">
        <f t="shared" si="204"/>
        <v>0</v>
      </c>
      <c r="BB1070" s="52" t="s">
        <v>74</v>
      </c>
      <c r="BC1070" s="52" t="s">
        <v>74</v>
      </c>
      <c r="BD1070" s="52" t="s">
        <v>74</v>
      </c>
      <c r="BE1070" s="52" t="s">
        <v>74</v>
      </c>
      <c r="BF1070" s="52" t="s">
        <v>74</v>
      </c>
      <c r="BG1070" s="52"/>
      <c r="BH1070" s="52">
        <f t="shared" si="205"/>
        <v>0</v>
      </c>
      <c r="BI1070" s="52">
        <f t="shared" si="206"/>
        <v>7205198</v>
      </c>
      <c r="BJ1070" s="52">
        <f>Y1070-AG1070+AX1070</f>
        <v>7205198</v>
      </c>
      <c r="BK1070" s="56">
        <v>44440</v>
      </c>
      <c r="BL1070" s="63">
        <v>7205198</v>
      </c>
      <c r="BM1070" s="47">
        <v>0</v>
      </c>
      <c r="BN1070" s="9"/>
      <c r="BO1070" s="9"/>
      <c r="BP1070" s="9"/>
      <c r="BQ1070" s="9"/>
      <c r="BR1070" s="9"/>
      <c r="BS1070" s="9"/>
      <c r="BT1070" s="9"/>
      <c r="BU1070" s="9"/>
      <c r="BV1070" s="9"/>
      <c r="BW1070" s="9"/>
    </row>
    <row r="1071" spans="1:75" hidden="1" outlineLevel="2" x14ac:dyDescent="0.25">
      <c r="A1071" s="71" t="s">
        <v>1073</v>
      </c>
      <c r="B1071" s="116" t="s">
        <v>1139</v>
      </c>
      <c r="C1071" s="73">
        <v>2021</v>
      </c>
      <c r="D1071" s="116" t="s">
        <v>89</v>
      </c>
      <c r="E1071" s="75">
        <v>7305198</v>
      </c>
      <c r="F1071" s="75"/>
      <c r="G1071" s="75"/>
      <c r="H1071" s="75"/>
      <c r="I1071" s="75"/>
      <c r="J1071" s="75"/>
      <c r="K1071" s="75"/>
      <c r="L1071" s="75"/>
      <c r="M1071" s="75"/>
      <c r="N1071" s="75"/>
      <c r="O1071" s="75"/>
      <c r="P1071" s="75"/>
      <c r="Q1071" s="75"/>
      <c r="R1071" s="75"/>
      <c r="S1071" s="75"/>
      <c r="T1071" s="75"/>
      <c r="U1071" s="75"/>
      <c r="V1071" s="75"/>
      <c r="W1071" s="75">
        <v>0</v>
      </c>
      <c r="X1071" s="75">
        <v>0</v>
      </c>
      <c r="Y1071" s="76">
        <f t="shared" si="201"/>
        <v>7305198</v>
      </c>
      <c r="Z1071" s="80"/>
      <c r="AA1071" s="79"/>
      <c r="AB1071" s="79"/>
      <c r="AC1071" s="79"/>
      <c r="AD1071" s="78">
        <v>100000</v>
      </c>
      <c r="AE1071" s="79"/>
      <c r="AF1071" s="79"/>
      <c r="AG1071" s="80">
        <f t="shared" si="202"/>
        <v>100000</v>
      </c>
      <c r="AH1071" s="81" t="s">
        <v>74</v>
      </c>
      <c r="AI1071" s="81" t="s">
        <v>74</v>
      </c>
      <c r="AJ1071" s="81" t="s">
        <v>74</v>
      </c>
      <c r="AK1071" s="123" t="s">
        <v>595</v>
      </c>
      <c r="AL1071" s="81" t="s">
        <v>74</v>
      </c>
      <c r="AM1071" s="81" t="s">
        <v>74</v>
      </c>
      <c r="AN1071" s="82"/>
      <c r="AO1071" s="82"/>
      <c r="AP1071" s="82"/>
      <c r="AQ1071" s="82"/>
      <c r="AR1071" s="82"/>
      <c r="AS1071" s="82"/>
      <c r="AT1071" s="81" t="s">
        <v>74</v>
      </c>
      <c r="AU1071" s="82"/>
      <c r="AV1071" s="82"/>
      <c r="AW1071" s="119"/>
      <c r="AX1071" s="82"/>
      <c r="AY1071" s="82"/>
      <c r="AZ1071" s="82"/>
      <c r="BA1071" s="82">
        <f t="shared" si="204"/>
        <v>0</v>
      </c>
      <c r="BB1071" s="82" t="s">
        <v>74</v>
      </c>
      <c r="BC1071" s="82" t="s">
        <v>74</v>
      </c>
      <c r="BD1071" s="82" t="s">
        <v>74</v>
      </c>
      <c r="BE1071" s="82" t="s">
        <v>74</v>
      </c>
      <c r="BF1071" s="82" t="s">
        <v>74</v>
      </c>
      <c r="BG1071" s="82"/>
      <c r="BH1071" s="82">
        <f t="shared" si="205"/>
        <v>0</v>
      </c>
      <c r="BI1071" s="82">
        <f t="shared" si="206"/>
        <v>7205198</v>
      </c>
      <c r="BJ1071" s="52">
        <v>0</v>
      </c>
      <c r="BK1071" s="56">
        <v>44470</v>
      </c>
      <c r="BL1071" s="83"/>
      <c r="BM1071" s="75">
        <f>BI1071-BL1071</f>
        <v>7205198</v>
      </c>
      <c r="BN1071" s="9"/>
      <c r="BO1071" s="9"/>
      <c r="BP1071" s="9"/>
      <c r="BQ1071" s="9"/>
      <c r="BR1071" s="9"/>
      <c r="BS1071" s="9"/>
      <c r="BT1071" s="9"/>
      <c r="BU1071" s="9"/>
      <c r="BV1071" s="9"/>
      <c r="BW1071" s="9"/>
    </row>
    <row r="1072" spans="1:75" hidden="1" outlineLevel="1" collapsed="1" x14ac:dyDescent="0.25">
      <c r="A1072" s="84"/>
      <c r="B1072" s="120" t="s">
        <v>1152</v>
      </c>
      <c r="C1072" s="86"/>
      <c r="D1072" s="120"/>
      <c r="E1072" s="88"/>
      <c r="F1072" s="88"/>
      <c r="G1072" s="88"/>
      <c r="H1072" s="88"/>
      <c r="I1072" s="88"/>
      <c r="J1072" s="88"/>
      <c r="K1072" s="88"/>
      <c r="L1072" s="88"/>
      <c r="M1072" s="88"/>
      <c r="N1072" s="88"/>
      <c r="O1072" s="88"/>
      <c r="P1072" s="88"/>
      <c r="Q1072" s="88"/>
      <c r="R1072" s="88"/>
      <c r="S1072" s="88"/>
      <c r="T1072" s="88"/>
      <c r="U1072" s="88"/>
      <c r="V1072" s="88"/>
      <c r="W1072" s="88"/>
      <c r="X1072" s="88"/>
      <c r="Y1072" s="89">
        <f t="shared" ref="Y1072:AG1072" si="207">SUBTOTAL(9,Y1054:Y1071)</f>
        <v>0</v>
      </c>
      <c r="Z1072" s="89">
        <f t="shared" si="207"/>
        <v>0</v>
      </c>
      <c r="AA1072" s="89">
        <f t="shared" si="207"/>
        <v>0</v>
      </c>
      <c r="AB1072" s="89">
        <f t="shared" si="207"/>
        <v>0</v>
      </c>
      <c r="AC1072" s="89">
        <f t="shared" si="207"/>
        <v>0</v>
      </c>
      <c r="AD1072" s="90">
        <f t="shared" si="207"/>
        <v>0</v>
      </c>
      <c r="AE1072" s="89">
        <f t="shared" si="207"/>
        <v>0</v>
      </c>
      <c r="AF1072" s="89">
        <f t="shared" si="207"/>
        <v>0</v>
      </c>
      <c r="AG1072" s="89">
        <f t="shared" si="207"/>
        <v>0</v>
      </c>
      <c r="AH1072" s="91"/>
      <c r="AI1072" s="91"/>
      <c r="AJ1072" s="91"/>
      <c r="AK1072" s="129"/>
      <c r="AL1072" s="91"/>
      <c r="AM1072" s="91"/>
      <c r="AN1072" s="92">
        <f t="shared" ref="AN1072:AS1072" si="208">SUBTOTAL(9,AN1054:AN1071)</f>
        <v>0</v>
      </c>
      <c r="AO1072" s="92">
        <f t="shared" si="208"/>
        <v>0</v>
      </c>
      <c r="AP1072" s="92">
        <f t="shared" si="208"/>
        <v>0</v>
      </c>
      <c r="AQ1072" s="92">
        <f t="shared" si="208"/>
        <v>0</v>
      </c>
      <c r="AR1072" s="92">
        <f t="shared" si="208"/>
        <v>0</v>
      </c>
      <c r="AS1072" s="92">
        <f t="shared" si="208"/>
        <v>0</v>
      </c>
      <c r="AT1072" s="91"/>
      <c r="AU1072" s="92">
        <f t="shared" ref="AU1072:BA1072" si="209">SUBTOTAL(9,AU1054:AU1071)</f>
        <v>0</v>
      </c>
      <c r="AV1072" s="92">
        <f t="shared" si="209"/>
        <v>0</v>
      </c>
      <c r="AW1072" s="122">
        <f t="shared" si="209"/>
        <v>0</v>
      </c>
      <c r="AX1072" s="92">
        <f t="shared" si="209"/>
        <v>0</v>
      </c>
      <c r="AY1072" s="92">
        <f t="shared" si="209"/>
        <v>0</v>
      </c>
      <c r="AZ1072" s="92">
        <f t="shared" si="209"/>
        <v>0</v>
      </c>
      <c r="BA1072" s="92">
        <f t="shared" si="209"/>
        <v>0</v>
      </c>
      <c r="BB1072" s="92"/>
      <c r="BC1072" s="92"/>
      <c r="BD1072" s="92"/>
      <c r="BE1072" s="92"/>
      <c r="BF1072" s="92"/>
      <c r="BG1072" s="92"/>
      <c r="BH1072" s="92">
        <f>SUBTOTAL(9,BH1054:BH1071)</f>
        <v>0</v>
      </c>
      <c r="BI1072" s="92">
        <f>SUBTOTAL(9,BI1054:BI1071)</f>
        <v>0</v>
      </c>
      <c r="BJ1072" s="93"/>
      <c r="BK1072" s="94"/>
      <c r="BL1072" s="95">
        <f>SUBTOTAL(9,BL1054:BL1071)</f>
        <v>0</v>
      </c>
      <c r="BM1072" s="88">
        <f>SUBTOTAL(9,BM1054:BM1071)</f>
        <v>0</v>
      </c>
      <c r="BN1072" s="9"/>
      <c r="BO1072" s="9"/>
      <c r="BP1072" s="9"/>
      <c r="BQ1072" s="9"/>
      <c r="BR1072" s="9"/>
      <c r="BS1072" s="9"/>
      <c r="BT1072" s="9"/>
      <c r="BU1072" s="9"/>
      <c r="BV1072" s="9"/>
      <c r="BW1072" s="9"/>
    </row>
    <row r="1073" spans="1:75" hidden="1" outlineLevel="2" x14ac:dyDescent="0.25">
      <c r="A1073" s="96" t="s">
        <v>1073</v>
      </c>
      <c r="B1073" s="97" t="s">
        <v>1153</v>
      </c>
      <c r="C1073" s="98">
        <v>2020</v>
      </c>
      <c r="D1073" s="97" t="s">
        <v>81</v>
      </c>
      <c r="E1073" s="210">
        <v>1723573.19</v>
      </c>
      <c r="F1073" s="100">
        <v>0</v>
      </c>
      <c r="G1073" s="100">
        <v>0</v>
      </c>
      <c r="H1073" s="100">
        <v>0</v>
      </c>
      <c r="I1073" s="100">
        <v>0</v>
      </c>
      <c r="J1073" s="100">
        <v>0</v>
      </c>
      <c r="K1073" s="100">
        <v>0</v>
      </c>
      <c r="L1073" s="100">
        <v>0</v>
      </c>
      <c r="M1073" s="100">
        <v>0</v>
      </c>
      <c r="N1073" s="100">
        <v>0</v>
      </c>
      <c r="O1073" s="100">
        <v>0</v>
      </c>
      <c r="P1073" s="100">
        <v>0</v>
      </c>
      <c r="Q1073" s="100">
        <v>0</v>
      </c>
      <c r="R1073" s="100">
        <v>0</v>
      </c>
      <c r="S1073" s="100">
        <v>0</v>
      </c>
      <c r="T1073" s="100">
        <v>0</v>
      </c>
      <c r="U1073" s="100">
        <v>0</v>
      </c>
      <c r="V1073" s="100">
        <v>0</v>
      </c>
      <c r="W1073" s="100">
        <v>0</v>
      </c>
      <c r="X1073" s="100">
        <v>0</v>
      </c>
      <c r="Y1073" s="101">
        <v>1723573.19</v>
      </c>
      <c r="Z1073" s="102">
        <v>0</v>
      </c>
      <c r="AA1073" s="103">
        <v>0</v>
      </c>
      <c r="AB1073" s="103">
        <v>0</v>
      </c>
      <c r="AC1073" s="103">
        <v>0</v>
      </c>
      <c r="AD1073" s="103">
        <v>0</v>
      </c>
      <c r="AE1073" s="103">
        <v>0</v>
      </c>
      <c r="AF1073" s="103">
        <v>0</v>
      </c>
      <c r="AG1073" s="102">
        <v>0</v>
      </c>
      <c r="AH1073" s="106" t="s">
        <v>74</v>
      </c>
      <c r="AI1073" s="104" t="s">
        <v>74</v>
      </c>
      <c r="AJ1073" s="104" t="s">
        <v>74</v>
      </c>
      <c r="AK1073" s="104" t="s">
        <v>74</v>
      </c>
      <c r="AL1073" s="104" t="s">
        <v>74</v>
      </c>
      <c r="AM1073" s="104" t="s">
        <v>74</v>
      </c>
      <c r="AN1073" s="105">
        <v>0</v>
      </c>
      <c r="AO1073" s="105">
        <v>0</v>
      </c>
      <c r="AP1073" s="105">
        <v>0</v>
      </c>
      <c r="AQ1073" s="105">
        <v>0</v>
      </c>
      <c r="AR1073" s="105">
        <v>0</v>
      </c>
      <c r="AS1073" s="105">
        <v>0</v>
      </c>
      <c r="AT1073" s="106" t="s">
        <v>74</v>
      </c>
      <c r="AU1073" s="105">
        <v>0</v>
      </c>
      <c r="AV1073" s="105"/>
      <c r="AW1073" s="105">
        <v>0</v>
      </c>
      <c r="AX1073" s="105"/>
      <c r="AY1073" s="105"/>
      <c r="AZ1073" s="105">
        <v>0</v>
      </c>
      <c r="BA1073" s="105">
        <v>0</v>
      </c>
      <c r="BB1073" s="107" t="s">
        <v>74</v>
      </c>
      <c r="BC1073" s="106" t="s">
        <v>74</v>
      </c>
      <c r="BD1073" s="108" t="s">
        <v>74</v>
      </c>
      <c r="BE1073" s="108" t="s">
        <v>74</v>
      </c>
      <c r="BF1073" s="108" t="s">
        <v>74</v>
      </c>
      <c r="BG1073" s="108" t="s">
        <v>74</v>
      </c>
      <c r="BH1073" s="105">
        <v>0</v>
      </c>
      <c r="BI1073" s="105">
        <v>1723573.19</v>
      </c>
      <c r="BJ1073" s="52">
        <v>1723573.19</v>
      </c>
      <c r="BK1073" s="56">
        <v>43952</v>
      </c>
      <c r="BL1073" s="109">
        <v>1723573.19</v>
      </c>
      <c r="BM1073" s="100">
        <v>0</v>
      </c>
      <c r="BN1073" s="9"/>
      <c r="BO1073" s="9"/>
      <c r="BP1073" s="9"/>
      <c r="BQ1073" s="9"/>
      <c r="BR1073" s="9"/>
      <c r="BS1073" s="9"/>
      <c r="BT1073" s="9"/>
      <c r="BU1073" s="9"/>
      <c r="BV1073" s="9"/>
      <c r="BW1073" s="9"/>
    </row>
    <row r="1074" spans="1:75" hidden="1" outlineLevel="2" x14ac:dyDescent="0.25">
      <c r="A1074" s="43" t="s">
        <v>1073</v>
      </c>
      <c r="B1074" s="110" t="s">
        <v>1153</v>
      </c>
      <c r="C1074" s="45">
        <v>2020</v>
      </c>
      <c r="D1074" s="110" t="s">
        <v>83</v>
      </c>
      <c r="E1074" s="134">
        <v>3693371.13</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3693371.13</v>
      </c>
      <c r="Z1074" s="49">
        <v>0</v>
      </c>
      <c r="AA1074" s="50">
        <v>0</v>
      </c>
      <c r="AB1074" s="50">
        <v>0</v>
      </c>
      <c r="AC1074" s="50">
        <v>0</v>
      </c>
      <c r="AD1074" s="50">
        <v>0</v>
      </c>
      <c r="AE1074" s="50">
        <v>0</v>
      </c>
      <c r="AF1074" s="50">
        <v>0</v>
      </c>
      <c r="AG1074" s="49">
        <v>0</v>
      </c>
      <c r="AH1074" s="53" t="s">
        <v>74</v>
      </c>
      <c r="AI1074" s="51" t="s">
        <v>74</v>
      </c>
      <c r="AJ1074" s="51" t="s">
        <v>74</v>
      </c>
      <c r="AK1074" s="51" t="s">
        <v>74</v>
      </c>
      <c r="AL1074" s="51" t="s">
        <v>74</v>
      </c>
      <c r="AM1074" s="51" t="s">
        <v>74</v>
      </c>
      <c r="AN1074" s="52">
        <v>0</v>
      </c>
      <c r="AO1074" s="52">
        <v>0</v>
      </c>
      <c r="AP1074" s="52">
        <v>0</v>
      </c>
      <c r="AQ1074" s="52">
        <v>0</v>
      </c>
      <c r="AR1074" s="52">
        <v>0</v>
      </c>
      <c r="AS1074" s="52">
        <v>0</v>
      </c>
      <c r="AT1074" s="53" t="s">
        <v>74</v>
      </c>
      <c r="AU1074" s="52">
        <v>0</v>
      </c>
      <c r="AV1074" s="52"/>
      <c r="AW1074" s="52">
        <v>0</v>
      </c>
      <c r="AX1074" s="52"/>
      <c r="AY1074" s="52"/>
      <c r="AZ1074" s="52">
        <v>0</v>
      </c>
      <c r="BA1074" s="52">
        <v>0</v>
      </c>
      <c r="BB1074" s="54" t="s">
        <v>74</v>
      </c>
      <c r="BC1074" s="53" t="s">
        <v>74</v>
      </c>
      <c r="BD1074" s="55" t="s">
        <v>74</v>
      </c>
      <c r="BE1074" s="55" t="s">
        <v>74</v>
      </c>
      <c r="BF1074" s="55" t="s">
        <v>74</v>
      </c>
      <c r="BG1074" s="55" t="s">
        <v>74</v>
      </c>
      <c r="BH1074" s="52">
        <v>0</v>
      </c>
      <c r="BI1074" s="52">
        <v>3693371.13</v>
      </c>
      <c r="BJ1074" s="52">
        <v>3693371.13</v>
      </c>
      <c r="BK1074" s="56">
        <v>43983</v>
      </c>
      <c r="BL1074" s="57">
        <v>3693371.13</v>
      </c>
      <c r="BM1074" s="47">
        <v>0</v>
      </c>
      <c r="BN1074" s="9"/>
      <c r="BO1074" s="9"/>
      <c r="BP1074" s="9"/>
      <c r="BQ1074" s="9"/>
      <c r="BR1074" s="9"/>
      <c r="BS1074" s="9"/>
      <c r="BT1074" s="9"/>
      <c r="BU1074" s="9"/>
      <c r="BV1074" s="9"/>
      <c r="BW1074" s="9"/>
    </row>
    <row r="1075" spans="1:75" hidden="1" outlineLevel="2" x14ac:dyDescent="0.25">
      <c r="A1075" s="43" t="s">
        <v>1073</v>
      </c>
      <c r="B1075" s="110" t="s">
        <v>1153</v>
      </c>
      <c r="C1075" s="45">
        <v>2020</v>
      </c>
      <c r="D1075" s="110" t="s">
        <v>84</v>
      </c>
      <c r="E1075" s="134">
        <v>3693371.13</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3693371.13</v>
      </c>
      <c r="Z1075" s="49">
        <v>0</v>
      </c>
      <c r="AA1075" s="50">
        <v>0</v>
      </c>
      <c r="AB1075" s="50">
        <v>0</v>
      </c>
      <c r="AC1075" s="50">
        <v>0</v>
      </c>
      <c r="AD1075" s="50">
        <v>0</v>
      </c>
      <c r="AE1075" s="50">
        <v>0</v>
      </c>
      <c r="AF1075" s="50">
        <v>0</v>
      </c>
      <c r="AG1075" s="49">
        <v>0</v>
      </c>
      <c r="AH1075" s="51" t="s">
        <v>74</v>
      </c>
      <c r="AI1075" s="51" t="s">
        <v>74</v>
      </c>
      <c r="AJ1075" s="51" t="s">
        <v>74</v>
      </c>
      <c r="AK1075" s="51" t="s">
        <v>74</v>
      </c>
      <c r="AL1075" s="51" t="s">
        <v>74</v>
      </c>
      <c r="AM1075" s="51" t="s">
        <v>74</v>
      </c>
      <c r="AN1075" s="52">
        <v>0</v>
      </c>
      <c r="AO1075" s="52">
        <v>0</v>
      </c>
      <c r="AP1075" s="52">
        <v>0</v>
      </c>
      <c r="AQ1075" s="52">
        <v>0</v>
      </c>
      <c r="AR1075" s="52">
        <v>0</v>
      </c>
      <c r="AS1075" s="52">
        <v>0</v>
      </c>
      <c r="AT1075" s="53" t="s">
        <v>74</v>
      </c>
      <c r="AU1075" s="52">
        <v>0</v>
      </c>
      <c r="AV1075" s="52"/>
      <c r="AW1075" s="52">
        <v>0</v>
      </c>
      <c r="AX1075" s="52"/>
      <c r="AY1075" s="52"/>
      <c r="AZ1075" s="52">
        <v>0</v>
      </c>
      <c r="BA1075" s="52">
        <v>0</v>
      </c>
      <c r="BB1075" s="54" t="s">
        <v>74</v>
      </c>
      <c r="BC1075" s="53" t="s">
        <v>74</v>
      </c>
      <c r="BD1075" s="55" t="s">
        <v>74</v>
      </c>
      <c r="BE1075" s="55" t="s">
        <v>74</v>
      </c>
      <c r="BF1075" s="55" t="s">
        <v>74</v>
      </c>
      <c r="BG1075" s="55" t="s">
        <v>74</v>
      </c>
      <c r="BH1075" s="52">
        <v>0</v>
      </c>
      <c r="BI1075" s="52">
        <v>3693371.13</v>
      </c>
      <c r="BJ1075" s="52">
        <v>3693371.13</v>
      </c>
      <c r="BK1075" s="56">
        <v>44013</v>
      </c>
      <c r="BL1075" s="57">
        <v>3693371.13</v>
      </c>
      <c r="BM1075" s="47">
        <v>0</v>
      </c>
      <c r="BN1075" s="9"/>
      <c r="BO1075" s="9"/>
      <c r="BP1075" s="9"/>
      <c r="BQ1075" s="9"/>
      <c r="BR1075" s="9"/>
      <c r="BS1075" s="9"/>
      <c r="BT1075" s="9"/>
      <c r="BU1075" s="9"/>
      <c r="BV1075" s="9"/>
      <c r="BW1075" s="9"/>
    </row>
    <row r="1076" spans="1:75" hidden="1" outlineLevel="2" x14ac:dyDescent="0.25">
      <c r="A1076" s="43" t="s">
        <v>1073</v>
      </c>
      <c r="B1076" s="110" t="s">
        <v>1153</v>
      </c>
      <c r="C1076" s="45">
        <v>2020</v>
      </c>
      <c r="D1076" s="110" t="s">
        <v>86</v>
      </c>
      <c r="E1076" s="134">
        <v>3693371.13</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3693371.13</v>
      </c>
      <c r="Z1076" s="49">
        <v>0</v>
      </c>
      <c r="AA1076" s="50">
        <v>0</v>
      </c>
      <c r="AB1076" s="50">
        <v>0</v>
      </c>
      <c r="AC1076" s="50">
        <v>0</v>
      </c>
      <c r="AD1076" s="50">
        <v>0</v>
      </c>
      <c r="AE1076" s="50">
        <v>0</v>
      </c>
      <c r="AF1076" s="50">
        <v>0</v>
      </c>
      <c r="AG1076" s="49">
        <v>0</v>
      </c>
      <c r="AH1076" s="51" t="s">
        <v>74</v>
      </c>
      <c r="AI1076" s="51" t="s">
        <v>74</v>
      </c>
      <c r="AJ1076" s="51" t="s">
        <v>74</v>
      </c>
      <c r="AK1076" s="51" t="s">
        <v>74</v>
      </c>
      <c r="AL1076" s="51" t="s">
        <v>74</v>
      </c>
      <c r="AM1076" s="51" t="s">
        <v>74</v>
      </c>
      <c r="AN1076" s="52">
        <v>0</v>
      </c>
      <c r="AO1076" s="52">
        <v>0</v>
      </c>
      <c r="AP1076" s="52">
        <v>0</v>
      </c>
      <c r="AQ1076" s="52">
        <v>0</v>
      </c>
      <c r="AR1076" s="52">
        <v>0</v>
      </c>
      <c r="AS1076" s="52">
        <v>0</v>
      </c>
      <c r="AT1076" s="53" t="s">
        <v>74</v>
      </c>
      <c r="AU1076" s="52">
        <v>0</v>
      </c>
      <c r="AV1076" s="52"/>
      <c r="AW1076" s="52">
        <v>0</v>
      </c>
      <c r="AX1076" s="52"/>
      <c r="AY1076" s="52"/>
      <c r="AZ1076" s="52">
        <v>0</v>
      </c>
      <c r="BA1076" s="52">
        <v>0</v>
      </c>
      <c r="BB1076" s="54" t="s">
        <v>74</v>
      </c>
      <c r="BC1076" s="53" t="s">
        <v>74</v>
      </c>
      <c r="BD1076" s="55" t="s">
        <v>74</v>
      </c>
      <c r="BE1076" s="55" t="s">
        <v>74</v>
      </c>
      <c r="BF1076" s="55" t="s">
        <v>74</v>
      </c>
      <c r="BG1076" s="55" t="s">
        <v>74</v>
      </c>
      <c r="BH1076" s="52">
        <v>0</v>
      </c>
      <c r="BI1076" s="52">
        <v>3693371.13</v>
      </c>
      <c r="BJ1076" s="52">
        <v>3693371.13</v>
      </c>
      <c r="BK1076" s="56">
        <v>44044</v>
      </c>
      <c r="BL1076" s="63">
        <v>3693371.13</v>
      </c>
      <c r="BM1076" s="47">
        <v>0</v>
      </c>
      <c r="BN1076" s="9"/>
      <c r="BO1076" s="9"/>
      <c r="BP1076" s="9"/>
      <c r="BQ1076" s="9"/>
      <c r="BR1076" s="9"/>
      <c r="BS1076" s="9"/>
      <c r="BT1076" s="9"/>
      <c r="BU1076" s="9"/>
      <c r="BV1076" s="9"/>
      <c r="BW1076" s="9"/>
    </row>
    <row r="1077" spans="1:75" hidden="1" outlineLevel="2" x14ac:dyDescent="0.25">
      <c r="A1077" s="43" t="s">
        <v>1073</v>
      </c>
      <c r="B1077" s="110" t="s">
        <v>1153</v>
      </c>
      <c r="C1077" s="45">
        <v>2020</v>
      </c>
      <c r="D1077" s="110" t="s">
        <v>88</v>
      </c>
      <c r="E1077" s="134">
        <v>3693371.13</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3693371.13</v>
      </c>
      <c r="Z1077" s="49">
        <v>0</v>
      </c>
      <c r="AA1077" s="50">
        <v>0</v>
      </c>
      <c r="AB1077" s="50">
        <v>0</v>
      </c>
      <c r="AC1077" s="50">
        <v>0</v>
      </c>
      <c r="AD1077" s="50">
        <v>0</v>
      </c>
      <c r="AE1077" s="50">
        <v>0</v>
      </c>
      <c r="AF1077" s="50">
        <v>0</v>
      </c>
      <c r="AG1077" s="49">
        <v>0</v>
      </c>
      <c r="AH1077" s="51" t="s">
        <v>74</v>
      </c>
      <c r="AI1077" s="51" t="s">
        <v>74</v>
      </c>
      <c r="AJ1077" s="51" t="s">
        <v>74</v>
      </c>
      <c r="AK1077" s="51" t="s">
        <v>74</v>
      </c>
      <c r="AL1077" s="51" t="s">
        <v>74</v>
      </c>
      <c r="AM1077" s="51" t="s">
        <v>74</v>
      </c>
      <c r="AN1077" s="52">
        <v>0</v>
      </c>
      <c r="AO1077" s="52">
        <v>0</v>
      </c>
      <c r="AP1077" s="52">
        <v>0</v>
      </c>
      <c r="AQ1077" s="52">
        <v>0</v>
      </c>
      <c r="AR1077" s="52">
        <v>0</v>
      </c>
      <c r="AS1077" s="52">
        <v>0</v>
      </c>
      <c r="AT1077" s="53" t="s">
        <v>74</v>
      </c>
      <c r="AU1077" s="52">
        <v>0</v>
      </c>
      <c r="AV1077" s="52"/>
      <c r="AW1077" s="52">
        <v>0</v>
      </c>
      <c r="AX1077" s="52"/>
      <c r="AY1077" s="52"/>
      <c r="AZ1077" s="52">
        <v>0</v>
      </c>
      <c r="BA1077" s="52">
        <v>0</v>
      </c>
      <c r="BB1077" s="54" t="s">
        <v>74</v>
      </c>
      <c r="BC1077" s="53" t="s">
        <v>74</v>
      </c>
      <c r="BD1077" s="55" t="s">
        <v>74</v>
      </c>
      <c r="BE1077" s="55" t="s">
        <v>74</v>
      </c>
      <c r="BF1077" s="55" t="s">
        <v>74</v>
      </c>
      <c r="BG1077" s="55" t="s">
        <v>74</v>
      </c>
      <c r="BH1077" s="52">
        <v>0</v>
      </c>
      <c r="BI1077" s="52">
        <v>3693371.13</v>
      </c>
      <c r="BJ1077" s="52">
        <v>3693371.13</v>
      </c>
      <c r="BK1077" s="56">
        <v>44075</v>
      </c>
      <c r="BL1077" s="63">
        <v>3693371.13</v>
      </c>
      <c r="BM1077" s="47">
        <v>0</v>
      </c>
      <c r="BN1077" s="9"/>
      <c r="BO1077" s="9"/>
      <c r="BP1077" s="9"/>
      <c r="BQ1077" s="9"/>
      <c r="BR1077" s="9"/>
      <c r="BS1077" s="9"/>
      <c r="BT1077" s="9"/>
      <c r="BU1077" s="9"/>
      <c r="BV1077" s="9"/>
      <c r="BW1077" s="9"/>
    </row>
    <row r="1078" spans="1:75" hidden="1" outlineLevel="2" x14ac:dyDescent="0.25">
      <c r="A1078" s="43" t="s">
        <v>1073</v>
      </c>
      <c r="B1078" s="110" t="s">
        <v>1153</v>
      </c>
      <c r="C1078" s="45">
        <v>2020</v>
      </c>
      <c r="D1078" s="110" t="s">
        <v>89</v>
      </c>
      <c r="E1078" s="134">
        <v>3693371.13</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3693371.13</v>
      </c>
      <c r="Z1078" s="49">
        <v>0</v>
      </c>
      <c r="AA1078" s="50">
        <v>0</v>
      </c>
      <c r="AB1078" s="50">
        <v>0</v>
      </c>
      <c r="AC1078" s="50">
        <v>0</v>
      </c>
      <c r="AD1078" s="50">
        <v>0</v>
      </c>
      <c r="AE1078" s="50">
        <v>0</v>
      </c>
      <c r="AF1078" s="50">
        <v>0</v>
      </c>
      <c r="AG1078" s="49">
        <v>0</v>
      </c>
      <c r="AH1078" s="51" t="s">
        <v>74</v>
      </c>
      <c r="AI1078" s="51" t="s">
        <v>74</v>
      </c>
      <c r="AJ1078" s="51" t="s">
        <v>74</v>
      </c>
      <c r="AK1078" s="51" t="s">
        <v>74</v>
      </c>
      <c r="AL1078" s="51" t="s">
        <v>74</v>
      </c>
      <c r="AM1078" s="51" t="s">
        <v>74</v>
      </c>
      <c r="AN1078" s="52">
        <v>0</v>
      </c>
      <c r="AO1078" s="52">
        <v>0</v>
      </c>
      <c r="AP1078" s="52">
        <v>0</v>
      </c>
      <c r="AQ1078" s="52">
        <v>0</v>
      </c>
      <c r="AR1078" s="52">
        <v>0</v>
      </c>
      <c r="AS1078" s="52">
        <v>0</v>
      </c>
      <c r="AT1078" s="53" t="s">
        <v>74</v>
      </c>
      <c r="AU1078" s="52">
        <v>0</v>
      </c>
      <c r="AV1078" s="52"/>
      <c r="AW1078" s="52">
        <v>0</v>
      </c>
      <c r="AX1078" s="52"/>
      <c r="AY1078" s="52"/>
      <c r="AZ1078" s="52">
        <v>0</v>
      </c>
      <c r="BA1078" s="52">
        <v>0</v>
      </c>
      <c r="BB1078" s="54" t="s">
        <v>74</v>
      </c>
      <c r="BC1078" s="53" t="s">
        <v>74</v>
      </c>
      <c r="BD1078" s="55" t="s">
        <v>74</v>
      </c>
      <c r="BE1078" s="55" t="s">
        <v>74</v>
      </c>
      <c r="BF1078" s="55" t="s">
        <v>74</v>
      </c>
      <c r="BG1078" s="55" t="s">
        <v>74</v>
      </c>
      <c r="BH1078" s="52">
        <v>0</v>
      </c>
      <c r="BI1078" s="52">
        <v>3693371.13</v>
      </c>
      <c r="BJ1078" s="52">
        <v>3693371.13</v>
      </c>
      <c r="BK1078" s="56">
        <v>44105</v>
      </c>
      <c r="BL1078" s="63">
        <v>3693371.13</v>
      </c>
      <c r="BM1078" s="47">
        <v>0</v>
      </c>
      <c r="BN1078" s="9"/>
      <c r="BO1078" s="9"/>
      <c r="BP1078" s="9"/>
      <c r="BQ1078" s="9"/>
      <c r="BR1078" s="9"/>
      <c r="BS1078" s="9"/>
      <c r="BT1078" s="9"/>
      <c r="BU1078" s="9"/>
      <c r="BV1078" s="9"/>
      <c r="BW1078" s="9"/>
    </row>
    <row r="1079" spans="1:75" ht="74.25" hidden="1" customHeight="1" outlineLevel="2" x14ac:dyDescent="0.25">
      <c r="A1079" s="43" t="s">
        <v>1073</v>
      </c>
      <c r="B1079" s="110" t="s">
        <v>1153</v>
      </c>
      <c r="C1079" s="45">
        <v>2020</v>
      </c>
      <c r="D1079" s="110" t="s">
        <v>90</v>
      </c>
      <c r="E1079" s="134">
        <v>1969797.94</v>
      </c>
      <c r="F1079" s="134">
        <v>2102821.63</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4072619.57</v>
      </c>
      <c r="Z1079" s="49">
        <v>0</v>
      </c>
      <c r="AA1079" s="50">
        <v>0</v>
      </c>
      <c r="AB1079" s="50">
        <v>0</v>
      </c>
      <c r="AC1079" s="50">
        <v>0</v>
      </c>
      <c r="AD1079" s="50">
        <v>0</v>
      </c>
      <c r="AE1079" s="50">
        <v>0</v>
      </c>
      <c r="AF1079" s="50">
        <v>0</v>
      </c>
      <c r="AG1079" s="49">
        <v>0</v>
      </c>
      <c r="AH1079" s="51" t="s">
        <v>74</v>
      </c>
      <c r="AI1079" s="51" t="s">
        <v>74</v>
      </c>
      <c r="AJ1079" s="51" t="s">
        <v>74</v>
      </c>
      <c r="AK1079" s="51" t="s">
        <v>74</v>
      </c>
      <c r="AL1079" s="51" t="s">
        <v>74</v>
      </c>
      <c r="AM1079" s="51" t="s">
        <v>74</v>
      </c>
      <c r="AN1079" s="52"/>
      <c r="AO1079" s="52"/>
      <c r="AP1079" s="52"/>
      <c r="AQ1079" s="52"/>
      <c r="AR1079" s="52"/>
      <c r="AS1079" s="52">
        <v>0</v>
      </c>
      <c r="AT1079" s="53" t="s">
        <v>74</v>
      </c>
      <c r="AU1079" s="52">
        <v>0</v>
      </c>
      <c r="AV1079" s="52"/>
      <c r="AW1079" s="59">
        <v>397560</v>
      </c>
      <c r="AX1079" s="52"/>
      <c r="AY1079" s="52"/>
      <c r="AZ1079" s="52">
        <v>0</v>
      </c>
      <c r="BA1079" s="52">
        <v>397560</v>
      </c>
      <c r="BB1079" s="54" t="s">
        <v>74</v>
      </c>
      <c r="BC1079" s="53" t="s">
        <v>74</v>
      </c>
      <c r="BD1079" s="55" t="s">
        <v>1154</v>
      </c>
      <c r="BE1079" s="55" t="s">
        <v>74</v>
      </c>
      <c r="BF1079" s="55" t="s">
        <v>74</v>
      </c>
      <c r="BG1079" s="55" t="s">
        <v>74</v>
      </c>
      <c r="BH1079" s="52">
        <v>397560</v>
      </c>
      <c r="BI1079" s="52">
        <v>4470179.57</v>
      </c>
      <c r="BJ1079" s="52">
        <v>4072619.57</v>
      </c>
      <c r="BK1079" s="56">
        <v>44136</v>
      </c>
      <c r="BL1079" s="63">
        <v>4470179.57</v>
      </c>
      <c r="BM1079" s="47">
        <v>0</v>
      </c>
      <c r="BN1079" s="9"/>
      <c r="BO1079" s="9"/>
      <c r="BP1079" s="9"/>
      <c r="BQ1079" s="9"/>
      <c r="BR1079" s="9"/>
      <c r="BS1079" s="9"/>
      <c r="BT1079" s="9"/>
      <c r="BU1079" s="9"/>
      <c r="BV1079" s="9"/>
      <c r="BW1079" s="9"/>
    </row>
    <row r="1080" spans="1:75" hidden="1" outlineLevel="2" x14ac:dyDescent="0.25">
      <c r="A1080" s="43" t="s">
        <v>1073</v>
      </c>
      <c r="B1080" s="110" t="s">
        <v>1153</v>
      </c>
      <c r="C1080" s="45">
        <v>2020</v>
      </c>
      <c r="D1080" s="110" t="s">
        <v>93</v>
      </c>
      <c r="E1080" s="47">
        <v>0</v>
      </c>
      <c r="F1080" s="134">
        <v>3834557.17</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3834557.17</v>
      </c>
      <c r="Z1080" s="80">
        <v>0</v>
      </c>
      <c r="AA1080" s="50">
        <v>0</v>
      </c>
      <c r="AB1080" s="50">
        <v>0</v>
      </c>
      <c r="AC1080" s="50">
        <v>0</v>
      </c>
      <c r="AD1080" s="50">
        <v>0</v>
      </c>
      <c r="AE1080" s="50">
        <v>0</v>
      </c>
      <c r="AF1080" s="50">
        <v>0</v>
      </c>
      <c r="AG1080" s="49">
        <v>0</v>
      </c>
      <c r="AH1080" s="51" t="s">
        <v>74</v>
      </c>
      <c r="AI1080" s="51" t="s">
        <v>74</v>
      </c>
      <c r="AJ1080" s="51" t="s">
        <v>74</v>
      </c>
      <c r="AK1080" s="51" t="s">
        <v>74</v>
      </c>
      <c r="AL1080" s="51" t="s">
        <v>74</v>
      </c>
      <c r="AM1080" s="51" t="s">
        <v>74</v>
      </c>
      <c r="AN1080" s="52">
        <v>0</v>
      </c>
      <c r="AO1080" s="52">
        <v>0</v>
      </c>
      <c r="AP1080" s="52">
        <v>0</v>
      </c>
      <c r="AQ1080" s="52">
        <v>0</v>
      </c>
      <c r="AR1080" s="52">
        <v>0</v>
      </c>
      <c r="AS1080" s="52"/>
      <c r="AT1080" s="53" t="s">
        <v>74</v>
      </c>
      <c r="AU1080" s="52">
        <v>0</v>
      </c>
      <c r="AV1080" s="52"/>
      <c r="AW1080" s="52">
        <v>0</v>
      </c>
      <c r="AX1080" s="52"/>
      <c r="AY1080" s="52"/>
      <c r="AZ1080" s="52">
        <v>0</v>
      </c>
      <c r="BA1080" s="52">
        <v>0</v>
      </c>
      <c r="BB1080" s="54" t="s">
        <v>74</v>
      </c>
      <c r="BC1080" s="53" t="s">
        <v>74</v>
      </c>
      <c r="BD1080" s="55" t="s">
        <v>74</v>
      </c>
      <c r="BE1080" s="55" t="s">
        <v>74</v>
      </c>
      <c r="BF1080" s="55" t="s">
        <v>74</v>
      </c>
      <c r="BG1080" s="55" t="s">
        <v>74</v>
      </c>
      <c r="BH1080" s="52">
        <v>0</v>
      </c>
      <c r="BI1080" s="52">
        <v>3834557.17</v>
      </c>
      <c r="BJ1080" s="52">
        <v>3834557.17</v>
      </c>
      <c r="BK1080" s="56">
        <v>44166</v>
      </c>
      <c r="BL1080" s="63">
        <v>3834557.17</v>
      </c>
      <c r="BM1080" s="47">
        <v>0</v>
      </c>
      <c r="BN1080" s="9"/>
      <c r="BO1080" s="9"/>
      <c r="BP1080" s="9"/>
      <c r="BQ1080" s="9"/>
      <c r="BR1080" s="9"/>
      <c r="BS1080" s="9"/>
      <c r="BT1080" s="9"/>
      <c r="BU1080" s="9"/>
      <c r="BV1080" s="9"/>
      <c r="BW1080" s="9"/>
    </row>
    <row r="1081" spans="1:75" ht="39" hidden="1" outlineLevel="2" x14ac:dyDescent="0.25">
      <c r="A1081" s="43" t="s">
        <v>1073</v>
      </c>
      <c r="B1081" s="110" t="s">
        <v>1153</v>
      </c>
      <c r="C1081" s="45">
        <v>2021</v>
      </c>
      <c r="D1081" s="110" t="s">
        <v>73</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f t="shared" ref="Y1081:Y1090" si="210">SUM(E1081:X1081)</f>
        <v>0</v>
      </c>
      <c r="Z1081" s="49">
        <v>0</v>
      </c>
      <c r="AA1081" s="50"/>
      <c r="AB1081" s="50">
        <v>0</v>
      </c>
      <c r="AC1081" s="50">
        <v>0</v>
      </c>
      <c r="AD1081" s="50">
        <v>0</v>
      </c>
      <c r="AE1081" s="50">
        <v>0</v>
      </c>
      <c r="AF1081" s="50">
        <v>0</v>
      </c>
      <c r="AG1081" s="49">
        <f t="shared" ref="AG1081:AG1090" si="211">SUM(AA1081:AF1081)</f>
        <v>0</v>
      </c>
      <c r="AH1081" s="51" t="s">
        <v>74</v>
      </c>
      <c r="AI1081" s="51" t="s">
        <v>74</v>
      </c>
      <c r="AJ1081" s="51" t="s">
        <v>74</v>
      </c>
      <c r="AK1081" s="51" t="s">
        <v>74</v>
      </c>
      <c r="AL1081" s="51" t="s">
        <v>74</v>
      </c>
      <c r="AM1081" s="51" t="s">
        <v>74</v>
      </c>
      <c r="AN1081" s="52">
        <v>0</v>
      </c>
      <c r="AO1081" s="52">
        <v>0</v>
      </c>
      <c r="AP1081" s="52">
        <v>0</v>
      </c>
      <c r="AQ1081" s="52">
        <v>0</v>
      </c>
      <c r="AR1081" s="52">
        <v>0</v>
      </c>
      <c r="AS1081" s="52">
        <f t="shared" ref="AS1081:AS1087" si="212">AN1081+AO1081+AP1081+AQ1081+AR1081</f>
        <v>0</v>
      </c>
      <c r="AT1081" s="53" t="s">
        <v>74</v>
      </c>
      <c r="AU1081" s="52">
        <v>0</v>
      </c>
      <c r="AV1081" s="52"/>
      <c r="AW1081" s="52">
        <v>0</v>
      </c>
      <c r="AX1081" s="59">
        <v>3809206.03</v>
      </c>
      <c r="AY1081" s="59"/>
      <c r="AZ1081" s="52">
        <v>0</v>
      </c>
      <c r="BA1081" s="52">
        <f t="shared" ref="BA1081:BA1090" si="213">AU1081+AW1081+AX1081+AZ1081</f>
        <v>3809206.03</v>
      </c>
      <c r="BB1081" s="54" t="s">
        <v>74</v>
      </c>
      <c r="BC1081" s="53" t="s">
        <v>74</v>
      </c>
      <c r="BD1081" s="55" t="s">
        <v>74</v>
      </c>
      <c r="BE1081" s="51" t="s">
        <v>1155</v>
      </c>
      <c r="BF1081" s="55" t="s">
        <v>74</v>
      </c>
      <c r="BG1081" s="55" t="s">
        <v>74</v>
      </c>
      <c r="BH1081" s="52">
        <f t="shared" ref="BH1081:BH1090" si="214">AS1081+BA1081</f>
        <v>3809206.03</v>
      </c>
      <c r="BI1081" s="52">
        <f t="shared" ref="BI1081:BI1090" si="215">Y1081-AG1081+BH1081</f>
        <v>3809206.03</v>
      </c>
      <c r="BJ1081" s="52" t="e">
        <f>#REF!-#REF!+BI1081</f>
        <v>#REF!</v>
      </c>
      <c r="BK1081" s="56">
        <v>44197</v>
      </c>
      <c r="BL1081" s="57">
        <v>3809206.03</v>
      </c>
      <c r="BM1081" s="47">
        <v>0</v>
      </c>
      <c r="BN1081" s="9"/>
      <c r="BO1081" s="9"/>
      <c r="BP1081" s="9"/>
      <c r="BQ1081" s="9"/>
      <c r="BR1081" s="9"/>
      <c r="BS1081" s="9"/>
      <c r="BT1081" s="9"/>
      <c r="BU1081" s="9"/>
      <c r="BV1081" s="9"/>
      <c r="BW1081" s="9"/>
    </row>
    <row r="1082" spans="1:75" ht="111" hidden="1" customHeight="1" outlineLevel="2" x14ac:dyDescent="0.25">
      <c r="A1082" s="43" t="s">
        <v>1073</v>
      </c>
      <c r="B1082" s="110" t="s">
        <v>1153</v>
      </c>
      <c r="C1082" s="45">
        <v>2021</v>
      </c>
      <c r="D1082" s="110" t="s">
        <v>75</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f t="shared" si="210"/>
        <v>0</v>
      </c>
      <c r="Z1082" s="49">
        <v>0</v>
      </c>
      <c r="AA1082" s="50"/>
      <c r="AB1082" s="50">
        <v>0</v>
      </c>
      <c r="AC1082" s="50">
        <v>0</v>
      </c>
      <c r="AD1082" s="50">
        <v>0</v>
      </c>
      <c r="AE1082" s="50">
        <v>0</v>
      </c>
      <c r="AF1082" s="50">
        <v>0</v>
      </c>
      <c r="AG1082" s="49">
        <f t="shared" si="211"/>
        <v>0</v>
      </c>
      <c r="AH1082" s="51" t="s">
        <v>74</v>
      </c>
      <c r="AI1082" s="51" t="s">
        <v>74</v>
      </c>
      <c r="AJ1082" s="51" t="s">
        <v>74</v>
      </c>
      <c r="AK1082" s="51" t="s">
        <v>74</v>
      </c>
      <c r="AL1082" s="51" t="s">
        <v>74</v>
      </c>
      <c r="AM1082" s="51" t="s">
        <v>74</v>
      </c>
      <c r="AN1082" s="52">
        <v>0</v>
      </c>
      <c r="AO1082" s="52">
        <v>0</v>
      </c>
      <c r="AP1082" s="52">
        <v>0</v>
      </c>
      <c r="AQ1082" s="52">
        <v>0</v>
      </c>
      <c r="AR1082" s="52">
        <v>0</v>
      </c>
      <c r="AS1082" s="52">
        <f t="shared" si="212"/>
        <v>0</v>
      </c>
      <c r="AT1082" s="53" t="s">
        <v>74</v>
      </c>
      <c r="AU1082" s="52">
        <v>0</v>
      </c>
      <c r="AV1082" s="52"/>
      <c r="AW1082" s="59">
        <v>241576.34</v>
      </c>
      <c r="AX1082" s="59">
        <v>3809206.03</v>
      </c>
      <c r="AY1082" s="59"/>
      <c r="AZ1082" s="52">
        <v>0</v>
      </c>
      <c r="BA1082" s="52">
        <f t="shared" si="213"/>
        <v>4050782.3699999996</v>
      </c>
      <c r="BB1082" s="54" t="s">
        <v>74</v>
      </c>
      <c r="BC1082" s="53" t="s">
        <v>74</v>
      </c>
      <c r="BD1082" s="55" t="s">
        <v>1156</v>
      </c>
      <c r="BE1082" s="51" t="s">
        <v>1157</v>
      </c>
      <c r="BF1082" s="55" t="s">
        <v>74</v>
      </c>
      <c r="BG1082" s="55" t="s">
        <v>74</v>
      </c>
      <c r="BH1082" s="52">
        <f t="shared" si="214"/>
        <v>4050782.3699999996</v>
      </c>
      <c r="BI1082" s="52">
        <f t="shared" si="215"/>
        <v>4050782.3699999996</v>
      </c>
      <c r="BJ1082" s="52" t="e">
        <f>#REF!-#REF!+BI1082</f>
        <v>#REF!</v>
      </c>
      <c r="BK1082" s="56">
        <v>44228</v>
      </c>
      <c r="BL1082" s="57">
        <v>4050782.37</v>
      </c>
      <c r="BM1082" s="47">
        <v>0</v>
      </c>
      <c r="BN1082" s="9"/>
      <c r="BO1082" s="9"/>
      <c r="BP1082" s="9"/>
      <c r="BQ1082" s="9"/>
      <c r="BR1082" s="9"/>
      <c r="BS1082" s="9"/>
      <c r="BT1082" s="9"/>
      <c r="BU1082" s="9"/>
      <c r="BV1082" s="9"/>
      <c r="BW1082" s="9"/>
    </row>
    <row r="1083" spans="1:75" ht="267.75" hidden="1" customHeight="1" outlineLevel="2" x14ac:dyDescent="0.25">
      <c r="A1083" s="43" t="s">
        <v>1073</v>
      </c>
      <c r="B1083" s="110" t="s">
        <v>1153</v>
      </c>
      <c r="C1083" s="45">
        <v>2021</v>
      </c>
      <c r="D1083" s="110" t="s">
        <v>77</v>
      </c>
      <c r="E1083" s="134">
        <v>761841.21</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f t="shared" si="210"/>
        <v>761841.21</v>
      </c>
      <c r="Z1083" s="49">
        <v>0</v>
      </c>
      <c r="AA1083" s="50"/>
      <c r="AB1083" s="50">
        <v>0</v>
      </c>
      <c r="AC1083" s="50">
        <v>0</v>
      </c>
      <c r="AD1083" s="50">
        <v>0</v>
      </c>
      <c r="AE1083" s="50">
        <v>0</v>
      </c>
      <c r="AF1083" s="50">
        <v>0</v>
      </c>
      <c r="AG1083" s="49">
        <f t="shared" si="211"/>
        <v>0</v>
      </c>
      <c r="AH1083" s="51" t="s">
        <v>74</v>
      </c>
      <c r="AI1083" s="51" t="s">
        <v>74</v>
      </c>
      <c r="AJ1083" s="51" t="s">
        <v>74</v>
      </c>
      <c r="AK1083" s="51" t="s">
        <v>74</v>
      </c>
      <c r="AL1083" s="51" t="s">
        <v>74</v>
      </c>
      <c r="AM1083" s="51" t="s">
        <v>74</v>
      </c>
      <c r="AN1083" s="52">
        <v>0</v>
      </c>
      <c r="AO1083" s="52">
        <v>0</v>
      </c>
      <c r="AP1083" s="52">
        <v>0</v>
      </c>
      <c r="AQ1083" s="52">
        <v>0</v>
      </c>
      <c r="AR1083" s="52">
        <v>0</v>
      </c>
      <c r="AS1083" s="52">
        <f t="shared" si="212"/>
        <v>0</v>
      </c>
      <c r="AT1083" s="53" t="s">
        <v>74</v>
      </c>
      <c r="AU1083" s="52">
        <v>0</v>
      </c>
      <c r="AV1083" s="52"/>
      <c r="AW1083" s="59">
        <v>348742.55</v>
      </c>
      <c r="AX1083" s="59">
        <f>3337303.51+126973.53</f>
        <v>3464277.0399999996</v>
      </c>
      <c r="AY1083" s="59"/>
      <c r="AZ1083" s="52">
        <v>0</v>
      </c>
      <c r="BA1083" s="52">
        <f t="shared" si="213"/>
        <v>3813019.5899999994</v>
      </c>
      <c r="BB1083" s="54" t="s">
        <v>74</v>
      </c>
      <c r="BC1083" s="53" t="s">
        <v>74</v>
      </c>
      <c r="BD1083" s="55" t="s">
        <v>1158</v>
      </c>
      <c r="BE1083" s="51" t="s">
        <v>1159</v>
      </c>
      <c r="BF1083" s="55" t="s">
        <v>74</v>
      </c>
      <c r="BG1083" s="55" t="s">
        <v>74</v>
      </c>
      <c r="BH1083" s="52">
        <f t="shared" si="214"/>
        <v>3813019.5899999994</v>
      </c>
      <c r="BI1083" s="52">
        <f t="shared" si="215"/>
        <v>4574860.7999999989</v>
      </c>
      <c r="BJ1083" s="52">
        <v>4099144.72</v>
      </c>
      <c r="BK1083" s="56">
        <v>44256</v>
      </c>
      <c r="BL1083" s="63">
        <f>4447887.27+126973.53</f>
        <v>4574860.8</v>
      </c>
      <c r="BM1083" s="47">
        <v>0</v>
      </c>
      <c r="BN1083" s="9"/>
      <c r="BO1083" s="9"/>
      <c r="BP1083" s="9"/>
      <c r="BQ1083" s="9"/>
      <c r="BR1083" s="9"/>
      <c r="BS1083" s="9"/>
      <c r="BT1083" s="9"/>
      <c r="BU1083" s="9"/>
      <c r="BV1083" s="9"/>
      <c r="BW1083" s="9"/>
    </row>
    <row r="1084" spans="1:75" ht="44.25" hidden="1" customHeight="1" outlineLevel="2" x14ac:dyDescent="0.25">
      <c r="A1084" s="43" t="s">
        <v>1073</v>
      </c>
      <c r="B1084" s="110" t="s">
        <v>1153</v>
      </c>
      <c r="C1084" s="45">
        <v>2021</v>
      </c>
      <c r="D1084" s="110" t="s">
        <v>79</v>
      </c>
      <c r="E1084" s="134">
        <v>3809206.03</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f t="shared" si="210"/>
        <v>3809206.03</v>
      </c>
      <c r="Z1084" s="49">
        <v>0</v>
      </c>
      <c r="AA1084" s="50"/>
      <c r="AB1084" s="50">
        <v>0</v>
      </c>
      <c r="AC1084" s="50">
        <v>0</v>
      </c>
      <c r="AD1084" s="50">
        <v>0</v>
      </c>
      <c r="AE1084" s="50">
        <v>0</v>
      </c>
      <c r="AF1084" s="50">
        <v>0</v>
      </c>
      <c r="AG1084" s="49">
        <f t="shared" si="211"/>
        <v>0</v>
      </c>
      <c r="AH1084" s="51" t="s">
        <v>74</v>
      </c>
      <c r="AI1084" s="51" t="s">
        <v>74</v>
      </c>
      <c r="AJ1084" s="51" t="s">
        <v>74</v>
      </c>
      <c r="AK1084" s="51" t="s">
        <v>74</v>
      </c>
      <c r="AL1084" s="51" t="s">
        <v>74</v>
      </c>
      <c r="AM1084" s="51" t="s">
        <v>74</v>
      </c>
      <c r="AN1084" s="52">
        <v>0</v>
      </c>
      <c r="AO1084" s="52">
        <v>0</v>
      </c>
      <c r="AP1084" s="52">
        <v>0</v>
      </c>
      <c r="AQ1084" s="52">
        <v>0</v>
      </c>
      <c r="AR1084" s="52">
        <v>0</v>
      </c>
      <c r="AS1084" s="52">
        <f t="shared" si="212"/>
        <v>0</v>
      </c>
      <c r="AT1084" s="53" t="s">
        <v>74</v>
      </c>
      <c r="AU1084" s="52">
        <v>0</v>
      </c>
      <c r="AV1084" s="52"/>
      <c r="AW1084" s="52">
        <v>0</v>
      </c>
      <c r="AX1084" s="59">
        <v>1374459.49</v>
      </c>
      <c r="AY1084" s="59"/>
      <c r="AZ1084" s="52">
        <v>0</v>
      </c>
      <c r="BA1084" s="52">
        <f t="shared" si="213"/>
        <v>1374459.49</v>
      </c>
      <c r="BB1084" s="54" t="s">
        <v>74</v>
      </c>
      <c r="BC1084" s="53" t="s">
        <v>74</v>
      </c>
      <c r="BD1084" s="55" t="s">
        <v>74</v>
      </c>
      <c r="BE1084" s="51" t="s">
        <v>1160</v>
      </c>
      <c r="BF1084" s="55" t="s">
        <v>74</v>
      </c>
      <c r="BG1084" s="55" t="s">
        <v>74</v>
      </c>
      <c r="BH1084" s="52">
        <f t="shared" si="214"/>
        <v>1374459.49</v>
      </c>
      <c r="BI1084" s="52">
        <f t="shared" si="215"/>
        <v>5183665.5199999996</v>
      </c>
      <c r="BJ1084" s="52">
        <v>5183665.5199999996</v>
      </c>
      <c r="BK1084" s="56">
        <v>44287</v>
      </c>
      <c r="BL1084" s="63">
        <v>5183665.5199999996</v>
      </c>
      <c r="BM1084" s="47">
        <v>0</v>
      </c>
      <c r="BN1084" s="9"/>
      <c r="BO1084" s="9"/>
      <c r="BP1084" s="9"/>
      <c r="BQ1084" s="9"/>
      <c r="BR1084" s="9"/>
      <c r="BS1084" s="9"/>
      <c r="BT1084" s="9"/>
      <c r="BU1084" s="9"/>
      <c r="BV1084" s="9"/>
      <c r="BW1084" s="9"/>
    </row>
    <row r="1085" spans="1:75" ht="147.75" hidden="1" customHeight="1" outlineLevel="2" x14ac:dyDescent="0.25">
      <c r="A1085" s="43" t="s">
        <v>1073</v>
      </c>
      <c r="B1085" s="110" t="s">
        <v>1153</v>
      </c>
      <c r="C1085" s="45">
        <v>2021</v>
      </c>
      <c r="D1085" s="110" t="s">
        <v>81</v>
      </c>
      <c r="E1085" s="134">
        <v>3809206.03</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f t="shared" si="210"/>
        <v>3809206.03</v>
      </c>
      <c r="Z1085" s="49">
        <v>0</v>
      </c>
      <c r="AA1085" s="50"/>
      <c r="AB1085" s="50">
        <v>0</v>
      </c>
      <c r="AC1085" s="50">
        <v>0</v>
      </c>
      <c r="AD1085" s="50">
        <v>0</v>
      </c>
      <c r="AE1085" s="50">
        <v>0</v>
      </c>
      <c r="AF1085" s="50">
        <v>0</v>
      </c>
      <c r="AG1085" s="49">
        <f t="shared" si="211"/>
        <v>0</v>
      </c>
      <c r="AH1085" s="51" t="s">
        <v>74</v>
      </c>
      <c r="AI1085" s="51" t="s">
        <v>74</v>
      </c>
      <c r="AJ1085" s="51" t="s">
        <v>74</v>
      </c>
      <c r="AK1085" s="51" t="s">
        <v>74</v>
      </c>
      <c r="AL1085" s="51" t="s">
        <v>74</v>
      </c>
      <c r="AM1085" s="51" t="s">
        <v>74</v>
      </c>
      <c r="AN1085" s="52">
        <v>0</v>
      </c>
      <c r="AO1085" s="52">
        <v>0</v>
      </c>
      <c r="AP1085" s="52">
        <v>0</v>
      </c>
      <c r="AQ1085" s="52">
        <v>0</v>
      </c>
      <c r="AR1085" s="52">
        <v>0</v>
      </c>
      <c r="AS1085" s="52">
        <f t="shared" si="212"/>
        <v>0</v>
      </c>
      <c r="AT1085" s="53" t="s">
        <v>74</v>
      </c>
      <c r="AU1085" s="52">
        <v>0</v>
      </c>
      <c r="AV1085" s="52"/>
      <c r="AW1085" s="52">
        <v>0</v>
      </c>
      <c r="AX1085" s="59">
        <f>452124.8+922334.69</f>
        <v>1374459.49</v>
      </c>
      <c r="AY1085" s="59"/>
      <c r="AZ1085" s="52">
        <v>0</v>
      </c>
      <c r="BA1085" s="52">
        <f t="shared" si="213"/>
        <v>1374459.49</v>
      </c>
      <c r="BB1085" s="54" t="s">
        <v>74</v>
      </c>
      <c r="BC1085" s="53" t="s">
        <v>74</v>
      </c>
      <c r="BD1085" s="55" t="s">
        <v>74</v>
      </c>
      <c r="BE1085" s="51" t="s">
        <v>1161</v>
      </c>
      <c r="BF1085" s="55" t="s">
        <v>74</v>
      </c>
      <c r="BG1085" s="55" t="s">
        <v>74</v>
      </c>
      <c r="BH1085" s="52">
        <f t="shared" si="214"/>
        <v>1374459.49</v>
      </c>
      <c r="BI1085" s="52">
        <f t="shared" si="215"/>
        <v>5183665.5199999996</v>
      </c>
      <c r="BJ1085" s="52">
        <v>4261330.83</v>
      </c>
      <c r="BK1085" s="56">
        <v>44317</v>
      </c>
      <c r="BL1085" s="63">
        <f>4261330.83+922334.69</f>
        <v>5183665.5199999996</v>
      </c>
      <c r="BM1085" s="47">
        <v>0</v>
      </c>
      <c r="BN1085" s="9"/>
      <c r="BO1085" s="9"/>
      <c r="BP1085" s="9"/>
      <c r="BQ1085" s="9"/>
      <c r="BR1085" s="9"/>
      <c r="BS1085" s="9"/>
      <c r="BT1085" s="9"/>
      <c r="BU1085" s="9"/>
      <c r="BV1085" s="9"/>
      <c r="BW1085" s="9"/>
    </row>
    <row r="1086" spans="1:75" ht="84" hidden="1" customHeight="1" outlineLevel="2" x14ac:dyDescent="0.25">
      <c r="A1086" s="43" t="s">
        <v>1073</v>
      </c>
      <c r="B1086" s="110" t="s">
        <v>1153</v>
      </c>
      <c r="C1086" s="45">
        <v>2021</v>
      </c>
      <c r="D1086" s="110" t="s">
        <v>83</v>
      </c>
      <c r="E1086" s="134">
        <v>3809206.03</v>
      </c>
      <c r="F1086" s="47">
        <v>0</v>
      </c>
      <c r="G1086" s="47">
        <v>0</v>
      </c>
      <c r="H1086" s="47">
        <v>0</v>
      </c>
      <c r="I1086" s="47">
        <v>0</v>
      </c>
      <c r="J1086" s="47">
        <v>0</v>
      </c>
      <c r="K1086" s="47">
        <v>0</v>
      </c>
      <c r="L1086" s="47">
        <v>0</v>
      </c>
      <c r="M1086" s="47">
        <v>0</v>
      </c>
      <c r="N1086" s="47">
        <v>0</v>
      </c>
      <c r="O1086" s="47">
        <v>0</v>
      </c>
      <c r="P1086" s="47">
        <v>0</v>
      </c>
      <c r="Q1086" s="47">
        <v>0</v>
      </c>
      <c r="R1086" s="47">
        <v>0</v>
      </c>
      <c r="S1086" s="47">
        <v>0</v>
      </c>
      <c r="T1086" s="47">
        <v>0</v>
      </c>
      <c r="U1086" s="47">
        <v>0</v>
      </c>
      <c r="V1086" s="47">
        <v>0</v>
      </c>
      <c r="W1086" s="47">
        <v>0</v>
      </c>
      <c r="X1086" s="47">
        <v>0</v>
      </c>
      <c r="Y1086" s="48">
        <f t="shared" si="210"/>
        <v>3809206.03</v>
      </c>
      <c r="Z1086" s="49">
        <v>0</v>
      </c>
      <c r="AA1086" s="50"/>
      <c r="AB1086" s="50">
        <v>0</v>
      </c>
      <c r="AC1086" s="50">
        <v>0</v>
      </c>
      <c r="AD1086" s="50">
        <v>0</v>
      </c>
      <c r="AE1086" s="50">
        <v>0</v>
      </c>
      <c r="AF1086" s="50">
        <v>0</v>
      </c>
      <c r="AG1086" s="49">
        <f t="shared" si="211"/>
        <v>0</v>
      </c>
      <c r="AH1086" s="51" t="s">
        <v>74</v>
      </c>
      <c r="AI1086" s="51" t="s">
        <v>74</v>
      </c>
      <c r="AJ1086" s="51" t="s">
        <v>74</v>
      </c>
      <c r="AK1086" s="51" t="s">
        <v>74</v>
      </c>
      <c r="AL1086" s="51" t="s">
        <v>74</v>
      </c>
      <c r="AM1086" s="51" t="s">
        <v>74</v>
      </c>
      <c r="AN1086" s="52">
        <v>0</v>
      </c>
      <c r="AO1086" s="52">
        <v>0</v>
      </c>
      <c r="AP1086" s="52">
        <v>0</v>
      </c>
      <c r="AQ1086" s="52">
        <v>0</v>
      </c>
      <c r="AR1086" s="52">
        <v>0</v>
      </c>
      <c r="AS1086" s="52">
        <f t="shared" si="212"/>
        <v>0</v>
      </c>
      <c r="AT1086" s="53" t="s">
        <v>74</v>
      </c>
      <c r="AU1086" s="52">
        <v>0</v>
      </c>
      <c r="AV1086" s="52"/>
      <c r="AW1086" s="52">
        <v>0</v>
      </c>
      <c r="AX1086" s="68">
        <v>1374459.49</v>
      </c>
      <c r="AY1086" s="52"/>
      <c r="AZ1086" s="52">
        <v>0</v>
      </c>
      <c r="BA1086" s="52">
        <f t="shared" si="213"/>
        <v>1374459.49</v>
      </c>
      <c r="BB1086" s="54" t="s">
        <v>74</v>
      </c>
      <c r="BC1086" s="53" t="s">
        <v>74</v>
      </c>
      <c r="BD1086" s="55" t="s">
        <v>74</v>
      </c>
      <c r="BE1086" s="55" t="s">
        <v>1162</v>
      </c>
      <c r="BF1086" s="55" t="s">
        <v>74</v>
      </c>
      <c r="BG1086" s="55" t="s">
        <v>74</v>
      </c>
      <c r="BH1086" s="52">
        <f t="shared" si="214"/>
        <v>1374459.49</v>
      </c>
      <c r="BI1086" s="52">
        <f t="shared" si="215"/>
        <v>5183665.5199999996</v>
      </c>
      <c r="BJ1086" s="52">
        <f>Y1086-AG1086+AX1086</f>
        <v>5183665.5199999996</v>
      </c>
      <c r="BK1086" s="56">
        <v>44348</v>
      </c>
      <c r="BL1086" s="63">
        <f>3809206.03+1374459.49</f>
        <v>5183665.5199999996</v>
      </c>
      <c r="BM1086" s="47">
        <v>0</v>
      </c>
      <c r="BN1086" s="9"/>
      <c r="BO1086" s="9"/>
      <c r="BP1086" s="9"/>
      <c r="BQ1086" s="9"/>
      <c r="BR1086" s="9"/>
      <c r="BS1086" s="9"/>
      <c r="BT1086" s="9"/>
      <c r="BU1086" s="9"/>
      <c r="BV1086" s="9"/>
      <c r="BW1086" s="9"/>
    </row>
    <row r="1087" spans="1:75" ht="129" hidden="1" customHeight="1" outlineLevel="2" x14ac:dyDescent="0.25">
      <c r="A1087" s="43" t="s">
        <v>1073</v>
      </c>
      <c r="B1087" s="110" t="s">
        <v>1153</v>
      </c>
      <c r="C1087" s="45">
        <v>2021</v>
      </c>
      <c r="D1087" s="110" t="s">
        <v>84</v>
      </c>
      <c r="E1087" s="47">
        <f>253947.03+7046742.27</f>
        <v>7300689.2999999998</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f t="shared" si="210"/>
        <v>7300689.2999999998</v>
      </c>
      <c r="Z1087" s="49">
        <v>0</v>
      </c>
      <c r="AA1087" s="50"/>
      <c r="AB1087" s="50">
        <v>0</v>
      </c>
      <c r="AC1087" s="50">
        <v>0</v>
      </c>
      <c r="AD1087" s="50">
        <v>0</v>
      </c>
      <c r="AE1087" s="50">
        <v>0</v>
      </c>
      <c r="AF1087" s="50">
        <v>0</v>
      </c>
      <c r="AG1087" s="49">
        <f t="shared" si="211"/>
        <v>0</v>
      </c>
      <c r="AH1087" s="51" t="s">
        <v>74</v>
      </c>
      <c r="AI1087" s="51" t="s">
        <v>74</v>
      </c>
      <c r="AJ1087" s="51" t="s">
        <v>74</v>
      </c>
      <c r="AK1087" s="51" t="s">
        <v>74</v>
      </c>
      <c r="AL1087" s="51" t="s">
        <v>74</v>
      </c>
      <c r="AM1087" s="51" t="s">
        <v>74</v>
      </c>
      <c r="AN1087" s="52">
        <v>0</v>
      </c>
      <c r="AO1087" s="52">
        <v>0</v>
      </c>
      <c r="AP1087" s="52">
        <v>0</v>
      </c>
      <c r="AQ1087" s="52">
        <v>0</v>
      </c>
      <c r="AR1087" s="52">
        <v>0</v>
      </c>
      <c r="AS1087" s="52">
        <f t="shared" si="212"/>
        <v>0</v>
      </c>
      <c r="AT1087" s="53" t="s">
        <v>74</v>
      </c>
      <c r="AU1087" s="52">
        <v>0</v>
      </c>
      <c r="AV1087" s="52"/>
      <c r="AW1087" s="68">
        <v>217440</v>
      </c>
      <c r="AX1087" s="52"/>
      <c r="AY1087" s="52"/>
      <c r="AZ1087" s="52">
        <v>0</v>
      </c>
      <c r="BA1087" s="52">
        <f t="shared" si="213"/>
        <v>217440</v>
      </c>
      <c r="BB1087" s="54" t="s">
        <v>74</v>
      </c>
      <c r="BC1087" s="53" t="s">
        <v>74</v>
      </c>
      <c r="BD1087" s="55" t="s">
        <v>1163</v>
      </c>
      <c r="BE1087" s="55" t="s">
        <v>74</v>
      </c>
      <c r="BF1087" s="55" t="s">
        <v>74</v>
      </c>
      <c r="BG1087" s="55" t="s">
        <v>74</v>
      </c>
      <c r="BH1087" s="52">
        <f t="shared" si="214"/>
        <v>217440</v>
      </c>
      <c r="BI1087" s="52">
        <f t="shared" si="215"/>
        <v>7518129.2999999998</v>
      </c>
      <c r="BJ1087" s="52">
        <f>Y1087-AG1087+AX1087</f>
        <v>7300689.2999999998</v>
      </c>
      <c r="BK1087" s="56">
        <v>44378</v>
      </c>
      <c r="BL1087" s="63">
        <f>253947.03+7046742.27+217440</f>
        <v>7518129.2999999998</v>
      </c>
      <c r="BM1087" s="47">
        <v>0</v>
      </c>
      <c r="BN1087" s="9"/>
      <c r="BO1087" s="9"/>
      <c r="BP1087" s="9"/>
      <c r="BQ1087" s="9"/>
      <c r="BR1087" s="9"/>
      <c r="BS1087" s="9"/>
      <c r="BT1087" s="9"/>
      <c r="BU1087" s="9"/>
      <c r="BV1087" s="9"/>
      <c r="BW1087" s="9"/>
    </row>
    <row r="1088" spans="1:75" hidden="1" outlineLevel="2" x14ac:dyDescent="0.25">
      <c r="A1088" s="43" t="s">
        <v>1073</v>
      </c>
      <c r="B1088" s="110" t="s">
        <v>1153</v>
      </c>
      <c r="C1088" s="45">
        <v>2021</v>
      </c>
      <c r="D1088" s="110" t="s">
        <v>86</v>
      </c>
      <c r="E1088" s="47">
        <v>7550081</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f t="shared" si="210"/>
        <v>7550081</v>
      </c>
      <c r="Z1088" s="49">
        <v>0</v>
      </c>
      <c r="AA1088" s="50"/>
      <c r="AB1088" s="50">
        <v>0</v>
      </c>
      <c r="AC1088" s="50">
        <v>0</v>
      </c>
      <c r="AD1088" s="50">
        <v>0</v>
      </c>
      <c r="AE1088" s="50">
        <v>0</v>
      </c>
      <c r="AF1088" s="50">
        <v>0</v>
      </c>
      <c r="AG1088" s="49">
        <f t="shared" si="211"/>
        <v>0</v>
      </c>
      <c r="AH1088" s="70" t="s">
        <v>74</v>
      </c>
      <c r="AI1088" s="70" t="s">
        <v>74</v>
      </c>
      <c r="AJ1088" s="70" t="s">
        <v>74</v>
      </c>
      <c r="AK1088" s="70" t="s">
        <v>74</v>
      </c>
      <c r="AL1088" s="70" t="s">
        <v>74</v>
      </c>
      <c r="AM1088" s="70" t="s">
        <v>74</v>
      </c>
      <c r="AN1088" s="52"/>
      <c r="AO1088" s="52"/>
      <c r="AP1088" s="52"/>
      <c r="AQ1088" s="52"/>
      <c r="AR1088" s="52"/>
      <c r="AS1088" s="52"/>
      <c r="AT1088" s="53" t="s">
        <v>74</v>
      </c>
      <c r="AU1088" s="52"/>
      <c r="AV1088" s="52"/>
      <c r="AW1088" s="68"/>
      <c r="AX1088" s="52"/>
      <c r="AY1088" s="52"/>
      <c r="AZ1088" s="52"/>
      <c r="BA1088" s="52">
        <f t="shared" si="213"/>
        <v>0</v>
      </c>
      <c r="BB1088" s="52" t="s">
        <v>74</v>
      </c>
      <c r="BC1088" s="52" t="s">
        <v>74</v>
      </c>
      <c r="BD1088" s="52" t="s">
        <v>74</v>
      </c>
      <c r="BE1088" s="52" t="s">
        <v>74</v>
      </c>
      <c r="BF1088" s="52" t="s">
        <v>74</v>
      </c>
      <c r="BG1088" s="52"/>
      <c r="BH1088" s="52">
        <f t="shared" si="214"/>
        <v>0</v>
      </c>
      <c r="BI1088" s="52">
        <f t="shared" si="215"/>
        <v>7550081</v>
      </c>
      <c r="BJ1088" s="52">
        <f>Y1088-AG1088+AX1088</f>
        <v>7550081</v>
      </c>
      <c r="BK1088" s="56">
        <v>44409</v>
      </c>
      <c r="BL1088" s="63">
        <v>7550081</v>
      </c>
      <c r="BM1088" s="47">
        <v>0</v>
      </c>
      <c r="BN1088" s="9"/>
      <c r="BO1088" s="9"/>
      <c r="BP1088" s="9"/>
      <c r="BQ1088" s="9"/>
      <c r="BR1088" s="9"/>
      <c r="BS1088" s="9"/>
      <c r="BT1088" s="9"/>
      <c r="BU1088" s="9"/>
      <c r="BV1088" s="9"/>
      <c r="BW1088" s="9"/>
    </row>
    <row r="1089" spans="1:75" hidden="1" outlineLevel="2" x14ac:dyDescent="0.25">
      <c r="A1089" s="43" t="s">
        <v>1073</v>
      </c>
      <c r="B1089" s="110" t="s">
        <v>1153</v>
      </c>
      <c r="C1089" s="45">
        <v>2021</v>
      </c>
      <c r="D1089" s="110" t="s">
        <v>88</v>
      </c>
      <c r="E1089" s="47">
        <v>7550081</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f t="shared" si="210"/>
        <v>7550081</v>
      </c>
      <c r="Z1089" s="49">
        <v>0</v>
      </c>
      <c r="AA1089" s="50"/>
      <c r="AB1089" s="50">
        <v>0</v>
      </c>
      <c r="AC1089" s="50">
        <v>0</v>
      </c>
      <c r="AD1089" s="50">
        <v>0</v>
      </c>
      <c r="AE1089" s="50">
        <v>0</v>
      </c>
      <c r="AF1089" s="50">
        <v>0</v>
      </c>
      <c r="AG1089" s="49">
        <f t="shared" si="211"/>
        <v>0</v>
      </c>
      <c r="AH1089" s="70" t="s">
        <v>74</v>
      </c>
      <c r="AI1089" s="70" t="s">
        <v>74</v>
      </c>
      <c r="AJ1089" s="70" t="s">
        <v>74</v>
      </c>
      <c r="AK1089" s="70" t="s">
        <v>74</v>
      </c>
      <c r="AL1089" s="70" t="s">
        <v>74</v>
      </c>
      <c r="AM1089" s="70" t="s">
        <v>74</v>
      </c>
      <c r="AN1089" s="52"/>
      <c r="AO1089" s="52"/>
      <c r="AP1089" s="52"/>
      <c r="AQ1089" s="52"/>
      <c r="AR1089" s="52"/>
      <c r="AS1089" s="52"/>
      <c r="AT1089" s="53" t="s">
        <v>74</v>
      </c>
      <c r="AU1089" s="52"/>
      <c r="AV1089" s="52"/>
      <c r="AW1089" s="68"/>
      <c r="AX1089" s="52"/>
      <c r="AY1089" s="52"/>
      <c r="AZ1089" s="52"/>
      <c r="BA1089" s="52">
        <f t="shared" si="213"/>
        <v>0</v>
      </c>
      <c r="BB1089" s="52" t="s">
        <v>74</v>
      </c>
      <c r="BC1089" s="52" t="s">
        <v>74</v>
      </c>
      <c r="BD1089" s="52" t="s">
        <v>74</v>
      </c>
      <c r="BE1089" s="52" t="s">
        <v>74</v>
      </c>
      <c r="BF1089" s="52" t="s">
        <v>74</v>
      </c>
      <c r="BG1089" s="52"/>
      <c r="BH1089" s="52">
        <f t="shared" si="214"/>
        <v>0</v>
      </c>
      <c r="BI1089" s="52">
        <f t="shared" si="215"/>
        <v>7550081</v>
      </c>
      <c r="BJ1089" s="52">
        <f>Y1089-AG1089+AX1089</f>
        <v>7550081</v>
      </c>
      <c r="BK1089" s="56">
        <v>44440</v>
      </c>
      <c r="BL1089" s="63">
        <v>7550081</v>
      </c>
      <c r="BM1089" s="47">
        <v>0</v>
      </c>
      <c r="BN1089" s="9"/>
      <c r="BO1089" s="9"/>
      <c r="BP1089" s="9"/>
      <c r="BQ1089" s="9"/>
      <c r="BR1089" s="9"/>
      <c r="BS1089" s="9"/>
      <c r="BT1089" s="9"/>
      <c r="BU1089" s="9"/>
      <c r="BV1089" s="9"/>
      <c r="BW1089" s="9"/>
    </row>
    <row r="1090" spans="1:75" hidden="1" outlineLevel="2" x14ac:dyDescent="0.25">
      <c r="A1090" s="71" t="s">
        <v>1073</v>
      </c>
      <c r="B1090" s="116" t="s">
        <v>1153</v>
      </c>
      <c r="C1090" s="73">
        <v>2021</v>
      </c>
      <c r="D1090" s="116" t="s">
        <v>89</v>
      </c>
      <c r="E1090" s="75">
        <v>7550081</v>
      </c>
      <c r="F1090" s="75">
        <v>0</v>
      </c>
      <c r="G1090" s="75">
        <v>0</v>
      </c>
      <c r="H1090" s="75">
        <v>0</v>
      </c>
      <c r="I1090" s="75">
        <v>0</v>
      </c>
      <c r="J1090" s="75">
        <v>0</v>
      </c>
      <c r="K1090" s="75">
        <v>0</v>
      </c>
      <c r="L1090" s="75">
        <v>0</v>
      </c>
      <c r="M1090" s="75">
        <v>0</v>
      </c>
      <c r="N1090" s="75">
        <v>0</v>
      </c>
      <c r="O1090" s="75">
        <v>0</v>
      </c>
      <c r="P1090" s="75">
        <v>0</v>
      </c>
      <c r="Q1090" s="75">
        <v>0</v>
      </c>
      <c r="R1090" s="75">
        <v>0</v>
      </c>
      <c r="S1090" s="75">
        <v>0</v>
      </c>
      <c r="T1090" s="75">
        <v>0</v>
      </c>
      <c r="U1090" s="75">
        <v>0</v>
      </c>
      <c r="V1090" s="75">
        <v>0</v>
      </c>
      <c r="W1090" s="75">
        <v>0</v>
      </c>
      <c r="X1090" s="75">
        <v>0</v>
      </c>
      <c r="Y1090" s="76">
        <f t="shared" si="210"/>
        <v>7550081</v>
      </c>
      <c r="Z1090" s="80">
        <v>0</v>
      </c>
      <c r="AA1090" s="79"/>
      <c r="AB1090" s="79">
        <v>0</v>
      </c>
      <c r="AC1090" s="79">
        <v>0</v>
      </c>
      <c r="AD1090" s="79">
        <v>0</v>
      </c>
      <c r="AE1090" s="79">
        <v>0</v>
      </c>
      <c r="AF1090" s="79">
        <v>0</v>
      </c>
      <c r="AG1090" s="80">
        <f t="shared" si="211"/>
        <v>0</v>
      </c>
      <c r="AH1090" s="81" t="s">
        <v>74</v>
      </c>
      <c r="AI1090" s="81" t="s">
        <v>74</v>
      </c>
      <c r="AJ1090" s="81" t="s">
        <v>74</v>
      </c>
      <c r="AK1090" s="81" t="s">
        <v>74</v>
      </c>
      <c r="AL1090" s="81" t="s">
        <v>74</v>
      </c>
      <c r="AM1090" s="81" t="s">
        <v>74</v>
      </c>
      <c r="AN1090" s="82"/>
      <c r="AO1090" s="82"/>
      <c r="AP1090" s="82"/>
      <c r="AQ1090" s="82"/>
      <c r="AR1090" s="82"/>
      <c r="AS1090" s="82"/>
      <c r="AT1090" s="124" t="s">
        <v>74</v>
      </c>
      <c r="AU1090" s="82"/>
      <c r="AV1090" s="82"/>
      <c r="AW1090" s="119"/>
      <c r="AX1090" s="82"/>
      <c r="AY1090" s="82"/>
      <c r="AZ1090" s="82"/>
      <c r="BA1090" s="82">
        <f t="shared" si="213"/>
        <v>0</v>
      </c>
      <c r="BB1090" s="82" t="s">
        <v>74</v>
      </c>
      <c r="BC1090" s="82" t="s">
        <v>74</v>
      </c>
      <c r="BD1090" s="82" t="s">
        <v>74</v>
      </c>
      <c r="BE1090" s="82" t="s">
        <v>74</v>
      </c>
      <c r="BF1090" s="82" t="s">
        <v>74</v>
      </c>
      <c r="BG1090" s="82"/>
      <c r="BH1090" s="82">
        <f t="shared" si="214"/>
        <v>0</v>
      </c>
      <c r="BI1090" s="82">
        <f t="shared" si="215"/>
        <v>7550081</v>
      </c>
      <c r="BJ1090" s="52">
        <f>Y1090-AG1090+AX1090</f>
        <v>7550081</v>
      </c>
      <c r="BK1090" s="56">
        <v>44470</v>
      </c>
      <c r="BL1090" s="83"/>
      <c r="BM1090" s="75">
        <f>BI1090-BL1090</f>
        <v>7550081</v>
      </c>
      <c r="BN1090" s="9"/>
      <c r="BO1090" s="9"/>
      <c r="BP1090" s="9"/>
      <c r="BQ1090" s="9"/>
      <c r="BR1090" s="9"/>
      <c r="BS1090" s="9"/>
      <c r="BT1090" s="9"/>
      <c r="BU1090" s="9"/>
      <c r="BV1090" s="9"/>
      <c r="BW1090" s="9"/>
    </row>
    <row r="1091" spans="1:75" hidden="1" outlineLevel="1" collapsed="1" x14ac:dyDescent="0.25">
      <c r="A1091" s="84"/>
      <c r="B1091" s="120" t="s">
        <v>1164</v>
      </c>
      <c r="C1091" s="86"/>
      <c r="D1091" s="120"/>
      <c r="E1091" s="88"/>
      <c r="F1091" s="88"/>
      <c r="G1091" s="88"/>
      <c r="H1091" s="88"/>
      <c r="I1091" s="88"/>
      <c r="J1091" s="88"/>
      <c r="K1091" s="88"/>
      <c r="L1091" s="88"/>
      <c r="M1091" s="88"/>
      <c r="N1091" s="88"/>
      <c r="O1091" s="88"/>
      <c r="P1091" s="88"/>
      <c r="Q1091" s="88"/>
      <c r="R1091" s="88"/>
      <c r="S1091" s="88"/>
      <c r="T1091" s="88"/>
      <c r="U1091" s="88"/>
      <c r="V1091" s="88"/>
      <c r="W1091" s="88"/>
      <c r="X1091" s="88"/>
      <c r="Y1091" s="89">
        <f t="shared" ref="Y1091:AG1091" si="216">SUBTOTAL(9,Y1073:Y1090)</f>
        <v>0</v>
      </c>
      <c r="Z1091" s="89">
        <f t="shared" si="216"/>
        <v>0</v>
      </c>
      <c r="AA1091" s="89">
        <f t="shared" si="216"/>
        <v>0</v>
      </c>
      <c r="AB1091" s="89">
        <f t="shared" si="216"/>
        <v>0</v>
      </c>
      <c r="AC1091" s="89">
        <f t="shared" si="216"/>
        <v>0</v>
      </c>
      <c r="AD1091" s="89">
        <f t="shared" si="216"/>
        <v>0</v>
      </c>
      <c r="AE1091" s="89">
        <f t="shared" si="216"/>
        <v>0</v>
      </c>
      <c r="AF1091" s="89">
        <f t="shared" si="216"/>
        <v>0</v>
      </c>
      <c r="AG1091" s="89">
        <f t="shared" si="216"/>
        <v>0</v>
      </c>
      <c r="AH1091" s="91"/>
      <c r="AI1091" s="91"/>
      <c r="AJ1091" s="91"/>
      <c r="AK1091" s="91"/>
      <c r="AL1091" s="91"/>
      <c r="AM1091" s="91"/>
      <c r="AN1091" s="92">
        <f t="shared" ref="AN1091:AS1091" si="217">SUBTOTAL(9,AN1073:AN1090)</f>
        <v>0</v>
      </c>
      <c r="AO1091" s="92">
        <f t="shared" si="217"/>
        <v>0</v>
      </c>
      <c r="AP1091" s="92">
        <f t="shared" si="217"/>
        <v>0</v>
      </c>
      <c r="AQ1091" s="92">
        <f t="shared" si="217"/>
        <v>0</v>
      </c>
      <c r="AR1091" s="92">
        <f t="shared" si="217"/>
        <v>0</v>
      </c>
      <c r="AS1091" s="92">
        <f t="shared" si="217"/>
        <v>0</v>
      </c>
      <c r="AT1091" s="130"/>
      <c r="AU1091" s="92">
        <f t="shared" ref="AU1091:BA1091" si="218">SUBTOTAL(9,AU1073:AU1090)</f>
        <v>0</v>
      </c>
      <c r="AV1091" s="92">
        <f t="shared" si="218"/>
        <v>0</v>
      </c>
      <c r="AW1091" s="122">
        <f t="shared" si="218"/>
        <v>0</v>
      </c>
      <c r="AX1091" s="92">
        <f t="shared" si="218"/>
        <v>0</v>
      </c>
      <c r="AY1091" s="92">
        <f t="shared" si="218"/>
        <v>0</v>
      </c>
      <c r="AZ1091" s="92">
        <f t="shared" si="218"/>
        <v>0</v>
      </c>
      <c r="BA1091" s="92">
        <f t="shared" si="218"/>
        <v>0</v>
      </c>
      <c r="BB1091" s="92"/>
      <c r="BC1091" s="92"/>
      <c r="BD1091" s="92"/>
      <c r="BE1091" s="92"/>
      <c r="BF1091" s="92"/>
      <c r="BG1091" s="92"/>
      <c r="BH1091" s="92">
        <f>SUBTOTAL(9,BH1073:BH1090)</f>
        <v>0</v>
      </c>
      <c r="BI1091" s="92">
        <f>SUBTOTAL(9,BI1073:BI1090)</f>
        <v>0</v>
      </c>
      <c r="BJ1091" s="93"/>
      <c r="BK1091" s="94"/>
      <c r="BL1091" s="95">
        <f>SUBTOTAL(9,BL1073:BL1090)</f>
        <v>0</v>
      </c>
      <c r="BM1091" s="88">
        <f>SUBTOTAL(9,BM1073:BM1090)</f>
        <v>0</v>
      </c>
      <c r="BN1091" s="9"/>
      <c r="BO1091" s="9"/>
      <c r="BP1091" s="9"/>
      <c r="BQ1091" s="9"/>
      <c r="BR1091" s="9"/>
      <c r="BS1091" s="9"/>
      <c r="BT1091" s="9"/>
      <c r="BU1091" s="9"/>
      <c r="BV1091" s="9"/>
      <c r="BW1091" s="9"/>
    </row>
    <row r="1092" spans="1:75" hidden="1" outlineLevel="2" x14ac:dyDescent="0.25">
      <c r="A1092" s="96" t="s">
        <v>1096</v>
      </c>
      <c r="B1092" s="97" t="s">
        <v>1165</v>
      </c>
      <c r="C1092" s="98">
        <v>2020</v>
      </c>
      <c r="D1092" s="97" t="s">
        <v>83</v>
      </c>
      <c r="E1092" s="173">
        <v>7680795.6500000004</v>
      </c>
      <c r="F1092" s="100">
        <v>0</v>
      </c>
      <c r="G1092" s="100">
        <v>0</v>
      </c>
      <c r="H1092" s="100">
        <v>0</v>
      </c>
      <c r="I1092" s="100">
        <v>0</v>
      </c>
      <c r="J1092" s="100">
        <v>0</v>
      </c>
      <c r="K1092" s="100">
        <v>0</v>
      </c>
      <c r="L1092" s="100">
        <v>0</v>
      </c>
      <c r="M1092" s="100">
        <v>0</v>
      </c>
      <c r="N1092" s="100">
        <v>0</v>
      </c>
      <c r="O1092" s="100">
        <v>0</v>
      </c>
      <c r="P1092" s="100">
        <v>0</v>
      </c>
      <c r="Q1092" s="100">
        <v>0</v>
      </c>
      <c r="R1092" s="100">
        <v>0</v>
      </c>
      <c r="S1092" s="100">
        <v>0</v>
      </c>
      <c r="T1092" s="100">
        <v>0</v>
      </c>
      <c r="U1092" s="100">
        <v>0</v>
      </c>
      <c r="V1092" s="100">
        <v>0</v>
      </c>
      <c r="W1092" s="100">
        <v>0</v>
      </c>
      <c r="X1092" s="100">
        <v>0</v>
      </c>
      <c r="Y1092" s="101">
        <v>7680795.6500000004</v>
      </c>
      <c r="Z1092" s="102">
        <v>0</v>
      </c>
      <c r="AA1092" s="103">
        <v>0</v>
      </c>
      <c r="AB1092" s="103">
        <v>0</v>
      </c>
      <c r="AC1092" s="103">
        <v>0</v>
      </c>
      <c r="AD1092" s="103">
        <v>0</v>
      </c>
      <c r="AE1092" s="103">
        <v>0</v>
      </c>
      <c r="AF1092" s="103">
        <v>0</v>
      </c>
      <c r="AG1092" s="102">
        <v>0</v>
      </c>
      <c r="AH1092" s="106" t="s">
        <v>74</v>
      </c>
      <c r="AI1092" s="104" t="s">
        <v>74</v>
      </c>
      <c r="AJ1092" s="104" t="s">
        <v>74</v>
      </c>
      <c r="AK1092" s="104" t="s">
        <v>74</v>
      </c>
      <c r="AL1092" s="104" t="s">
        <v>74</v>
      </c>
      <c r="AM1092" s="104" t="s">
        <v>74</v>
      </c>
      <c r="AN1092" s="105">
        <v>0</v>
      </c>
      <c r="AO1092" s="105">
        <v>0</v>
      </c>
      <c r="AP1092" s="105">
        <v>0</v>
      </c>
      <c r="AQ1092" s="105">
        <v>0</v>
      </c>
      <c r="AR1092" s="105">
        <v>0</v>
      </c>
      <c r="AS1092" s="105">
        <v>0</v>
      </c>
      <c r="AT1092" s="106" t="s">
        <v>74</v>
      </c>
      <c r="AU1092" s="105">
        <v>0</v>
      </c>
      <c r="AV1092" s="105"/>
      <c r="AW1092" s="105">
        <v>0</v>
      </c>
      <c r="AX1092" s="105"/>
      <c r="AY1092" s="105"/>
      <c r="AZ1092" s="105">
        <v>0</v>
      </c>
      <c r="BA1092" s="105">
        <v>0</v>
      </c>
      <c r="BB1092" s="107" t="s">
        <v>74</v>
      </c>
      <c r="BC1092" s="107" t="s">
        <v>74</v>
      </c>
      <c r="BD1092" s="107" t="s">
        <v>74</v>
      </c>
      <c r="BE1092" s="107" t="s">
        <v>74</v>
      </c>
      <c r="BF1092" s="107" t="s">
        <v>74</v>
      </c>
      <c r="BG1092" s="107" t="s">
        <v>74</v>
      </c>
      <c r="BH1092" s="105">
        <v>0</v>
      </c>
      <c r="BI1092" s="105">
        <v>7680795.6500000004</v>
      </c>
      <c r="BJ1092" s="52">
        <v>7680795.6500000004</v>
      </c>
      <c r="BK1092" s="56">
        <v>44013</v>
      </c>
      <c r="BL1092" s="109">
        <v>7680795.6500000004</v>
      </c>
      <c r="BM1092" s="100">
        <v>0</v>
      </c>
      <c r="BN1092" s="9"/>
      <c r="BO1092" s="9"/>
      <c r="BP1092" s="9"/>
      <c r="BQ1092" s="9"/>
      <c r="BR1092" s="9"/>
      <c r="BS1092" s="9"/>
      <c r="BT1092" s="9"/>
      <c r="BU1092" s="9"/>
      <c r="BV1092" s="9"/>
      <c r="BW1092" s="9"/>
    </row>
    <row r="1093" spans="1:75" hidden="1" outlineLevel="2" x14ac:dyDescent="0.25">
      <c r="A1093" s="43" t="s">
        <v>1096</v>
      </c>
      <c r="B1093" s="110" t="s">
        <v>1165</v>
      </c>
      <c r="C1093" s="45">
        <v>2020</v>
      </c>
      <c r="D1093" s="110" t="s">
        <v>84</v>
      </c>
      <c r="E1093" s="113">
        <v>7680795.6500000004</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7680795.6500000004</v>
      </c>
      <c r="Z1093" s="49">
        <v>0</v>
      </c>
      <c r="AA1093" s="50">
        <v>0</v>
      </c>
      <c r="AB1093" s="50">
        <v>0</v>
      </c>
      <c r="AC1093" s="50">
        <v>0</v>
      </c>
      <c r="AD1093" s="50">
        <v>0</v>
      </c>
      <c r="AE1093" s="50">
        <v>0</v>
      </c>
      <c r="AF1093" s="50">
        <v>0</v>
      </c>
      <c r="AG1093" s="49">
        <v>0</v>
      </c>
      <c r="AH1093" s="51" t="s">
        <v>74</v>
      </c>
      <c r="AI1093" s="51" t="s">
        <v>74</v>
      </c>
      <c r="AJ1093" s="51" t="s">
        <v>74</v>
      </c>
      <c r="AK1093" s="51" t="s">
        <v>74</v>
      </c>
      <c r="AL1093" s="51" t="s">
        <v>74</v>
      </c>
      <c r="AM1093" s="51" t="s">
        <v>74</v>
      </c>
      <c r="AN1093" s="52">
        <v>0</v>
      </c>
      <c r="AO1093" s="52">
        <v>0</v>
      </c>
      <c r="AP1093" s="52">
        <v>0</v>
      </c>
      <c r="AQ1093" s="52">
        <v>0</v>
      </c>
      <c r="AR1093" s="52">
        <v>0</v>
      </c>
      <c r="AS1093" s="52">
        <v>0</v>
      </c>
      <c r="AT1093" s="53" t="s">
        <v>74</v>
      </c>
      <c r="AU1093" s="52">
        <v>0</v>
      </c>
      <c r="AV1093" s="52"/>
      <c r="AW1093" s="52">
        <v>0</v>
      </c>
      <c r="AX1093" s="52"/>
      <c r="AY1093" s="52"/>
      <c r="AZ1093" s="52">
        <v>0</v>
      </c>
      <c r="BA1093" s="52">
        <v>0</v>
      </c>
      <c r="BB1093" s="54" t="s">
        <v>74</v>
      </c>
      <c r="BC1093" s="54" t="s">
        <v>74</v>
      </c>
      <c r="BD1093" s="54" t="s">
        <v>74</v>
      </c>
      <c r="BE1093" s="54" t="s">
        <v>74</v>
      </c>
      <c r="BF1093" s="54" t="s">
        <v>74</v>
      </c>
      <c r="BG1093" s="54" t="s">
        <v>74</v>
      </c>
      <c r="BH1093" s="52">
        <v>0</v>
      </c>
      <c r="BI1093" s="52">
        <v>7680795.6500000004</v>
      </c>
      <c r="BJ1093" s="52">
        <v>7680795.6500000004</v>
      </c>
      <c r="BK1093" s="56">
        <v>44013</v>
      </c>
      <c r="BL1093" s="63">
        <v>7680795.6500000004</v>
      </c>
      <c r="BM1093" s="47">
        <v>0</v>
      </c>
      <c r="BN1093" s="9"/>
      <c r="BO1093" s="9"/>
      <c r="BP1093" s="9"/>
      <c r="BQ1093" s="9"/>
      <c r="BR1093" s="9"/>
      <c r="BS1093" s="9"/>
      <c r="BT1093" s="9"/>
      <c r="BU1093" s="9"/>
      <c r="BV1093" s="9"/>
      <c r="BW1093" s="9"/>
    </row>
    <row r="1094" spans="1:75" hidden="1" outlineLevel="2" x14ac:dyDescent="0.25">
      <c r="A1094" s="43" t="s">
        <v>1096</v>
      </c>
      <c r="B1094" s="110" t="s">
        <v>1165</v>
      </c>
      <c r="C1094" s="45">
        <v>2020</v>
      </c>
      <c r="D1094" s="110" t="s">
        <v>86</v>
      </c>
      <c r="E1094" s="113">
        <v>7680795.6500000004</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7680795.6500000004</v>
      </c>
      <c r="Z1094" s="49">
        <v>0</v>
      </c>
      <c r="AA1094" s="50">
        <v>0</v>
      </c>
      <c r="AB1094" s="50">
        <v>0</v>
      </c>
      <c r="AC1094" s="50">
        <v>0</v>
      </c>
      <c r="AD1094" s="50">
        <v>0</v>
      </c>
      <c r="AE1094" s="50">
        <v>0</v>
      </c>
      <c r="AF1094" s="50">
        <v>0</v>
      </c>
      <c r="AG1094" s="49">
        <v>0</v>
      </c>
      <c r="AH1094" s="51" t="s">
        <v>74</v>
      </c>
      <c r="AI1094" s="51" t="s">
        <v>74</v>
      </c>
      <c r="AJ1094" s="51" t="s">
        <v>74</v>
      </c>
      <c r="AK1094" s="51" t="s">
        <v>74</v>
      </c>
      <c r="AL1094" s="51" t="s">
        <v>74</v>
      </c>
      <c r="AM1094" s="51" t="s">
        <v>74</v>
      </c>
      <c r="AN1094" s="52">
        <v>0</v>
      </c>
      <c r="AO1094" s="52">
        <v>0</v>
      </c>
      <c r="AP1094" s="52">
        <v>0</v>
      </c>
      <c r="AQ1094" s="52">
        <v>0</v>
      </c>
      <c r="AR1094" s="52">
        <v>0</v>
      </c>
      <c r="AS1094" s="52">
        <v>0</v>
      </c>
      <c r="AT1094" s="53" t="s">
        <v>74</v>
      </c>
      <c r="AU1094" s="52">
        <v>0</v>
      </c>
      <c r="AV1094" s="52"/>
      <c r="AW1094" s="52">
        <v>0</v>
      </c>
      <c r="AX1094" s="52"/>
      <c r="AY1094" s="52"/>
      <c r="AZ1094" s="52">
        <v>0</v>
      </c>
      <c r="BA1094" s="52">
        <v>0</v>
      </c>
      <c r="BB1094" s="54" t="s">
        <v>74</v>
      </c>
      <c r="BC1094" s="54" t="s">
        <v>74</v>
      </c>
      <c r="BD1094" s="54" t="s">
        <v>74</v>
      </c>
      <c r="BE1094" s="54" t="s">
        <v>74</v>
      </c>
      <c r="BF1094" s="54" t="s">
        <v>74</v>
      </c>
      <c r="BG1094" s="54" t="s">
        <v>74</v>
      </c>
      <c r="BH1094" s="52">
        <v>0</v>
      </c>
      <c r="BI1094" s="52">
        <v>7680795.6500000004</v>
      </c>
      <c r="BJ1094" s="52">
        <v>7680795.6500000004</v>
      </c>
      <c r="BK1094" s="56">
        <v>44044</v>
      </c>
      <c r="BL1094" s="63">
        <v>7680795.6500000004</v>
      </c>
      <c r="BM1094" s="47">
        <v>0</v>
      </c>
      <c r="BN1094" s="9"/>
      <c r="BO1094" s="9"/>
      <c r="BP1094" s="9"/>
      <c r="BQ1094" s="9"/>
      <c r="BR1094" s="9"/>
      <c r="BS1094" s="9"/>
      <c r="BT1094" s="9"/>
      <c r="BU1094" s="9"/>
      <c r="BV1094" s="9"/>
      <c r="BW1094" s="9"/>
    </row>
    <row r="1095" spans="1:75" ht="102.75" hidden="1" outlineLevel="2" x14ac:dyDescent="0.25">
      <c r="A1095" s="71" t="s">
        <v>1096</v>
      </c>
      <c r="B1095" s="116" t="s">
        <v>1165</v>
      </c>
      <c r="C1095" s="73">
        <v>2020</v>
      </c>
      <c r="D1095" s="116" t="s">
        <v>88</v>
      </c>
      <c r="E1095" s="117">
        <v>7680795.6500000004</v>
      </c>
      <c r="F1095" s="75">
        <v>0</v>
      </c>
      <c r="G1095" s="75">
        <v>0</v>
      </c>
      <c r="H1095" s="75">
        <v>0</v>
      </c>
      <c r="I1095" s="75">
        <v>0</v>
      </c>
      <c r="J1095" s="75">
        <v>0</v>
      </c>
      <c r="K1095" s="75">
        <v>0</v>
      </c>
      <c r="L1095" s="75">
        <v>0</v>
      </c>
      <c r="M1095" s="75">
        <v>0</v>
      </c>
      <c r="N1095" s="75">
        <v>0</v>
      </c>
      <c r="O1095" s="75">
        <v>0</v>
      </c>
      <c r="P1095" s="75">
        <v>0</v>
      </c>
      <c r="Q1095" s="75">
        <v>0</v>
      </c>
      <c r="R1095" s="75">
        <v>0</v>
      </c>
      <c r="S1095" s="75">
        <v>0</v>
      </c>
      <c r="T1095" s="75">
        <v>0</v>
      </c>
      <c r="U1095" s="75">
        <v>0</v>
      </c>
      <c r="V1095" s="75">
        <v>0</v>
      </c>
      <c r="W1095" s="75">
        <v>0</v>
      </c>
      <c r="X1095" s="75">
        <v>0</v>
      </c>
      <c r="Y1095" s="76">
        <v>7680795.6500000004</v>
      </c>
      <c r="Z1095" s="115">
        <v>0</v>
      </c>
      <c r="AA1095" s="79">
        <v>0</v>
      </c>
      <c r="AB1095" s="79">
        <v>0</v>
      </c>
      <c r="AC1095" s="79">
        <v>0</v>
      </c>
      <c r="AD1095" s="79">
        <v>0</v>
      </c>
      <c r="AE1095" s="79">
        <v>0</v>
      </c>
      <c r="AF1095" s="212">
        <v>7680795.6500000004</v>
      </c>
      <c r="AG1095" s="80">
        <v>7680795.6500000004</v>
      </c>
      <c r="AH1095" s="123" t="s">
        <v>74</v>
      </c>
      <c r="AI1095" s="123" t="s">
        <v>74</v>
      </c>
      <c r="AJ1095" s="123" t="s">
        <v>74</v>
      </c>
      <c r="AK1095" s="123" t="s">
        <v>74</v>
      </c>
      <c r="AL1095" s="123" t="s">
        <v>74</v>
      </c>
      <c r="AM1095" s="123" t="s">
        <v>1166</v>
      </c>
      <c r="AN1095" s="82">
        <v>0</v>
      </c>
      <c r="AO1095" s="82">
        <v>0</v>
      </c>
      <c r="AP1095" s="82">
        <v>0</v>
      </c>
      <c r="AQ1095" s="82">
        <v>0</v>
      </c>
      <c r="AR1095" s="82">
        <v>0</v>
      </c>
      <c r="AS1095" s="82">
        <v>0</v>
      </c>
      <c r="AT1095" s="124" t="s">
        <v>74</v>
      </c>
      <c r="AU1095" s="82">
        <v>0</v>
      </c>
      <c r="AV1095" s="82"/>
      <c r="AW1095" s="82">
        <v>0</v>
      </c>
      <c r="AX1095" s="82"/>
      <c r="AY1095" s="82"/>
      <c r="AZ1095" s="82">
        <v>0</v>
      </c>
      <c r="BA1095" s="82">
        <v>0</v>
      </c>
      <c r="BB1095" s="125" t="s">
        <v>74</v>
      </c>
      <c r="BC1095" s="125" t="s">
        <v>74</v>
      </c>
      <c r="BD1095" s="125" t="s">
        <v>74</v>
      </c>
      <c r="BE1095" s="125" t="s">
        <v>74</v>
      </c>
      <c r="BF1095" s="125" t="s">
        <v>74</v>
      </c>
      <c r="BG1095" s="125" t="s">
        <v>74</v>
      </c>
      <c r="BH1095" s="82">
        <v>0</v>
      </c>
      <c r="BI1095" s="82">
        <v>0</v>
      </c>
      <c r="BJ1095" s="52">
        <v>0</v>
      </c>
      <c r="BK1095" s="56">
        <v>44075</v>
      </c>
      <c r="BL1095" s="127"/>
      <c r="BM1095" s="75">
        <v>0</v>
      </c>
      <c r="BN1095" s="9"/>
      <c r="BO1095" s="9"/>
      <c r="BP1095" s="9"/>
      <c r="BQ1095" s="9"/>
      <c r="BR1095" s="9"/>
      <c r="BS1095" s="9"/>
      <c r="BT1095" s="9"/>
      <c r="BU1095" s="9"/>
      <c r="BV1095" s="9"/>
      <c r="BW1095" s="9"/>
    </row>
    <row r="1096" spans="1:75" hidden="1" outlineLevel="1" collapsed="1" x14ac:dyDescent="0.25">
      <c r="A1096" s="84"/>
      <c r="B1096" s="120" t="s">
        <v>1167</v>
      </c>
      <c r="C1096" s="86"/>
      <c r="D1096" s="120"/>
      <c r="E1096" s="121"/>
      <c r="F1096" s="88"/>
      <c r="G1096" s="88"/>
      <c r="H1096" s="88"/>
      <c r="I1096" s="88"/>
      <c r="J1096" s="88"/>
      <c r="K1096" s="88"/>
      <c r="L1096" s="88"/>
      <c r="M1096" s="88"/>
      <c r="N1096" s="88"/>
      <c r="O1096" s="88"/>
      <c r="P1096" s="88"/>
      <c r="Q1096" s="88"/>
      <c r="R1096" s="88"/>
      <c r="S1096" s="88"/>
      <c r="T1096" s="88"/>
      <c r="U1096" s="88"/>
      <c r="V1096" s="88"/>
      <c r="W1096" s="88"/>
      <c r="X1096" s="88"/>
      <c r="Y1096" s="89">
        <f t="shared" ref="Y1096:AG1096" si="219">SUBTOTAL(9,Y1092:Y1095)</f>
        <v>0</v>
      </c>
      <c r="Z1096" s="128">
        <f t="shared" si="219"/>
        <v>0</v>
      </c>
      <c r="AA1096" s="89">
        <f t="shared" si="219"/>
        <v>0</v>
      </c>
      <c r="AB1096" s="89">
        <f t="shared" si="219"/>
        <v>0</v>
      </c>
      <c r="AC1096" s="89">
        <f t="shared" si="219"/>
        <v>0</v>
      </c>
      <c r="AD1096" s="89">
        <f t="shared" si="219"/>
        <v>0</v>
      </c>
      <c r="AE1096" s="89">
        <f t="shared" si="219"/>
        <v>0</v>
      </c>
      <c r="AF1096" s="213">
        <f t="shared" si="219"/>
        <v>0</v>
      </c>
      <c r="AG1096" s="89">
        <f t="shared" si="219"/>
        <v>0</v>
      </c>
      <c r="AH1096" s="129"/>
      <c r="AI1096" s="129"/>
      <c r="AJ1096" s="129"/>
      <c r="AK1096" s="129"/>
      <c r="AL1096" s="129"/>
      <c r="AM1096" s="129"/>
      <c r="AN1096" s="92">
        <f t="shared" ref="AN1096:AS1096" si="220">SUBTOTAL(9,AN1092:AN1095)</f>
        <v>0</v>
      </c>
      <c r="AO1096" s="92">
        <f t="shared" si="220"/>
        <v>0</v>
      </c>
      <c r="AP1096" s="92">
        <f t="shared" si="220"/>
        <v>0</v>
      </c>
      <c r="AQ1096" s="92">
        <f t="shared" si="220"/>
        <v>0</v>
      </c>
      <c r="AR1096" s="92">
        <f t="shared" si="220"/>
        <v>0</v>
      </c>
      <c r="AS1096" s="92">
        <f t="shared" si="220"/>
        <v>0</v>
      </c>
      <c r="AT1096" s="130"/>
      <c r="AU1096" s="92">
        <f t="shared" ref="AU1096:BA1096" si="221">SUBTOTAL(9,AU1092:AU1095)</f>
        <v>0</v>
      </c>
      <c r="AV1096" s="92">
        <f t="shared" si="221"/>
        <v>0</v>
      </c>
      <c r="AW1096" s="92">
        <f t="shared" si="221"/>
        <v>0</v>
      </c>
      <c r="AX1096" s="92">
        <f t="shared" si="221"/>
        <v>0</v>
      </c>
      <c r="AY1096" s="92">
        <f t="shared" si="221"/>
        <v>0</v>
      </c>
      <c r="AZ1096" s="92">
        <f t="shared" si="221"/>
        <v>0</v>
      </c>
      <c r="BA1096" s="92">
        <f t="shared" si="221"/>
        <v>0</v>
      </c>
      <c r="BB1096" s="131"/>
      <c r="BC1096" s="131"/>
      <c r="BD1096" s="131"/>
      <c r="BE1096" s="131"/>
      <c r="BF1096" s="131"/>
      <c r="BG1096" s="131"/>
      <c r="BH1096" s="92">
        <f>SUBTOTAL(9,BH1092:BH1095)</f>
        <v>0</v>
      </c>
      <c r="BI1096" s="92">
        <f>SUBTOTAL(9,BI1092:BI1095)</f>
        <v>0</v>
      </c>
      <c r="BJ1096" s="93"/>
      <c r="BK1096" s="94"/>
      <c r="BL1096" s="88">
        <f>SUBTOTAL(9,BL1092:BL1095)</f>
        <v>0</v>
      </c>
      <c r="BM1096" s="88">
        <f>SUBTOTAL(9,BM1092:BM1095)</f>
        <v>0</v>
      </c>
      <c r="BN1096" s="9"/>
      <c r="BO1096" s="9"/>
      <c r="BP1096" s="9"/>
      <c r="BQ1096" s="9"/>
      <c r="BR1096" s="9"/>
      <c r="BS1096" s="9"/>
      <c r="BT1096" s="9"/>
      <c r="BU1096" s="9"/>
      <c r="BV1096" s="9"/>
      <c r="BW1096" s="9"/>
    </row>
    <row r="1097" spans="1:75" hidden="1" outlineLevel="2" x14ac:dyDescent="0.25">
      <c r="A1097" s="96" t="s">
        <v>1096</v>
      </c>
      <c r="B1097" s="97" t="s">
        <v>1168</v>
      </c>
      <c r="C1097" s="98">
        <v>2020</v>
      </c>
      <c r="D1097" s="97" t="s">
        <v>83</v>
      </c>
      <c r="E1097" s="214">
        <v>3199106.79</v>
      </c>
      <c r="F1097" s="100">
        <v>0</v>
      </c>
      <c r="G1097" s="100">
        <v>0</v>
      </c>
      <c r="H1097" s="100">
        <v>0</v>
      </c>
      <c r="I1097" s="100">
        <v>0</v>
      </c>
      <c r="J1097" s="100">
        <v>0</v>
      </c>
      <c r="K1097" s="100">
        <v>0</v>
      </c>
      <c r="L1097" s="100">
        <v>0</v>
      </c>
      <c r="M1097" s="100">
        <v>0</v>
      </c>
      <c r="N1097" s="100">
        <v>0</v>
      </c>
      <c r="O1097" s="100">
        <v>0</v>
      </c>
      <c r="P1097" s="100">
        <v>0</v>
      </c>
      <c r="Q1097" s="100">
        <v>0</v>
      </c>
      <c r="R1097" s="100">
        <v>0</v>
      </c>
      <c r="S1097" s="100">
        <v>0</v>
      </c>
      <c r="T1097" s="100">
        <v>0</v>
      </c>
      <c r="U1097" s="100">
        <v>0</v>
      </c>
      <c r="V1097" s="100">
        <v>0</v>
      </c>
      <c r="W1097" s="100">
        <v>0</v>
      </c>
      <c r="X1097" s="100">
        <v>0</v>
      </c>
      <c r="Y1097" s="101">
        <v>3199106.79</v>
      </c>
      <c r="Z1097" s="102">
        <v>0</v>
      </c>
      <c r="AA1097" s="103">
        <v>0</v>
      </c>
      <c r="AB1097" s="103">
        <v>0</v>
      </c>
      <c r="AC1097" s="103">
        <v>0</v>
      </c>
      <c r="AD1097" s="103">
        <v>0</v>
      </c>
      <c r="AE1097" s="103">
        <v>0</v>
      </c>
      <c r="AF1097" s="103">
        <v>0</v>
      </c>
      <c r="AG1097" s="102">
        <v>0</v>
      </c>
      <c r="AH1097" s="106" t="s">
        <v>74</v>
      </c>
      <c r="AI1097" s="104" t="s">
        <v>74</v>
      </c>
      <c r="AJ1097" s="104" t="s">
        <v>74</v>
      </c>
      <c r="AK1097" s="104" t="s">
        <v>74</v>
      </c>
      <c r="AL1097" s="104" t="s">
        <v>74</v>
      </c>
      <c r="AM1097" s="104" t="s">
        <v>74</v>
      </c>
      <c r="AN1097" s="105">
        <v>0</v>
      </c>
      <c r="AO1097" s="105">
        <v>0</v>
      </c>
      <c r="AP1097" s="105">
        <v>0</v>
      </c>
      <c r="AQ1097" s="105">
        <v>0</v>
      </c>
      <c r="AR1097" s="105">
        <v>0</v>
      </c>
      <c r="AS1097" s="105">
        <v>0</v>
      </c>
      <c r="AT1097" s="106">
        <v>0</v>
      </c>
      <c r="AU1097" s="105">
        <v>0</v>
      </c>
      <c r="AV1097" s="105"/>
      <c r="AW1097" s="105">
        <v>0</v>
      </c>
      <c r="AX1097" s="105"/>
      <c r="AY1097" s="105"/>
      <c r="AZ1097" s="105">
        <v>0</v>
      </c>
      <c r="BA1097" s="105">
        <v>0</v>
      </c>
      <c r="BB1097" s="107">
        <v>0</v>
      </c>
      <c r="BC1097" s="107">
        <v>0</v>
      </c>
      <c r="BD1097" s="107">
        <v>0</v>
      </c>
      <c r="BE1097" s="107">
        <v>0</v>
      </c>
      <c r="BF1097" s="107">
        <v>0</v>
      </c>
      <c r="BG1097" s="107">
        <v>0</v>
      </c>
      <c r="BH1097" s="105">
        <v>0</v>
      </c>
      <c r="BI1097" s="105">
        <v>3199106.79</v>
      </c>
      <c r="BJ1097" s="52">
        <v>3199106.79</v>
      </c>
      <c r="BK1097" s="56">
        <v>43983</v>
      </c>
      <c r="BL1097" s="200">
        <v>3199106.79</v>
      </c>
      <c r="BM1097" s="100">
        <v>0</v>
      </c>
      <c r="BN1097" s="9"/>
      <c r="BO1097" s="9"/>
      <c r="BP1097" s="9"/>
      <c r="BQ1097" s="9"/>
      <c r="BR1097" s="9"/>
      <c r="BS1097" s="9"/>
      <c r="BT1097" s="9"/>
      <c r="BU1097" s="9"/>
      <c r="BV1097" s="9"/>
      <c r="BW1097" s="9"/>
    </row>
    <row r="1098" spans="1:75" hidden="1" outlineLevel="2" x14ac:dyDescent="0.25">
      <c r="A1098" s="43" t="s">
        <v>1096</v>
      </c>
      <c r="B1098" s="110" t="s">
        <v>1168</v>
      </c>
      <c r="C1098" s="45">
        <v>2020</v>
      </c>
      <c r="D1098" s="110" t="s">
        <v>84</v>
      </c>
      <c r="E1098" s="215">
        <v>3199106.79</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3199106.79</v>
      </c>
      <c r="Z1098" s="49">
        <v>0</v>
      </c>
      <c r="AA1098" s="50">
        <v>0</v>
      </c>
      <c r="AB1098" s="50">
        <v>0</v>
      </c>
      <c r="AC1098" s="50">
        <v>0</v>
      </c>
      <c r="AD1098" s="50">
        <v>0</v>
      </c>
      <c r="AE1098" s="50">
        <v>0</v>
      </c>
      <c r="AF1098" s="50">
        <v>0</v>
      </c>
      <c r="AG1098" s="49">
        <v>0</v>
      </c>
      <c r="AH1098" s="51" t="s">
        <v>74</v>
      </c>
      <c r="AI1098" s="51" t="s">
        <v>74</v>
      </c>
      <c r="AJ1098" s="51" t="s">
        <v>74</v>
      </c>
      <c r="AK1098" s="51" t="s">
        <v>74</v>
      </c>
      <c r="AL1098" s="51" t="s">
        <v>74</v>
      </c>
      <c r="AM1098" s="51" t="s">
        <v>74</v>
      </c>
      <c r="AN1098" s="52">
        <v>0</v>
      </c>
      <c r="AO1098" s="52">
        <v>0</v>
      </c>
      <c r="AP1098" s="52">
        <v>0</v>
      </c>
      <c r="AQ1098" s="52">
        <v>0</v>
      </c>
      <c r="AR1098" s="52">
        <v>0</v>
      </c>
      <c r="AS1098" s="52">
        <v>0</v>
      </c>
      <c r="AT1098" s="53">
        <v>0</v>
      </c>
      <c r="AU1098" s="52">
        <v>0</v>
      </c>
      <c r="AV1098" s="52"/>
      <c r="AW1098" s="52">
        <v>0</v>
      </c>
      <c r="AX1098" s="52"/>
      <c r="AY1098" s="52"/>
      <c r="AZ1098" s="52">
        <v>0</v>
      </c>
      <c r="BA1098" s="52">
        <v>0</v>
      </c>
      <c r="BB1098" s="54">
        <v>0</v>
      </c>
      <c r="BC1098" s="54">
        <v>0</v>
      </c>
      <c r="BD1098" s="54">
        <v>0</v>
      </c>
      <c r="BE1098" s="54">
        <v>0</v>
      </c>
      <c r="BF1098" s="54">
        <v>0</v>
      </c>
      <c r="BG1098" s="54">
        <v>0</v>
      </c>
      <c r="BH1098" s="52">
        <v>0</v>
      </c>
      <c r="BI1098" s="52">
        <v>3199106.79</v>
      </c>
      <c r="BJ1098" s="52">
        <v>3199106.79</v>
      </c>
      <c r="BK1098" s="56">
        <v>44013</v>
      </c>
      <c r="BL1098" s="63">
        <v>3199106.79</v>
      </c>
      <c r="BM1098" s="47">
        <v>0</v>
      </c>
      <c r="BN1098" s="9"/>
      <c r="BO1098" s="9"/>
      <c r="BP1098" s="9"/>
      <c r="BQ1098" s="9"/>
      <c r="BR1098" s="9"/>
      <c r="BS1098" s="9"/>
      <c r="BT1098" s="9"/>
      <c r="BU1098" s="9"/>
      <c r="BV1098" s="9"/>
      <c r="BW1098" s="9"/>
    </row>
    <row r="1099" spans="1:75" hidden="1" outlineLevel="2" x14ac:dyDescent="0.25">
      <c r="A1099" s="71" t="s">
        <v>1096</v>
      </c>
      <c r="B1099" s="116" t="s">
        <v>1168</v>
      </c>
      <c r="C1099" s="73">
        <v>2020</v>
      </c>
      <c r="D1099" s="116" t="s">
        <v>86</v>
      </c>
      <c r="E1099" s="216">
        <v>3199106.79</v>
      </c>
      <c r="F1099" s="75">
        <v>0</v>
      </c>
      <c r="G1099" s="75">
        <v>0</v>
      </c>
      <c r="H1099" s="75">
        <v>0</v>
      </c>
      <c r="I1099" s="75">
        <v>0</v>
      </c>
      <c r="J1099" s="75">
        <v>0</v>
      </c>
      <c r="K1099" s="75">
        <v>0</v>
      </c>
      <c r="L1099" s="75">
        <v>0</v>
      </c>
      <c r="M1099" s="75">
        <v>0</v>
      </c>
      <c r="N1099" s="75">
        <v>0</v>
      </c>
      <c r="O1099" s="75">
        <v>0</v>
      </c>
      <c r="P1099" s="75">
        <v>0</v>
      </c>
      <c r="Q1099" s="75">
        <v>0</v>
      </c>
      <c r="R1099" s="75">
        <v>0</v>
      </c>
      <c r="S1099" s="75">
        <v>0</v>
      </c>
      <c r="T1099" s="75">
        <v>0</v>
      </c>
      <c r="U1099" s="75">
        <v>0</v>
      </c>
      <c r="V1099" s="75">
        <v>0</v>
      </c>
      <c r="W1099" s="75">
        <v>0</v>
      </c>
      <c r="X1099" s="75">
        <v>0</v>
      </c>
      <c r="Y1099" s="76">
        <v>3199106.79</v>
      </c>
      <c r="Z1099" s="80">
        <v>0</v>
      </c>
      <c r="AA1099" s="79">
        <v>0</v>
      </c>
      <c r="AB1099" s="79">
        <v>0</v>
      </c>
      <c r="AC1099" s="79">
        <v>0</v>
      </c>
      <c r="AD1099" s="79">
        <v>0</v>
      </c>
      <c r="AE1099" s="79">
        <v>0</v>
      </c>
      <c r="AF1099" s="79">
        <v>0</v>
      </c>
      <c r="AG1099" s="80">
        <v>0</v>
      </c>
      <c r="AH1099" s="123" t="s">
        <v>74</v>
      </c>
      <c r="AI1099" s="123" t="s">
        <v>74</v>
      </c>
      <c r="AJ1099" s="123" t="s">
        <v>74</v>
      </c>
      <c r="AK1099" s="123" t="s">
        <v>74</v>
      </c>
      <c r="AL1099" s="123" t="s">
        <v>74</v>
      </c>
      <c r="AM1099" s="123" t="s">
        <v>74</v>
      </c>
      <c r="AN1099" s="82">
        <v>0</v>
      </c>
      <c r="AO1099" s="82">
        <v>0</v>
      </c>
      <c r="AP1099" s="82">
        <v>0</v>
      </c>
      <c r="AQ1099" s="82">
        <v>0</v>
      </c>
      <c r="AR1099" s="82">
        <v>0</v>
      </c>
      <c r="AS1099" s="82">
        <v>0</v>
      </c>
      <c r="AT1099" s="124">
        <v>0</v>
      </c>
      <c r="AU1099" s="82">
        <v>0</v>
      </c>
      <c r="AV1099" s="82"/>
      <c r="AW1099" s="82">
        <v>0</v>
      </c>
      <c r="AX1099" s="82"/>
      <c r="AY1099" s="82"/>
      <c r="AZ1099" s="82">
        <v>0</v>
      </c>
      <c r="BA1099" s="82">
        <v>0</v>
      </c>
      <c r="BB1099" s="125">
        <v>0</v>
      </c>
      <c r="BC1099" s="125">
        <v>0</v>
      </c>
      <c r="BD1099" s="125">
        <v>0</v>
      </c>
      <c r="BE1099" s="125">
        <v>0</v>
      </c>
      <c r="BF1099" s="125">
        <v>0</v>
      </c>
      <c r="BG1099" s="125">
        <v>0</v>
      </c>
      <c r="BH1099" s="82">
        <v>0</v>
      </c>
      <c r="BI1099" s="82">
        <v>3199106.79</v>
      </c>
      <c r="BJ1099" s="52">
        <v>3199106.79</v>
      </c>
      <c r="BK1099" s="56">
        <v>44044</v>
      </c>
      <c r="BL1099" s="83">
        <v>3199106.79</v>
      </c>
      <c r="BM1099" s="75">
        <v>0</v>
      </c>
      <c r="BN1099" s="9"/>
      <c r="BO1099" s="9"/>
      <c r="BP1099" s="9"/>
      <c r="BQ1099" s="9"/>
      <c r="BR1099" s="9"/>
      <c r="BS1099" s="9"/>
      <c r="BT1099" s="9"/>
      <c r="BU1099" s="9"/>
      <c r="BV1099" s="9"/>
      <c r="BW1099" s="9"/>
    </row>
    <row r="1100" spans="1:75" hidden="1" outlineLevel="1" collapsed="1" x14ac:dyDescent="0.25">
      <c r="A1100" s="84"/>
      <c r="B1100" s="120" t="s">
        <v>1169</v>
      </c>
      <c r="C1100" s="86"/>
      <c r="D1100" s="120"/>
      <c r="E1100" s="90"/>
      <c r="F1100" s="88"/>
      <c r="G1100" s="88"/>
      <c r="H1100" s="88"/>
      <c r="I1100" s="88"/>
      <c r="J1100" s="88"/>
      <c r="K1100" s="88"/>
      <c r="L1100" s="88"/>
      <c r="M1100" s="88"/>
      <c r="N1100" s="88"/>
      <c r="O1100" s="88"/>
      <c r="P1100" s="88"/>
      <c r="Q1100" s="88"/>
      <c r="R1100" s="88"/>
      <c r="S1100" s="88"/>
      <c r="T1100" s="88"/>
      <c r="U1100" s="88"/>
      <c r="V1100" s="88"/>
      <c r="W1100" s="88"/>
      <c r="X1100" s="88"/>
      <c r="Y1100" s="89">
        <f t="shared" ref="Y1100:AG1100" si="222">SUBTOTAL(9,Y1097:Y1099)</f>
        <v>0</v>
      </c>
      <c r="Z1100" s="89">
        <f t="shared" si="222"/>
        <v>0</v>
      </c>
      <c r="AA1100" s="89">
        <f t="shared" si="222"/>
        <v>0</v>
      </c>
      <c r="AB1100" s="89">
        <f t="shared" si="222"/>
        <v>0</v>
      </c>
      <c r="AC1100" s="89">
        <f t="shared" si="222"/>
        <v>0</v>
      </c>
      <c r="AD1100" s="89">
        <f t="shared" si="222"/>
        <v>0</v>
      </c>
      <c r="AE1100" s="89">
        <f t="shared" si="222"/>
        <v>0</v>
      </c>
      <c r="AF1100" s="89">
        <f t="shared" si="222"/>
        <v>0</v>
      </c>
      <c r="AG1100" s="89">
        <f t="shared" si="222"/>
        <v>0</v>
      </c>
      <c r="AH1100" s="129"/>
      <c r="AI1100" s="129"/>
      <c r="AJ1100" s="129"/>
      <c r="AK1100" s="129"/>
      <c r="AL1100" s="129"/>
      <c r="AM1100" s="129"/>
      <c r="AN1100" s="92">
        <f t="shared" ref="AN1100:AS1100" si="223">SUBTOTAL(9,AN1097:AN1099)</f>
        <v>0</v>
      </c>
      <c r="AO1100" s="92">
        <f t="shared" si="223"/>
        <v>0</v>
      </c>
      <c r="AP1100" s="92">
        <f t="shared" si="223"/>
        <v>0</v>
      </c>
      <c r="AQ1100" s="92">
        <f t="shared" si="223"/>
        <v>0</v>
      </c>
      <c r="AR1100" s="92">
        <f t="shared" si="223"/>
        <v>0</v>
      </c>
      <c r="AS1100" s="92">
        <f t="shared" si="223"/>
        <v>0</v>
      </c>
      <c r="AT1100" s="130"/>
      <c r="AU1100" s="92">
        <f t="shared" ref="AU1100:BA1100" si="224">SUBTOTAL(9,AU1097:AU1099)</f>
        <v>0</v>
      </c>
      <c r="AV1100" s="92">
        <f t="shared" si="224"/>
        <v>0</v>
      </c>
      <c r="AW1100" s="92">
        <f t="shared" si="224"/>
        <v>0</v>
      </c>
      <c r="AX1100" s="92">
        <f t="shared" si="224"/>
        <v>0</v>
      </c>
      <c r="AY1100" s="92">
        <f t="shared" si="224"/>
        <v>0</v>
      </c>
      <c r="AZ1100" s="92">
        <f t="shared" si="224"/>
        <v>0</v>
      </c>
      <c r="BA1100" s="92">
        <f t="shared" si="224"/>
        <v>0</v>
      </c>
      <c r="BB1100" s="131"/>
      <c r="BC1100" s="131"/>
      <c r="BD1100" s="131"/>
      <c r="BE1100" s="131"/>
      <c r="BF1100" s="131"/>
      <c r="BG1100" s="131"/>
      <c r="BH1100" s="92">
        <f>SUBTOTAL(9,BH1097:BH1099)</f>
        <v>0</v>
      </c>
      <c r="BI1100" s="92">
        <f>SUBTOTAL(9,BI1097:BI1099)</f>
        <v>0</v>
      </c>
      <c r="BJ1100" s="93"/>
      <c r="BK1100" s="94"/>
      <c r="BL1100" s="95">
        <f>SUBTOTAL(9,BL1097:BL1099)</f>
        <v>0</v>
      </c>
      <c r="BM1100" s="88">
        <f>SUBTOTAL(9,BM1097:BM1099)</f>
        <v>0</v>
      </c>
      <c r="BN1100" s="9"/>
      <c r="BO1100" s="9"/>
      <c r="BP1100" s="9"/>
      <c r="BQ1100" s="9"/>
      <c r="BR1100" s="9"/>
      <c r="BS1100" s="9"/>
      <c r="BT1100" s="9"/>
      <c r="BU1100" s="9"/>
      <c r="BV1100" s="9"/>
      <c r="BW1100" s="9"/>
    </row>
    <row r="1101" spans="1:75" ht="102.75" hidden="1" outlineLevel="2" x14ac:dyDescent="0.25">
      <c r="A1101" s="96" t="s">
        <v>71</v>
      </c>
      <c r="B1101" s="97" t="s">
        <v>1170</v>
      </c>
      <c r="C1101" s="98">
        <v>2020</v>
      </c>
      <c r="D1101" s="97" t="s">
        <v>88</v>
      </c>
      <c r="E1101" s="214"/>
      <c r="F1101" s="100"/>
      <c r="G1101" s="100"/>
      <c r="H1101" s="100"/>
      <c r="I1101" s="100"/>
      <c r="J1101" s="100"/>
      <c r="K1101" s="100"/>
      <c r="L1101" s="100"/>
      <c r="M1101" s="100"/>
      <c r="N1101" s="100"/>
      <c r="O1101" s="100"/>
      <c r="P1101" s="100"/>
      <c r="Q1101" s="100"/>
      <c r="R1101" s="100"/>
      <c r="S1101" s="100"/>
      <c r="T1101" s="100"/>
      <c r="U1101" s="100"/>
      <c r="V1101" s="100"/>
      <c r="W1101" s="100">
        <v>0</v>
      </c>
      <c r="X1101" s="100">
        <v>0</v>
      </c>
      <c r="Y1101" s="101"/>
      <c r="Z1101" s="102"/>
      <c r="AA1101" s="103"/>
      <c r="AB1101" s="103"/>
      <c r="AC1101" s="103"/>
      <c r="AD1101" s="103"/>
      <c r="AE1101" s="103"/>
      <c r="AF1101" s="103"/>
      <c r="AG1101" s="102"/>
      <c r="AH1101" s="144" t="s">
        <v>74</v>
      </c>
      <c r="AI1101" s="144" t="s">
        <v>74</v>
      </c>
      <c r="AJ1101" s="144" t="s">
        <v>74</v>
      </c>
      <c r="AK1101" s="144" t="s">
        <v>74</v>
      </c>
      <c r="AL1101" s="144" t="s">
        <v>74</v>
      </c>
      <c r="AM1101" s="144" t="s">
        <v>74</v>
      </c>
      <c r="AN1101" s="105"/>
      <c r="AO1101" s="105"/>
      <c r="AP1101" s="105"/>
      <c r="AQ1101" s="105"/>
      <c r="AR1101" s="105"/>
      <c r="AS1101" s="105"/>
      <c r="AT1101" s="144" t="s">
        <v>74</v>
      </c>
      <c r="AU1101" s="105"/>
      <c r="AV1101" s="105"/>
      <c r="AW1101" s="105"/>
      <c r="AX1101" s="199">
        <v>6099806.5899999999</v>
      </c>
      <c r="AY1101" s="105"/>
      <c r="AZ1101" s="105"/>
      <c r="BA1101" s="199">
        <v>6099806.5899999999</v>
      </c>
      <c r="BB1101" s="199" t="s">
        <v>74</v>
      </c>
      <c r="BC1101" s="199" t="s">
        <v>74</v>
      </c>
      <c r="BD1101" s="199" t="s">
        <v>74</v>
      </c>
      <c r="BE1101" s="217" t="s">
        <v>1171</v>
      </c>
      <c r="BF1101" s="199" t="s">
        <v>74</v>
      </c>
      <c r="BG1101" s="199"/>
      <c r="BH1101" s="199">
        <v>6099806.5899999999</v>
      </c>
      <c r="BI1101" s="199">
        <v>6099806.5899999999</v>
      </c>
      <c r="BJ1101" s="52"/>
      <c r="BK1101" s="56"/>
      <c r="BL1101" s="200">
        <v>6099806.5899999999</v>
      </c>
      <c r="BM1101" s="100">
        <v>0</v>
      </c>
      <c r="BN1101" s="9"/>
      <c r="BO1101" s="9"/>
      <c r="BP1101" s="9"/>
      <c r="BQ1101" s="9"/>
      <c r="BR1101" s="9"/>
      <c r="BS1101" s="9"/>
      <c r="BT1101" s="9"/>
      <c r="BU1101" s="9"/>
      <c r="BV1101" s="9"/>
      <c r="BW1101" s="9"/>
    </row>
    <row r="1102" spans="1:75" ht="102.75" hidden="1" outlineLevel="2" x14ac:dyDescent="0.25">
      <c r="A1102" s="71" t="s">
        <v>71</v>
      </c>
      <c r="B1102" s="116" t="s">
        <v>1170</v>
      </c>
      <c r="C1102" s="73">
        <v>2020</v>
      </c>
      <c r="D1102" s="116" t="s">
        <v>89</v>
      </c>
      <c r="E1102" s="216">
        <v>3456557.13</v>
      </c>
      <c r="F1102" s="75">
        <v>0</v>
      </c>
      <c r="G1102" s="75">
        <v>0</v>
      </c>
      <c r="H1102" s="75">
        <v>0</v>
      </c>
      <c r="I1102" s="75">
        <v>0</v>
      </c>
      <c r="J1102" s="75">
        <v>0</v>
      </c>
      <c r="K1102" s="75">
        <v>0</v>
      </c>
      <c r="L1102" s="75">
        <v>0</v>
      </c>
      <c r="M1102" s="75">
        <v>0</v>
      </c>
      <c r="N1102" s="75">
        <v>0</v>
      </c>
      <c r="O1102" s="75">
        <v>0</v>
      </c>
      <c r="P1102" s="75">
        <v>0</v>
      </c>
      <c r="Q1102" s="75">
        <v>0</v>
      </c>
      <c r="R1102" s="75">
        <v>0</v>
      </c>
      <c r="S1102" s="75">
        <v>0</v>
      </c>
      <c r="T1102" s="75">
        <v>0</v>
      </c>
      <c r="U1102" s="75">
        <v>0</v>
      </c>
      <c r="V1102" s="75">
        <v>0</v>
      </c>
      <c r="W1102" s="75">
        <v>0</v>
      </c>
      <c r="X1102" s="75">
        <v>0</v>
      </c>
      <c r="Y1102" s="76">
        <v>3456557.13</v>
      </c>
      <c r="Z1102" s="80">
        <v>0</v>
      </c>
      <c r="AA1102" s="79">
        <v>0</v>
      </c>
      <c r="AB1102" s="79">
        <v>0</v>
      </c>
      <c r="AC1102" s="79">
        <v>0</v>
      </c>
      <c r="AD1102" s="79">
        <v>0</v>
      </c>
      <c r="AE1102" s="79">
        <v>0</v>
      </c>
      <c r="AF1102" s="79">
        <v>0</v>
      </c>
      <c r="AG1102" s="80">
        <v>0</v>
      </c>
      <c r="AH1102" s="123" t="s">
        <v>74</v>
      </c>
      <c r="AI1102" s="123" t="s">
        <v>74</v>
      </c>
      <c r="AJ1102" s="123" t="s">
        <v>74</v>
      </c>
      <c r="AK1102" s="123" t="s">
        <v>74</v>
      </c>
      <c r="AL1102" s="123" t="s">
        <v>74</v>
      </c>
      <c r="AM1102" s="123" t="s">
        <v>74</v>
      </c>
      <c r="AN1102" s="82"/>
      <c r="AO1102" s="82"/>
      <c r="AP1102" s="82"/>
      <c r="AQ1102" s="82"/>
      <c r="AR1102" s="82"/>
      <c r="AS1102" s="82">
        <v>0</v>
      </c>
      <c r="AT1102" s="81" t="s">
        <v>74</v>
      </c>
      <c r="AU1102" s="141"/>
      <c r="AV1102" s="82"/>
      <c r="AW1102" s="82">
        <v>0</v>
      </c>
      <c r="AX1102" s="141">
        <v>1016634.45</v>
      </c>
      <c r="AY1102" s="82"/>
      <c r="AZ1102" s="82">
        <v>0</v>
      </c>
      <c r="BA1102" s="141">
        <v>1016634.45</v>
      </c>
      <c r="BB1102" s="124" t="s">
        <v>74</v>
      </c>
      <c r="BC1102" s="124" t="s">
        <v>74</v>
      </c>
      <c r="BD1102" s="126" t="s">
        <v>74</v>
      </c>
      <c r="BE1102" s="124" t="s">
        <v>1172</v>
      </c>
      <c r="BF1102" s="126" t="s">
        <v>74</v>
      </c>
      <c r="BG1102" s="126" t="s">
        <v>74</v>
      </c>
      <c r="BH1102" s="82">
        <v>7116441.04</v>
      </c>
      <c r="BI1102" s="82">
        <v>10572998.17</v>
      </c>
      <c r="BJ1102" s="52">
        <v>3456557.13</v>
      </c>
      <c r="BK1102" s="56">
        <v>44105</v>
      </c>
      <c r="BL1102" s="127">
        <v>4473191.58</v>
      </c>
      <c r="BM1102" s="75">
        <v>0</v>
      </c>
      <c r="BN1102" s="9"/>
      <c r="BO1102" s="9"/>
      <c r="BP1102" s="9"/>
      <c r="BQ1102" s="9"/>
      <c r="BR1102" s="9"/>
      <c r="BS1102" s="9"/>
      <c r="BT1102" s="9"/>
      <c r="BU1102" s="9"/>
      <c r="BV1102" s="9"/>
      <c r="BW1102" s="9"/>
    </row>
    <row r="1103" spans="1:75" hidden="1" outlineLevel="1" collapsed="1" x14ac:dyDescent="0.25">
      <c r="A1103" s="84"/>
      <c r="B1103" s="120" t="s">
        <v>1173</v>
      </c>
      <c r="C1103" s="86"/>
      <c r="D1103" s="120"/>
      <c r="E1103" s="90"/>
      <c r="F1103" s="88"/>
      <c r="G1103" s="88"/>
      <c r="H1103" s="88"/>
      <c r="I1103" s="88"/>
      <c r="J1103" s="88"/>
      <c r="K1103" s="88"/>
      <c r="L1103" s="88"/>
      <c r="M1103" s="88"/>
      <c r="N1103" s="88"/>
      <c r="O1103" s="88"/>
      <c r="P1103" s="88"/>
      <c r="Q1103" s="88"/>
      <c r="R1103" s="88"/>
      <c r="S1103" s="88"/>
      <c r="T1103" s="88"/>
      <c r="U1103" s="88"/>
      <c r="V1103" s="88"/>
      <c r="W1103" s="88"/>
      <c r="X1103" s="88"/>
      <c r="Y1103" s="89">
        <f t="shared" ref="Y1103:AG1103" si="225">SUBTOTAL(9,Y1101:Y1102)</f>
        <v>0</v>
      </c>
      <c r="Z1103" s="89">
        <f t="shared" si="225"/>
        <v>0</v>
      </c>
      <c r="AA1103" s="89">
        <f t="shared" si="225"/>
        <v>0</v>
      </c>
      <c r="AB1103" s="89">
        <f t="shared" si="225"/>
        <v>0</v>
      </c>
      <c r="AC1103" s="89">
        <f t="shared" si="225"/>
        <v>0</v>
      </c>
      <c r="AD1103" s="89">
        <f t="shared" si="225"/>
        <v>0</v>
      </c>
      <c r="AE1103" s="89">
        <f t="shared" si="225"/>
        <v>0</v>
      </c>
      <c r="AF1103" s="89">
        <f t="shared" si="225"/>
        <v>0</v>
      </c>
      <c r="AG1103" s="89">
        <f t="shared" si="225"/>
        <v>0</v>
      </c>
      <c r="AH1103" s="129"/>
      <c r="AI1103" s="129"/>
      <c r="AJ1103" s="129"/>
      <c r="AK1103" s="129"/>
      <c r="AL1103" s="129"/>
      <c r="AM1103" s="129"/>
      <c r="AN1103" s="92">
        <f t="shared" ref="AN1103:AS1103" si="226">SUBTOTAL(9,AN1101:AN1102)</f>
        <v>0</v>
      </c>
      <c r="AO1103" s="92">
        <f t="shared" si="226"/>
        <v>0</v>
      </c>
      <c r="AP1103" s="92">
        <f t="shared" si="226"/>
        <v>0</v>
      </c>
      <c r="AQ1103" s="92">
        <f t="shared" si="226"/>
        <v>0</v>
      </c>
      <c r="AR1103" s="92">
        <f t="shared" si="226"/>
        <v>0</v>
      </c>
      <c r="AS1103" s="92">
        <f t="shared" si="226"/>
        <v>0</v>
      </c>
      <c r="AT1103" s="91"/>
      <c r="AU1103" s="143">
        <f t="shared" ref="AU1103:BA1103" si="227">SUBTOTAL(9,AU1101:AU1102)</f>
        <v>0</v>
      </c>
      <c r="AV1103" s="92">
        <f t="shared" si="227"/>
        <v>0</v>
      </c>
      <c r="AW1103" s="92">
        <f t="shared" si="227"/>
        <v>0</v>
      </c>
      <c r="AX1103" s="143">
        <f t="shared" si="227"/>
        <v>0</v>
      </c>
      <c r="AY1103" s="92">
        <f t="shared" si="227"/>
        <v>0</v>
      </c>
      <c r="AZ1103" s="92">
        <f t="shared" si="227"/>
        <v>0</v>
      </c>
      <c r="BA1103" s="143">
        <f t="shared" si="227"/>
        <v>0</v>
      </c>
      <c r="BB1103" s="130"/>
      <c r="BC1103" s="130"/>
      <c r="BD1103" s="132"/>
      <c r="BE1103" s="130"/>
      <c r="BF1103" s="132"/>
      <c r="BG1103" s="132"/>
      <c r="BH1103" s="92">
        <f>SUBTOTAL(9,BH1101:BH1102)</f>
        <v>0</v>
      </c>
      <c r="BI1103" s="92">
        <f>SUBTOTAL(9,BI1101:BI1102)</f>
        <v>0</v>
      </c>
      <c r="BJ1103" s="93"/>
      <c r="BK1103" s="94"/>
      <c r="BL1103" s="88">
        <f>SUBTOTAL(9,BL1101:BL1102)</f>
        <v>0</v>
      </c>
      <c r="BM1103" s="88">
        <f>SUBTOTAL(9,BM1101:BM1102)</f>
        <v>0</v>
      </c>
      <c r="BN1103" s="9"/>
      <c r="BO1103" s="9"/>
      <c r="BP1103" s="9"/>
      <c r="BQ1103" s="9"/>
      <c r="BR1103" s="9"/>
      <c r="BS1103" s="9"/>
      <c r="BT1103" s="9"/>
      <c r="BU1103" s="9"/>
      <c r="BV1103" s="9"/>
      <c r="BW1103" s="9"/>
    </row>
    <row r="1104" spans="1:75" ht="141" hidden="1" outlineLevel="2" x14ac:dyDescent="0.25">
      <c r="A1104" s="96" t="s">
        <v>1073</v>
      </c>
      <c r="B1104" s="97" t="s">
        <v>1174</v>
      </c>
      <c r="C1104" s="98">
        <v>2020</v>
      </c>
      <c r="D1104" s="97" t="s">
        <v>89</v>
      </c>
      <c r="E1104" s="214">
        <v>1280078.5900000001</v>
      </c>
      <c r="F1104" s="100">
        <v>0</v>
      </c>
      <c r="G1104" s="100">
        <v>0</v>
      </c>
      <c r="H1104" s="100">
        <v>0</v>
      </c>
      <c r="I1104" s="100">
        <v>0</v>
      </c>
      <c r="J1104" s="100">
        <v>0</v>
      </c>
      <c r="K1104" s="100">
        <v>0</v>
      </c>
      <c r="L1104" s="100">
        <v>0</v>
      </c>
      <c r="M1104" s="100">
        <v>0</v>
      </c>
      <c r="N1104" s="100">
        <v>0</v>
      </c>
      <c r="O1104" s="100">
        <v>0</v>
      </c>
      <c r="P1104" s="100">
        <v>0</v>
      </c>
      <c r="Q1104" s="100">
        <v>0</v>
      </c>
      <c r="R1104" s="100">
        <v>0</v>
      </c>
      <c r="S1104" s="100">
        <v>0</v>
      </c>
      <c r="T1104" s="100">
        <v>0</v>
      </c>
      <c r="U1104" s="100">
        <v>0</v>
      </c>
      <c r="V1104" s="100">
        <v>0</v>
      </c>
      <c r="W1104" s="100">
        <v>0</v>
      </c>
      <c r="X1104" s="100">
        <v>0</v>
      </c>
      <c r="Y1104" s="101">
        <v>1280078.5900000001</v>
      </c>
      <c r="Z1104" s="102">
        <v>0</v>
      </c>
      <c r="AA1104" s="103">
        <v>0</v>
      </c>
      <c r="AB1104" s="103">
        <v>0</v>
      </c>
      <c r="AC1104" s="103">
        <v>0</v>
      </c>
      <c r="AD1104" s="103">
        <v>0</v>
      </c>
      <c r="AE1104" s="103">
        <v>0</v>
      </c>
      <c r="AF1104" s="103">
        <v>0</v>
      </c>
      <c r="AG1104" s="102">
        <v>0</v>
      </c>
      <c r="AH1104" s="104" t="s">
        <v>74</v>
      </c>
      <c r="AI1104" s="104" t="s">
        <v>74</v>
      </c>
      <c r="AJ1104" s="104" t="s">
        <v>74</v>
      </c>
      <c r="AK1104" s="104" t="s">
        <v>74</v>
      </c>
      <c r="AL1104" s="104" t="s">
        <v>74</v>
      </c>
      <c r="AM1104" s="104" t="s">
        <v>74</v>
      </c>
      <c r="AN1104" s="105"/>
      <c r="AO1104" s="105"/>
      <c r="AP1104" s="105"/>
      <c r="AQ1104" s="105"/>
      <c r="AR1104" s="105"/>
      <c r="AS1104" s="105">
        <v>0</v>
      </c>
      <c r="AT1104" s="106" t="s">
        <v>74</v>
      </c>
      <c r="AU1104" s="199"/>
      <c r="AV1104" s="105"/>
      <c r="AW1104" s="105">
        <v>0</v>
      </c>
      <c r="AX1104" s="199">
        <v>4627976.37</v>
      </c>
      <c r="AY1104" s="105"/>
      <c r="AZ1104" s="105">
        <v>0</v>
      </c>
      <c r="BA1104" s="105">
        <v>4627976.37</v>
      </c>
      <c r="BB1104" s="106" t="s">
        <v>74</v>
      </c>
      <c r="BC1104" s="106" t="s">
        <v>74</v>
      </c>
      <c r="BD1104" s="108" t="s">
        <v>74</v>
      </c>
      <c r="BE1104" s="106" t="s">
        <v>1175</v>
      </c>
      <c r="BF1104" s="108" t="s">
        <v>74</v>
      </c>
      <c r="BG1104" s="108" t="s">
        <v>74</v>
      </c>
      <c r="BH1104" s="105">
        <v>4627976.37</v>
      </c>
      <c r="BI1104" s="105">
        <v>5908054.96</v>
      </c>
      <c r="BJ1104" s="52">
        <v>1280078.5900000001</v>
      </c>
      <c r="BK1104" s="56">
        <v>44105</v>
      </c>
      <c r="BL1104" s="109">
        <v>5908054.96</v>
      </c>
      <c r="BM1104" s="100">
        <v>0</v>
      </c>
      <c r="BN1104" s="9"/>
      <c r="BO1104" s="9"/>
      <c r="BP1104" s="9"/>
      <c r="BQ1104" s="9"/>
      <c r="BR1104" s="9"/>
      <c r="BS1104" s="9"/>
      <c r="BT1104" s="9"/>
      <c r="BU1104" s="9"/>
      <c r="BV1104" s="9"/>
      <c r="BW1104" s="9"/>
    </row>
    <row r="1105" spans="1:75" hidden="1" outlineLevel="2" x14ac:dyDescent="0.25">
      <c r="A1105" s="43" t="s">
        <v>1073</v>
      </c>
      <c r="B1105" s="110" t="s">
        <v>1174</v>
      </c>
      <c r="C1105" s="45">
        <v>2020</v>
      </c>
      <c r="D1105" s="110" t="s">
        <v>90</v>
      </c>
      <c r="E1105" s="215">
        <v>2954027.51</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2954027.51</v>
      </c>
      <c r="Z1105" s="49">
        <v>0</v>
      </c>
      <c r="AA1105" s="50">
        <v>0</v>
      </c>
      <c r="AB1105" s="50">
        <v>0</v>
      </c>
      <c r="AC1105" s="50">
        <v>0</v>
      </c>
      <c r="AD1105" s="50">
        <v>0</v>
      </c>
      <c r="AE1105" s="50">
        <v>0</v>
      </c>
      <c r="AF1105" s="50">
        <v>0</v>
      </c>
      <c r="AG1105" s="49">
        <v>0</v>
      </c>
      <c r="AH1105" s="51" t="s">
        <v>74</v>
      </c>
      <c r="AI1105" s="51" t="s">
        <v>74</v>
      </c>
      <c r="AJ1105" s="51" t="s">
        <v>74</v>
      </c>
      <c r="AK1105" s="51" t="s">
        <v>74</v>
      </c>
      <c r="AL1105" s="51" t="s">
        <v>74</v>
      </c>
      <c r="AM1105" s="51" t="s">
        <v>74</v>
      </c>
      <c r="AN1105" s="52">
        <v>0</v>
      </c>
      <c r="AO1105" s="52">
        <v>0</v>
      </c>
      <c r="AP1105" s="52">
        <v>0</v>
      </c>
      <c r="AQ1105" s="52">
        <v>0</v>
      </c>
      <c r="AR1105" s="52">
        <v>0</v>
      </c>
      <c r="AS1105" s="52">
        <v>0</v>
      </c>
      <c r="AT1105" s="53" t="s">
        <v>74</v>
      </c>
      <c r="AU1105" s="52">
        <v>0</v>
      </c>
      <c r="AV1105" s="52"/>
      <c r="AW1105" s="52">
        <v>0</v>
      </c>
      <c r="AX1105" s="52"/>
      <c r="AY1105" s="52"/>
      <c r="AZ1105" s="52">
        <v>0</v>
      </c>
      <c r="BA1105" s="52">
        <v>0</v>
      </c>
      <c r="BB1105" s="54" t="s">
        <v>74</v>
      </c>
      <c r="BC1105" s="53" t="s">
        <v>74</v>
      </c>
      <c r="BD1105" s="55" t="s">
        <v>74</v>
      </c>
      <c r="BE1105" s="55" t="s">
        <v>74</v>
      </c>
      <c r="BF1105" s="55" t="s">
        <v>74</v>
      </c>
      <c r="BG1105" s="55" t="s">
        <v>74</v>
      </c>
      <c r="BH1105" s="52">
        <v>0</v>
      </c>
      <c r="BI1105" s="52">
        <v>2954027.51</v>
      </c>
      <c r="BJ1105" s="52">
        <v>2954027.51</v>
      </c>
      <c r="BK1105" s="56">
        <v>44136</v>
      </c>
      <c r="BL1105" s="63">
        <v>2954027.51</v>
      </c>
      <c r="BM1105" s="47">
        <v>0</v>
      </c>
      <c r="BN1105" s="9"/>
      <c r="BO1105" s="9"/>
      <c r="BP1105" s="9"/>
      <c r="BQ1105" s="9"/>
      <c r="BR1105" s="9"/>
      <c r="BS1105" s="9"/>
      <c r="BT1105" s="9"/>
      <c r="BU1105" s="9"/>
      <c r="BV1105" s="9"/>
      <c r="BW1105" s="9"/>
    </row>
    <row r="1106" spans="1:75" ht="192" hidden="1" outlineLevel="2" x14ac:dyDescent="0.25">
      <c r="A1106" s="43" t="s">
        <v>1073</v>
      </c>
      <c r="B1106" s="110" t="s">
        <v>1174</v>
      </c>
      <c r="C1106" s="45">
        <v>2020</v>
      </c>
      <c r="D1106" s="110" t="s">
        <v>93</v>
      </c>
      <c r="E1106" s="215">
        <v>2954027.51</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2954027.51</v>
      </c>
      <c r="Z1106" s="80">
        <v>0</v>
      </c>
      <c r="AA1106" s="50">
        <v>0</v>
      </c>
      <c r="AB1106" s="50">
        <v>0</v>
      </c>
      <c r="AC1106" s="50">
        <v>0</v>
      </c>
      <c r="AD1106" s="50">
        <v>310503.48</v>
      </c>
      <c r="AE1106" s="50">
        <v>0</v>
      </c>
      <c r="AF1106" s="50">
        <v>0</v>
      </c>
      <c r="AG1106" s="49">
        <v>310503.48</v>
      </c>
      <c r="AH1106" s="51" t="s">
        <v>74</v>
      </c>
      <c r="AI1106" s="51" t="s">
        <v>74</v>
      </c>
      <c r="AJ1106" s="51" t="s">
        <v>74</v>
      </c>
      <c r="AK1106" s="51" t="s">
        <v>1176</v>
      </c>
      <c r="AL1106" s="51" t="s">
        <v>74</v>
      </c>
      <c r="AM1106" s="51" t="s">
        <v>74</v>
      </c>
      <c r="AN1106" s="52">
        <v>0</v>
      </c>
      <c r="AO1106" s="52">
        <v>0</v>
      </c>
      <c r="AP1106" s="52">
        <v>0</v>
      </c>
      <c r="AQ1106" s="52">
        <v>0</v>
      </c>
      <c r="AR1106" s="52">
        <v>0</v>
      </c>
      <c r="AS1106" s="52">
        <v>0</v>
      </c>
      <c r="AT1106" s="53" t="s">
        <v>74</v>
      </c>
      <c r="AU1106" s="52">
        <v>0</v>
      </c>
      <c r="AV1106" s="52"/>
      <c r="AW1106" s="52">
        <v>0</v>
      </c>
      <c r="AX1106" s="52"/>
      <c r="AY1106" s="52"/>
      <c r="AZ1106" s="52">
        <v>0</v>
      </c>
      <c r="BA1106" s="52">
        <v>0</v>
      </c>
      <c r="BB1106" s="54" t="s">
        <v>74</v>
      </c>
      <c r="BC1106" s="53" t="s">
        <v>74</v>
      </c>
      <c r="BD1106" s="55" t="s">
        <v>74</v>
      </c>
      <c r="BE1106" s="55" t="s">
        <v>74</v>
      </c>
      <c r="BF1106" s="55" t="s">
        <v>74</v>
      </c>
      <c r="BG1106" s="55" t="s">
        <v>74</v>
      </c>
      <c r="BH1106" s="52">
        <v>0</v>
      </c>
      <c r="BI1106" s="52">
        <v>2643524.0299999998</v>
      </c>
      <c r="BJ1106" s="52">
        <v>2643524.0299999998</v>
      </c>
      <c r="BK1106" s="56">
        <v>44166</v>
      </c>
      <c r="BL1106" s="57">
        <v>2643524.0299999998</v>
      </c>
      <c r="BM1106" s="47">
        <v>0</v>
      </c>
      <c r="BN1106" s="9"/>
      <c r="BO1106" s="9"/>
      <c r="BP1106" s="9"/>
      <c r="BQ1106" s="9"/>
      <c r="BR1106" s="9"/>
      <c r="BS1106" s="9"/>
      <c r="BT1106" s="9"/>
      <c r="BU1106" s="9"/>
      <c r="BV1106" s="9"/>
      <c r="BW1106" s="9"/>
    </row>
    <row r="1107" spans="1:75" ht="128.25" hidden="1" outlineLevel="2" x14ac:dyDescent="0.25">
      <c r="A1107" s="43" t="s">
        <v>1073</v>
      </c>
      <c r="B1107" s="110" t="s">
        <v>1174</v>
      </c>
      <c r="C1107" s="45">
        <v>2021</v>
      </c>
      <c r="D1107" s="110" t="s">
        <v>73</v>
      </c>
      <c r="E1107" s="215">
        <v>1673948.92</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f t="shared" ref="Y1107:Y1116" si="228">SUM(E1107:X1107)</f>
        <v>1673948.92</v>
      </c>
      <c r="Z1107" s="49">
        <v>0</v>
      </c>
      <c r="AA1107" s="50">
        <v>0</v>
      </c>
      <c r="AB1107" s="50">
        <v>0</v>
      </c>
      <c r="AC1107" s="50">
        <v>0</v>
      </c>
      <c r="AD1107" s="50">
        <f>49247.61+2592.46</f>
        <v>51840.07</v>
      </c>
      <c r="AE1107" s="50">
        <v>0</v>
      </c>
      <c r="AF1107" s="50">
        <v>0</v>
      </c>
      <c r="AG1107" s="49">
        <f t="shared" ref="AG1107:AG1116" si="229">SUM(AA1107:AF1107)</f>
        <v>51840.07</v>
      </c>
      <c r="AH1107" s="51" t="s">
        <v>74</v>
      </c>
      <c r="AI1107" s="51" t="s">
        <v>74</v>
      </c>
      <c r="AJ1107" s="51" t="s">
        <v>74</v>
      </c>
      <c r="AK1107" s="51" t="s">
        <v>1177</v>
      </c>
      <c r="AL1107" s="51" t="s">
        <v>74</v>
      </c>
      <c r="AM1107" s="51" t="s">
        <v>74</v>
      </c>
      <c r="AN1107" s="52">
        <v>0</v>
      </c>
      <c r="AO1107" s="52">
        <v>0</v>
      </c>
      <c r="AP1107" s="52">
        <v>0</v>
      </c>
      <c r="AQ1107" s="52">
        <v>0</v>
      </c>
      <c r="AR1107" s="52">
        <v>0</v>
      </c>
      <c r="AS1107" s="52">
        <f t="shared" ref="AS1107:AS1113" si="230">AN1107+AO1107+AP1107+AQ1107+AR1107</f>
        <v>0</v>
      </c>
      <c r="AT1107" s="53" t="s">
        <v>74</v>
      </c>
      <c r="AU1107" s="52">
        <v>0</v>
      </c>
      <c r="AV1107" s="52"/>
      <c r="AW1107" s="52">
        <v>0</v>
      </c>
      <c r="AX1107" s="59">
        <v>1388550.65</v>
      </c>
      <c r="AY1107" s="52"/>
      <c r="AZ1107" s="52">
        <v>0</v>
      </c>
      <c r="BA1107" s="52">
        <f t="shared" ref="BA1107:BA1113" si="231">AU1107+AW1107+AX1107+AZ1107</f>
        <v>1388550.65</v>
      </c>
      <c r="BB1107" s="54" t="s">
        <v>74</v>
      </c>
      <c r="BC1107" s="53" t="s">
        <v>74</v>
      </c>
      <c r="BD1107" s="55" t="s">
        <v>74</v>
      </c>
      <c r="BE1107" s="51" t="s">
        <v>1178</v>
      </c>
      <c r="BF1107" s="55" t="s">
        <v>74</v>
      </c>
      <c r="BG1107" s="55" t="s">
        <v>74</v>
      </c>
      <c r="BH1107" s="52">
        <f t="shared" ref="BH1107:BH1115" si="232">AS1107+BA1107</f>
        <v>1388550.65</v>
      </c>
      <c r="BI1107" s="52">
        <f t="shared" ref="BI1107:BI1116" si="233">Y1107-AG1107+BH1107</f>
        <v>3010659.5</v>
      </c>
      <c r="BJ1107" s="52">
        <v>3010659.5</v>
      </c>
      <c r="BK1107" s="56">
        <v>44197</v>
      </c>
      <c r="BL1107" s="63">
        <v>3010659.5</v>
      </c>
      <c r="BM1107" s="47">
        <v>0</v>
      </c>
      <c r="BN1107" s="9"/>
      <c r="BO1107" s="9"/>
      <c r="BP1107" s="9"/>
      <c r="BQ1107" s="9"/>
      <c r="BR1107" s="9"/>
      <c r="BS1107" s="9"/>
      <c r="BT1107" s="9"/>
      <c r="BU1107" s="9"/>
      <c r="BV1107" s="9"/>
      <c r="BW1107" s="9"/>
    </row>
    <row r="1108" spans="1:75" ht="306.75" hidden="1" outlineLevel="2" x14ac:dyDescent="0.25">
      <c r="A1108" s="43" t="s">
        <v>1073</v>
      </c>
      <c r="B1108" s="110" t="s">
        <v>1174</v>
      </c>
      <c r="C1108" s="45">
        <v>2021</v>
      </c>
      <c r="D1108" s="110" t="s">
        <v>75</v>
      </c>
      <c r="E1108" s="47"/>
      <c r="F1108" s="47"/>
      <c r="G1108" s="47"/>
      <c r="H1108" s="47"/>
      <c r="I1108" s="47"/>
      <c r="J1108" s="47"/>
      <c r="K1108" s="47"/>
      <c r="L1108" s="47"/>
      <c r="M1108" s="47"/>
      <c r="N1108" s="47"/>
      <c r="O1108" s="47"/>
      <c r="P1108" s="47"/>
      <c r="Q1108" s="47"/>
      <c r="R1108" s="47"/>
      <c r="S1108" s="47"/>
      <c r="T1108" s="47"/>
      <c r="U1108" s="47"/>
      <c r="V1108" s="47"/>
      <c r="W1108" s="47">
        <v>0</v>
      </c>
      <c r="X1108" s="47">
        <v>0</v>
      </c>
      <c r="Y1108" s="48">
        <f t="shared" si="228"/>
        <v>0</v>
      </c>
      <c r="Z1108" s="49"/>
      <c r="AA1108" s="50"/>
      <c r="AB1108" s="50"/>
      <c r="AC1108" s="50"/>
      <c r="AD1108" s="50">
        <v>0</v>
      </c>
      <c r="AE1108" s="50">
        <v>0</v>
      </c>
      <c r="AF1108" s="50">
        <v>0</v>
      </c>
      <c r="AG1108" s="49">
        <f t="shared" si="229"/>
        <v>0</v>
      </c>
      <c r="AH1108" s="51" t="s">
        <v>74</v>
      </c>
      <c r="AI1108" s="51" t="s">
        <v>74</v>
      </c>
      <c r="AJ1108" s="51" t="s">
        <v>74</v>
      </c>
      <c r="AK1108" s="51" t="s">
        <v>74</v>
      </c>
      <c r="AL1108" s="51" t="s">
        <v>74</v>
      </c>
      <c r="AM1108" s="51" t="s">
        <v>74</v>
      </c>
      <c r="AN1108" s="52"/>
      <c r="AO1108" s="52"/>
      <c r="AP1108" s="52"/>
      <c r="AQ1108" s="52"/>
      <c r="AR1108" s="52"/>
      <c r="AS1108" s="52">
        <f t="shared" si="230"/>
        <v>0</v>
      </c>
      <c r="AT1108" s="53" t="s">
        <v>74</v>
      </c>
      <c r="AU1108" s="52">
        <v>0</v>
      </c>
      <c r="AV1108" s="52"/>
      <c r="AW1108" s="52"/>
      <c r="AX1108" s="59">
        <v>2777101.29</v>
      </c>
      <c r="AY1108" s="52"/>
      <c r="AZ1108" s="52"/>
      <c r="BA1108" s="52">
        <f t="shared" si="231"/>
        <v>2777101.29</v>
      </c>
      <c r="BB1108" s="54" t="s">
        <v>74</v>
      </c>
      <c r="BC1108" s="53" t="s">
        <v>74</v>
      </c>
      <c r="BD1108" s="55" t="s">
        <v>74</v>
      </c>
      <c r="BE1108" s="51" t="s">
        <v>1179</v>
      </c>
      <c r="BF1108" s="55" t="s">
        <v>74</v>
      </c>
      <c r="BG1108" s="55" t="s">
        <v>74</v>
      </c>
      <c r="BH1108" s="52">
        <f t="shared" si="232"/>
        <v>2777101.29</v>
      </c>
      <c r="BI1108" s="52">
        <f t="shared" si="233"/>
        <v>2777101.29</v>
      </c>
      <c r="BJ1108" s="52">
        <v>2777101.29</v>
      </c>
      <c r="BK1108" s="56">
        <v>44228</v>
      </c>
      <c r="BL1108" s="63">
        <v>2777101.29</v>
      </c>
      <c r="BM1108" s="47">
        <v>0</v>
      </c>
      <c r="BN1108" s="9"/>
      <c r="BO1108" s="9"/>
      <c r="BP1108" s="9"/>
      <c r="BQ1108" s="9"/>
      <c r="BR1108" s="9"/>
      <c r="BS1108" s="9"/>
      <c r="BT1108" s="9"/>
      <c r="BU1108" s="9"/>
      <c r="BV1108" s="9"/>
      <c r="BW1108" s="9"/>
    </row>
    <row r="1109" spans="1:75" ht="141" hidden="1" outlineLevel="2" x14ac:dyDescent="0.25">
      <c r="A1109" s="43" t="s">
        <v>1073</v>
      </c>
      <c r="B1109" s="110" t="s">
        <v>1174</v>
      </c>
      <c r="C1109" s="45">
        <v>2021</v>
      </c>
      <c r="D1109" s="110" t="s">
        <v>77</v>
      </c>
      <c r="E1109" s="47"/>
      <c r="F1109" s="47"/>
      <c r="G1109" s="47"/>
      <c r="H1109" s="47"/>
      <c r="I1109" s="47"/>
      <c r="J1109" s="47"/>
      <c r="K1109" s="47"/>
      <c r="L1109" s="47"/>
      <c r="M1109" s="47"/>
      <c r="N1109" s="47"/>
      <c r="O1109" s="47"/>
      <c r="P1109" s="47"/>
      <c r="Q1109" s="47"/>
      <c r="R1109" s="47"/>
      <c r="S1109" s="47"/>
      <c r="T1109" s="47"/>
      <c r="U1109" s="47"/>
      <c r="V1109" s="47"/>
      <c r="W1109" s="47">
        <v>0</v>
      </c>
      <c r="X1109" s="47">
        <v>0</v>
      </c>
      <c r="Y1109" s="48">
        <f t="shared" si="228"/>
        <v>0</v>
      </c>
      <c r="Z1109" s="49"/>
      <c r="AA1109" s="50"/>
      <c r="AB1109" s="50"/>
      <c r="AC1109" s="50"/>
      <c r="AD1109" s="50">
        <v>0</v>
      </c>
      <c r="AE1109" s="50">
        <v>0</v>
      </c>
      <c r="AF1109" s="50">
        <v>0</v>
      </c>
      <c r="AG1109" s="49">
        <f t="shared" si="229"/>
        <v>0</v>
      </c>
      <c r="AH1109" s="51" t="s">
        <v>74</v>
      </c>
      <c r="AI1109" s="51" t="s">
        <v>74</v>
      </c>
      <c r="AJ1109" s="51" t="s">
        <v>74</v>
      </c>
      <c r="AK1109" s="51" t="s">
        <v>74</v>
      </c>
      <c r="AL1109" s="51" t="s">
        <v>74</v>
      </c>
      <c r="AM1109" s="51" t="s">
        <v>74</v>
      </c>
      <c r="AN1109" s="52"/>
      <c r="AO1109" s="52"/>
      <c r="AP1109" s="52"/>
      <c r="AQ1109" s="52"/>
      <c r="AR1109" s="52"/>
      <c r="AS1109" s="52">
        <f t="shared" si="230"/>
        <v>0</v>
      </c>
      <c r="AT1109" s="53" t="s">
        <v>74</v>
      </c>
      <c r="AU1109" s="52">
        <v>0</v>
      </c>
      <c r="AV1109" s="52"/>
      <c r="AW1109" s="52"/>
      <c r="AX1109" s="59">
        <v>2777101.29</v>
      </c>
      <c r="AY1109" s="52"/>
      <c r="AZ1109" s="52"/>
      <c r="BA1109" s="52">
        <f t="shared" si="231"/>
        <v>2777101.29</v>
      </c>
      <c r="BB1109" s="54" t="s">
        <v>74</v>
      </c>
      <c r="BC1109" s="53" t="s">
        <v>74</v>
      </c>
      <c r="BD1109" s="55" t="s">
        <v>74</v>
      </c>
      <c r="BE1109" s="51" t="s">
        <v>1180</v>
      </c>
      <c r="BF1109" s="55" t="s">
        <v>74</v>
      </c>
      <c r="BG1109" s="55" t="s">
        <v>74</v>
      </c>
      <c r="BH1109" s="52">
        <f t="shared" si="232"/>
        <v>2777101.29</v>
      </c>
      <c r="BI1109" s="52">
        <f t="shared" si="233"/>
        <v>2777101.29</v>
      </c>
      <c r="BJ1109" s="52">
        <v>2777101.29</v>
      </c>
      <c r="BK1109" s="56">
        <v>44256</v>
      </c>
      <c r="BL1109" s="63">
        <v>2777101.29</v>
      </c>
      <c r="BM1109" s="47">
        <v>0</v>
      </c>
      <c r="BN1109" s="9"/>
      <c r="BO1109" s="9"/>
      <c r="BP1109" s="9"/>
      <c r="BQ1109" s="9"/>
      <c r="BR1109" s="9"/>
      <c r="BS1109" s="9"/>
      <c r="BT1109" s="9"/>
      <c r="BU1109" s="9"/>
      <c r="BV1109" s="9"/>
      <c r="BW1109" s="9"/>
    </row>
    <row r="1110" spans="1:75" ht="141" hidden="1" outlineLevel="2" x14ac:dyDescent="0.25">
      <c r="A1110" s="43" t="s">
        <v>1073</v>
      </c>
      <c r="B1110" s="110" t="s">
        <v>1174</v>
      </c>
      <c r="C1110" s="45">
        <v>2021</v>
      </c>
      <c r="D1110" s="110" t="s">
        <v>79</v>
      </c>
      <c r="E1110" s="47"/>
      <c r="F1110" s="47"/>
      <c r="G1110" s="47"/>
      <c r="H1110" s="47"/>
      <c r="I1110" s="47"/>
      <c r="J1110" s="47"/>
      <c r="K1110" s="47"/>
      <c r="L1110" s="47"/>
      <c r="M1110" s="47"/>
      <c r="N1110" s="47"/>
      <c r="O1110" s="47"/>
      <c r="P1110" s="47"/>
      <c r="Q1110" s="47"/>
      <c r="R1110" s="47"/>
      <c r="S1110" s="47"/>
      <c r="T1110" s="47"/>
      <c r="U1110" s="47"/>
      <c r="V1110" s="47"/>
      <c r="W1110" s="47">
        <v>0</v>
      </c>
      <c r="X1110" s="47">
        <v>0</v>
      </c>
      <c r="Y1110" s="48">
        <f t="shared" si="228"/>
        <v>0</v>
      </c>
      <c r="Z1110" s="49"/>
      <c r="AA1110" s="50"/>
      <c r="AB1110" s="50"/>
      <c r="AC1110" s="50"/>
      <c r="AD1110" s="50">
        <v>0</v>
      </c>
      <c r="AE1110" s="50">
        <v>0</v>
      </c>
      <c r="AF1110" s="50">
        <v>0</v>
      </c>
      <c r="AG1110" s="49">
        <f t="shared" si="229"/>
        <v>0</v>
      </c>
      <c r="AH1110" s="51" t="s">
        <v>74</v>
      </c>
      <c r="AI1110" s="51" t="s">
        <v>74</v>
      </c>
      <c r="AJ1110" s="51" t="s">
        <v>74</v>
      </c>
      <c r="AK1110" s="51" t="s">
        <v>74</v>
      </c>
      <c r="AL1110" s="51" t="s">
        <v>74</v>
      </c>
      <c r="AM1110" s="51" t="s">
        <v>74</v>
      </c>
      <c r="AN1110" s="52"/>
      <c r="AO1110" s="52"/>
      <c r="AP1110" s="52"/>
      <c r="AQ1110" s="52"/>
      <c r="AR1110" s="52"/>
      <c r="AS1110" s="52">
        <f t="shared" si="230"/>
        <v>0</v>
      </c>
      <c r="AT1110" s="53" t="s">
        <v>74</v>
      </c>
      <c r="AU1110" s="52">
        <v>0</v>
      </c>
      <c r="AV1110" s="52"/>
      <c r="AW1110" s="52"/>
      <c r="AX1110" s="59">
        <v>2777101.29</v>
      </c>
      <c r="AY1110" s="52"/>
      <c r="AZ1110" s="52"/>
      <c r="BA1110" s="52">
        <f t="shared" si="231"/>
        <v>2777101.29</v>
      </c>
      <c r="BB1110" s="54" t="s">
        <v>74</v>
      </c>
      <c r="BC1110" s="53" t="s">
        <v>74</v>
      </c>
      <c r="BD1110" s="55" t="s">
        <v>74</v>
      </c>
      <c r="BE1110" s="51" t="s">
        <v>1181</v>
      </c>
      <c r="BF1110" s="55" t="s">
        <v>74</v>
      </c>
      <c r="BG1110" s="55" t="s">
        <v>74</v>
      </c>
      <c r="BH1110" s="52">
        <f t="shared" si="232"/>
        <v>2777101.29</v>
      </c>
      <c r="BI1110" s="52">
        <f t="shared" si="233"/>
        <v>2777101.29</v>
      </c>
      <c r="BJ1110" s="52">
        <v>2777101.29</v>
      </c>
      <c r="BK1110" s="56">
        <v>44287</v>
      </c>
      <c r="BL1110" s="57">
        <v>2777101.29</v>
      </c>
      <c r="BM1110" s="47">
        <v>0</v>
      </c>
      <c r="BN1110" s="9"/>
      <c r="BO1110" s="9"/>
      <c r="BP1110" s="9"/>
      <c r="BQ1110" s="9"/>
      <c r="BR1110" s="9"/>
      <c r="BS1110" s="9"/>
      <c r="BT1110" s="9"/>
      <c r="BU1110" s="9"/>
      <c r="BV1110" s="9"/>
      <c r="BW1110" s="9"/>
    </row>
    <row r="1111" spans="1:75" ht="153.75" hidden="1" outlineLevel="2" x14ac:dyDescent="0.25">
      <c r="A1111" s="43" t="s">
        <v>1073</v>
      </c>
      <c r="B1111" s="110" t="s">
        <v>1174</v>
      </c>
      <c r="C1111" s="45">
        <v>2021</v>
      </c>
      <c r="D1111" s="110" t="s">
        <v>81</v>
      </c>
      <c r="E1111" s="134">
        <v>2406821.1179999998</v>
      </c>
      <c r="F1111" s="47"/>
      <c r="G1111" s="47"/>
      <c r="H1111" s="47"/>
      <c r="I1111" s="47"/>
      <c r="J1111" s="47"/>
      <c r="K1111" s="47"/>
      <c r="L1111" s="47"/>
      <c r="M1111" s="47"/>
      <c r="N1111" s="47"/>
      <c r="O1111" s="47"/>
      <c r="P1111" s="47"/>
      <c r="Q1111" s="47"/>
      <c r="R1111" s="47"/>
      <c r="S1111" s="47"/>
      <c r="T1111" s="47"/>
      <c r="U1111" s="47"/>
      <c r="V1111" s="47"/>
      <c r="W1111" s="47">
        <v>0</v>
      </c>
      <c r="X1111" s="47">
        <v>0</v>
      </c>
      <c r="Y1111" s="48">
        <f t="shared" si="228"/>
        <v>2406821.1179999998</v>
      </c>
      <c r="Z1111" s="49"/>
      <c r="AA1111" s="50"/>
      <c r="AB1111" s="50"/>
      <c r="AC1111" s="50"/>
      <c r="AD1111" s="50">
        <f>36164.89+2258.95+33624.86+2073.63+36510.19+1908</f>
        <v>112540.52</v>
      </c>
      <c r="AE1111" s="50">
        <v>0</v>
      </c>
      <c r="AF1111" s="50">
        <v>0</v>
      </c>
      <c r="AG1111" s="49">
        <f t="shared" si="229"/>
        <v>112540.52</v>
      </c>
      <c r="AH1111" s="51" t="s">
        <v>74</v>
      </c>
      <c r="AI1111" s="51" t="s">
        <v>74</v>
      </c>
      <c r="AJ1111" s="51" t="s">
        <v>74</v>
      </c>
      <c r="AK1111" s="51" t="s">
        <v>1182</v>
      </c>
      <c r="AL1111" s="51" t="s">
        <v>74</v>
      </c>
      <c r="AM1111" s="51" t="s">
        <v>74</v>
      </c>
      <c r="AN1111" s="52"/>
      <c r="AO1111" s="52"/>
      <c r="AP1111" s="52"/>
      <c r="AQ1111" s="52"/>
      <c r="AR1111" s="52"/>
      <c r="AS1111" s="52">
        <f t="shared" si="230"/>
        <v>0</v>
      </c>
      <c r="AT1111" s="53" t="s">
        <v>74</v>
      </c>
      <c r="AU1111" s="52">
        <v>0</v>
      </c>
      <c r="AV1111" s="52"/>
      <c r="AW1111" s="59">
        <v>100629.7</v>
      </c>
      <c r="AX1111" s="68">
        <v>370280.16</v>
      </c>
      <c r="AY1111" s="52"/>
      <c r="AZ1111" s="52"/>
      <c r="BA1111" s="52">
        <f t="shared" si="231"/>
        <v>470909.86</v>
      </c>
      <c r="BB1111" s="54" t="s">
        <v>74</v>
      </c>
      <c r="BC1111" s="53" t="s">
        <v>74</v>
      </c>
      <c r="BD1111" s="55" t="s">
        <v>1183</v>
      </c>
      <c r="BE1111" s="55" t="s">
        <v>1184</v>
      </c>
      <c r="BF1111" s="55" t="s">
        <v>74</v>
      </c>
      <c r="BG1111" s="55" t="s">
        <v>74</v>
      </c>
      <c r="BH1111" s="52">
        <f t="shared" si="232"/>
        <v>470909.86</v>
      </c>
      <c r="BI1111" s="52">
        <f t="shared" si="233"/>
        <v>2765190.4579999996</v>
      </c>
      <c r="BJ1111" s="52">
        <v>2186821.1179999998</v>
      </c>
      <c r="BK1111" s="56">
        <v>44317</v>
      </c>
      <c r="BL1111" s="63">
        <f>2287450.82+370280.16+107459.48</f>
        <v>2765190.46</v>
      </c>
      <c r="BM1111" s="47">
        <v>0</v>
      </c>
      <c r="BN1111" s="9"/>
      <c r="BO1111" s="9"/>
      <c r="BP1111" s="9"/>
      <c r="BQ1111" s="9"/>
      <c r="BR1111" s="9"/>
      <c r="BS1111" s="9"/>
      <c r="BT1111" s="9"/>
      <c r="BU1111" s="9"/>
      <c r="BV1111" s="9"/>
      <c r="BW1111" s="9"/>
    </row>
    <row r="1112" spans="1:75" ht="102.75" hidden="1" outlineLevel="2" x14ac:dyDescent="0.25">
      <c r="A1112" s="43" t="s">
        <v>1073</v>
      </c>
      <c r="B1112" s="110" t="s">
        <v>1174</v>
      </c>
      <c r="C1112" s="45">
        <v>2021</v>
      </c>
      <c r="D1112" s="110" t="s">
        <v>83</v>
      </c>
      <c r="E1112" s="215">
        <v>2777101.29</v>
      </c>
      <c r="F1112" s="47"/>
      <c r="G1112" s="47"/>
      <c r="H1112" s="47"/>
      <c r="I1112" s="47"/>
      <c r="J1112" s="47"/>
      <c r="K1112" s="47"/>
      <c r="L1112" s="47"/>
      <c r="M1112" s="47"/>
      <c r="N1112" s="47"/>
      <c r="O1112" s="47"/>
      <c r="P1112" s="47"/>
      <c r="Q1112" s="47"/>
      <c r="R1112" s="47"/>
      <c r="S1112" s="47"/>
      <c r="T1112" s="47"/>
      <c r="U1112" s="47"/>
      <c r="V1112" s="47"/>
      <c r="W1112" s="47">
        <v>0</v>
      </c>
      <c r="X1112" s="47">
        <v>0</v>
      </c>
      <c r="Y1112" s="48">
        <f t="shared" si="228"/>
        <v>2777101.29</v>
      </c>
      <c r="Z1112" s="80"/>
      <c r="AA1112" s="50"/>
      <c r="AB1112" s="50"/>
      <c r="AC1112" s="50"/>
      <c r="AD1112" s="159">
        <v>36474.230000000003</v>
      </c>
      <c r="AE1112" s="50">
        <v>0</v>
      </c>
      <c r="AF1112" s="50">
        <v>0</v>
      </c>
      <c r="AG1112" s="49">
        <f t="shared" si="229"/>
        <v>36474.230000000003</v>
      </c>
      <c r="AH1112" s="51" t="s">
        <v>74</v>
      </c>
      <c r="AI1112" s="51" t="s">
        <v>74</v>
      </c>
      <c r="AJ1112" s="51" t="s">
        <v>74</v>
      </c>
      <c r="AK1112" s="51" t="s">
        <v>1185</v>
      </c>
      <c r="AL1112" s="51" t="s">
        <v>74</v>
      </c>
      <c r="AM1112" s="51" t="s">
        <v>74</v>
      </c>
      <c r="AN1112" s="52"/>
      <c r="AO1112" s="52"/>
      <c r="AP1112" s="52"/>
      <c r="AQ1112" s="52"/>
      <c r="AR1112" s="52"/>
      <c r="AS1112" s="52">
        <f t="shared" si="230"/>
        <v>0</v>
      </c>
      <c r="AT1112" s="53" t="s">
        <v>74</v>
      </c>
      <c r="AU1112" s="52">
        <v>0</v>
      </c>
      <c r="AV1112" s="52"/>
      <c r="AW1112" s="52"/>
      <c r="AX1112" s="59"/>
      <c r="AY1112" s="52"/>
      <c r="AZ1112" s="52"/>
      <c r="BA1112" s="52">
        <f t="shared" si="231"/>
        <v>0</v>
      </c>
      <c r="BB1112" s="54" t="s">
        <v>74</v>
      </c>
      <c r="BC1112" s="53" t="s">
        <v>74</v>
      </c>
      <c r="BD1112" s="55" t="s">
        <v>74</v>
      </c>
      <c r="BE1112" s="55" t="s">
        <v>74</v>
      </c>
      <c r="BF1112" s="55" t="s">
        <v>74</v>
      </c>
      <c r="BG1112" s="55" t="s">
        <v>74</v>
      </c>
      <c r="BH1112" s="52">
        <f t="shared" si="232"/>
        <v>0</v>
      </c>
      <c r="BI1112" s="52">
        <f t="shared" si="233"/>
        <v>2740627.06</v>
      </c>
      <c r="BJ1112" s="52">
        <f>Y1112-AG1112+AX1112</f>
        <v>2740627.06</v>
      </c>
      <c r="BK1112" s="56">
        <v>44348</v>
      </c>
      <c r="BL1112" s="63">
        <f>2717101.29+23525.77</f>
        <v>2740627.06</v>
      </c>
      <c r="BM1112" s="47">
        <v>0</v>
      </c>
      <c r="BN1112" s="9"/>
      <c r="BO1112" s="9"/>
      <c r="BP1112" s="9"/>
      <c r="BQ1112" s="9"/>
      <c r="BR1112" s="9"/>
      <c r="BS1112" s="9"/>
      <c r="BT1112" s="9"/>
      <c r="BU1112" s="9"/>
      <c r="BV1112" s="9"/>
      <c r="BW1112" s="9"/>
    </row>
    <row r="1113" spans="1:75" ht="102.75" hidden="1" outlineLevel="2" x14ac:dyDescent="0.25">
      <c r="A1113" s="43" t="s">
        <v>1073</v>
      </c>
      <c r="B1113" s="110" t="s">
        <v>1174</v>
      </c>
      <c r="C1113" s="45">
        <v>2021</v>
      </c>
      <c r="D1113" s="110" t="s">
        <v>84</v>
      </c>
      <c r="E1113" s="134">
        <f>1481120.69+2437997.33</f>
        <v>3919118.02</v>
      </c>
      <c r="F1113" s="47"/>
      <c r="G1113" s="47"/>
      <c r="H1113" s="47"/>
      <c r="I1113" s="47"/>
      <c r="J1113" s="47"/>
      <c r="K1113" s="47"/>
      <c r="L1113" s="47"/>
      <c r="M1113" s="47"/>
      <c r="N1113" s="47"/>
      <c r="O1113" s="47"/>
      <c r="P1113" s="47"/>
      <c r="Q1113" s="47"/>
      <c r="R1113" s="47"/>
      <c r="S1113" s="47"/>
      <c r="T1113" s="47"/>
      <c r="U1113" s="47"/>
      <c r="V1113" s="47"/>
      <c r="W1113" s="47">
        <v>0</v>
      </c>
      <c r="X1113" s="47">
        <v>0</v>
      </c>
      <c r="Y1113" s="48">
        <f t="shared" si="228"/>
        <v>3919118.02</v>
      </c>
      <c r="Z1113" s="49"/>
      <c r="AA1113" s="50"/>
      <c r="AB1113" s="50"/>
      <c r="AC1113" s="50"/>
      <c r="AD1113" s="159">
        <f>32864.24+1672.66</f>
        <v>34536.9</v>
      </c>
      <c r="AE1113" s="50">
        <v>0</v>
      </c>
      <c r="AF1113" s="50">
        <v>0</v>
      </c>
      <c r="AG1113" s="49">
        <f t="shared" si="229"/>
        <v>34536.9</v>
      </c>
      <c r="AH1113" s="51" t="s">
        <v>74</v>
      </c>
      <c r="AI1113" s="51" t="s">
        <v>74</v>
      </c>
      <c r="AJ1113" s="51" t="s">
        <v>74</v>
      </c>
      <c r="AK1113" s="51" t="s">
        <v>1186</v>
      </c>
      <c r="AL1113" s="51" t="s">
        <v>74</v>
      </c>
      <c r="AM1113" s="51" t="s">
        <v>74</v>
      </c>
      <c r="AN1113" s="52"/>
      <c r="AO1113" s="52"/>
      <c r="AP1113" s="52"/>
      <c r="AQ1113" s="52"/>
      <c r="AR1113" s="52"/>
      <c r="AS1113" s="52">
        <f t="shared" si="230"/>
        <v>0</v>
      </c>
      <c r="AT1113" s="53" t="s">
        <v>74</v>
      </c>
      <c r="AU1113" s="52">
        <v>0</v>
      </c>
      <c r="AV1113" s="52"/>
      <c r="AW1113" s="52"/>
      <c r="AX1113" s="59"/>
      <c r="AY1113" s="52"/>
      <c r="AZ1113" s="52"/>
      <c r="BA1113" s="52">
        <f t="shared" si="231"/>
        <v>0</v>
      </c>
      <c r="BB1113" s="54" t="s">
        <v>74</v>
      </c>
      <c r="BC1113" s="53" t="s">
        <v>74</v>
      </c>
      <c r="BD1113" s="55" t="s">
        <v>74</v>
      </c>
      <c r="BE1113" s="55" t="s">
        <v>74</v>
      </c>
      <c r="BF1113" s="55" t="s">
        <v>74</v>
      </c>
      <c r="BG1113" s="55" t="s">
        <v>74</v>
      </c>
      <c r="BH1113" s="52">
        <f t="shared" si="232"/>
        <v>0</v>
      </c>
      <c r="BI1113" s="52">
        <f t="shared" si="233"/>
        <v>3884581.12</v>
      </c>
      <c r="BJ1113" s="52">
        <f>Y1113-AG1113+AX1113</f>
        <v>3884581.12</v>
      </c>
      <c r="BK1113" s="56">
        <v>44378</v>
      </c>
      <c r="BL1113" s="63">
        <f>1421120.69+2437997.33+25463.1</f>
        <v>3884581.12</v>
      </c>
      <c r="BM1113" s="47">
        <v>0</v>
      </c>
      <c r="BN1113" s="9"/>
      <c r="BO1113" s="9"/>
      <c r="BP1113" s="9"/>
      <c r="BQ1113" s="9"/>
      <c r="BR1113" s="9"/>
      <c r="BS1113" s="9"/>
      <c r="BT1113" s="9"/>
      <c r="BU1113" s="9"/>
      <c r="BV1113" s="9"/>
      <c r="BW1113" s="9"/>
    </row>
    <row r="1114" spans="1:75" ht="102.75" hidden="1" outlineLevel="2" x14ac:dyDescent="0.25">
      <c r="A1114" s="43" t="s">
        <v>1073</v>
      </c>
      <c r="B1114" s="110" t="s">
        <v>1174</v>
      </c>
      <c r="C1114" s="45">
        <v>2021</v>
      </c>
      <c r="D1114" s="110" t="s">
        <v>86</v>
      </c>
      <c r="E1114" s="218">
        <v>5224280</v>
      </c>
      <c r="F1114" s="47"/>
      <c r="G1114" s="47"/>
      <c r="H1114" s="47"/>
      <c r="I1114" s="47"/>
      <c r="J1114" s="47"/>
      <c r="K1114" s="47"/>
      <c r="L1114" s="47"/>
      <c r="M1114" s="47"/>
      <c r="N1114" s="47"/>
      <c r="O1114" s="47"/>
      <c r="P1114" s="47"/>
      <c r="Q1114" s="47"/>
      <c r="R1114" s="47"/>
      <c r="S1114" s="47"/>
      <c r="T1114" s="47"/>
      <c r="U1114" s="47"/>
      <c r="V1114" s="47"/>
      <c r="W1114" s="47">
        <v>0</v>
      </c>
      <c r="X1114" s="47">
        <v>0</v>
      </c>
      <c r="Y1114" s="48">
        <f t="shared" si="228"/>
        <v>5224280</v>
      </c>
      <c r="Z1114" s="49"/>
      <c r="AA1114" s="50"/>
      <c r="AB1114" s="50"/>
      <c r="AC1114" s="50"/>
      <c r="AD1114" s="159">
        <f>23368.67+1627.45</f>
        <v>24996.12</v>
      </c>
      <c r="AE1114" s="50"/>
      <c r="AF1114" s="50"/>
      <c r="AG1114" s="49">
        <f t="shared" si="229"/>
        <v>24996.12</v>
      </c>
      <c r="AH1114" s="70" t="s">
        <v>74</v>
      </c>
      <c r="AI1114" s="70" t="s">
        <v>74</v>
      </c>
      <c r="AJ1114" s="70" t="s">
        <v>74</v>
      </c>
      <c r="AK1114" s="193" t="s">
        <v>1187</v>
      </c>
      <c r="AL1114" s="70" t="s">
        <v>74</v>
      </c>
      <c r="AM1114" s="70" t="s">
        <v>74</v>
      </c>
      <c r="AN1114" s="52"/>
      <c r="AO1114" s="52"/>
      <c r="AP1114" s="52"/>
      <c r="AQ1114" s="52"/>
      <c r="AR1114" s="52"/>
      <c r="AS1114" s="52"/>
      <c r="AT1114" s="70" t="s">
        <v>74</v>
      </c>
      <c r="AU1114" s="52"/>
      <c r="AV1114" s="52"/>
      <c r="AW1114" s="52"/>
      <c r="AX1114" s="59"/>
      <c r="AY1114" s="52"/>
      <c r="AZ1114" s="52"/>
      <c r="BA1114" s="52"/>
      <c r="BB1114" s="52" t="s">
        <v>74</v>
      </c>
      <c r="BC1114" s="52" t="s">
        <v>74</v>
      </c>
      <c r="BD1114" s="52" t="s">
        <v>74</v>
      </c>
      <c r="BE1114" s="52" t="s">
        <v>74</v>
      </c>
      <c r="BF1114" s="52" t="s">
        <v>74</v>
      </c>
      <c r="BG1114" s="52"/>
      <c r="BH1114" s="52">
        <f t="shared" si="232"/>
        <v>0</v>
      </c>
      <c r="BI1114" s="52">
        <f t="shared" si="233"/>
        <v>5199283.88</v>
      </c>
      <c r="BJ1114" s="52">
        <f>Y1114-AG1114+AX1114</f>
        <v>5199283.88</v>
      </c>
      <c r="BK1114" s="56">
        <v>44409</v>
      </c>
      <c r="BL1114" s="63">
        <f>5124280+75003.88</f>
        <v>5199283.88</v>
      </c>
      <c r="BM1114" s="47">
        <v>0</v>
      </c>
      <c r="BN1114" s="9"/>
      <c r="BO1114" s="9"/>
      <c r="BP1114" s="9"/>
      <c r="BQ1114" s="9"/>
      <c r="BR1114" s="9"/>
      <c r="BS1114" s="9"/>
      <c r="BT1114" s="9"/>
      <c r="BU1114" s="9"/>
      <c r="BV1114" s="9"/>
      <c r="BW1114" s="9"/>
    </row>
    <row r="1115" spans="1:75" hidden="1" outlineLevel="2" x14ac:dyDescent="0.25">
      <c r="A1115" s="43" t="s">
        <v>1073</v>
      </c>
      <c r="B1115" s="110" t="s">
        <v>1174</v>
      </c>
      <c r="C1115" s="45">
        <v>2021</v>
      </c>
      <c r="D1115" s="110" t="s">
        <v>88</v>
      </c>
      <c r="E1115" s="218">
        <v>5224280</v>
      </c>
      <c r="F1115" s="47"/>
      <c r="G1115" s="47"/>
      <c r="H1115" s="47"/>
      <c r="I1115" s="47"/>
      <c r="J1115" s="47"/>
      <c r="K1115" s="47"/>
      <c r="L1115" s="47"/>
      <c r="M1115" s="47"/>
      <c r="N1115" s="47"/>
      <c r="O1115" s="47"/>
      <c r="P1115" s="47"/>
      <c r="Q1115" s="47"/>
      <c r="R1115" s="47"/>
      <c r="S1115" s="47"/>
      <c r="T1115" s="47"/>
      <c r="U1115" s="47"/>
      <c r="V1115" s="47"/>
      <c r="W1115" s="47">
        <v>0</v>
      </c>
      <c r="X1115" s="47">
        <v>0</v>
      </c>
      <c r="Y1115" s="48">
        <f t="shared" si="228"/>
        <v>5224280</v>
      </c>
      <c r="Z1115" s="102"/>
      <c r="AA1115" s="50"/>
      <c r="AB1115" s="50"/>
      <c r="AC1115" s="50"/>
      <c r="AD1115" s="50">
        <v>100000</v>
      </c>
      <c r="AE1115" s="50"/>
      <c r="AF1115" s="50"/>
      <c r="AG1115" s="49">
        <f t="shared" si="229"/>
        <v>100000</v>
      </c>
      <c r="AH1115" s="70" t="s">
        <v>74</v>
      </c>
      <c r="AI1115" s="70" t="s">
        <v>74</v>
      </c>
      <c r="AJ1115" s="70" t="s">
        <v>74</v>
      </c>
      <c r="AK1115" s="51" t="s">
        <v>595</v>
      </c>
      <c r="AL1115" s="70" t="s">
        <v>74</v>
      </c>
      <c r="AM1115" s="70" t="s">
        <v>74</v>
      </c>
      <c r="AN1115" s="52"/>
      <c r="AO1115" s="52"/>
      <c r="AP1115" s="52"/>
      <c r="AQ1115" s="52"/>
      <c r="AR1115" s="52"/>
      <c r="AS1115" s="52"/>
      <c r="AT1115" s="70" t="s">
        <v>74</v>
      </c>
      <c r="AU1115" s="52"/>
      <c r="AV1115" s="52"/>
      <c r="AW1115" s="52"/>
      <c r="AX1115" s="59"/>
      <c r="AY1115" s="52"/>
      <c r="AZ1115" s="52"/>
      <c r="BA1115" s="52"/>
      <c r="BB1115" s="52" t="s">
        <v>74</v>
      </c>
      <c r="BC1115" s="52" t="s">
        <v>74</v>
      </c>
      <c r="BD1115" s="52" t="s">
        <v>74</v>
      </c>
      <c r="BE1115" s="52" t="s">
        <v>74</v>
      </c>
      <c r="BF1115" s="52" t="s">
        <v>74</v>
      </c>
      <c r="BG1115" s="52"/>
      <c r="BH1115" s="52">
        <f t="shared" si="232"/>
        <v>0</v>
      </c>
      <c r="BI1115" s="52">
        <f t="shared" si="233"/>
        <v>5124280</v>
      </c>
      <c r="BJ1115" s="52">
        <f>Y1115-AG1115+AX1115</f>
        <v>5124280</v>
      </c>
      <c r="BK1115" s="56">
        <v>44440</v>
      </c>
      <c r="BL1115" s="63">
        <f>2509160.61+2615119.39</f>
        <v>5124280</v>
      </c>
      <c r="BM1115" s="47">
        <v>0</v>
      </c>
      <c r="BN1115" s="9"/>
      <c r="BO1115" s="9"/>
      <c r="BP1115" s="9"/>
      <c r="BQ1115" s="9"/>
      <c r="BR1115" s="9"/>
      <c r="BS1115" s="9"/>
      <c r="BT1115" s="9"/>
      <c r="BU1115" s="9"/>
      <c r="BV1115" s="9"/>
      <c r="BW1115" s="9"/>
    </row>
    <row r="1116" spans="1:75" hidden="1" outlineLevel="2" x14ac:dyDescent="0.25">
      <c r="A1116" s="71" t="s">
        <v>1073</v>
      </c>
      <c r="B1116" s="116" t="s">
        <v>1174</v>
      </c>
      <c r="C1116" s="73">
        <v>2021</v>
      </c>
      <c r="D1116" s="116" t="s">
        <v>89</v>
      </c>
      <c r="E1116" s="219">
        <v>5224280</v>
      </c>
      <c r="F1116" s="75"/>
      <c r="G1116" s="75"/>
      <c r="H1116" s="75"/>
      <c r="I1116" s="75"/>
      <c r="J1116" s="75"/>
      <c r="K1116" s="75"/>
      <c r="L1116" s="75"/>
      <c r="M1116" s="75"/>
      <c r="N1116" s="75"/>
      <c r="O1116" s="75"/>
      <c r="P1116" s="75"/>
      <c r="Q1116" s="75"/>
      <c r="R1116" s="75"/>
      <c r="S1116" s="75"/>
      <c r="T1116" s="75"/>
      <c r="U1116" s="75"/>
      <c r="V1116" s="75"/>
      <c r="W1116" s="75">
        <v>0</v>
      </c>
      <c r="X1116" s="75">
        <v>0</v>
      </c>
      <c r="Y1116" s="76">
        <f t="shared" si="228"/>
        <v>5224280</v>
      </c>
      <c r="Z1116" s="118"/>
      <c r="AA1116" s="79"/>
      <c r="AB1116" s="79"/>
      <c r="AC1116" s="79"/>
      <c r="AD1116" s="79">
        <v>100000</v>
      </c>
      <c r="AE1116" s="79"/>
      <c r="AF1116" s="79"/>
      <c r="AG1116" s="80">
        <f t="shared" si="229"/>
        <v>100000</v>
      </c>
      <c r="AH1116" s="81" t="s">
        <v>74</v>
      </c>
      <c r="AI1116" s="81" t="s">
        <v>74</v>
      </c>
      <c r="AJ1116" s="81" t="s">
        <v>74</v>
      </c>
      <c r="AK1116" s="123" t="s">
        <v>595</v>
      </c>
      <c r="AL1116" s="81" t="s">
        <v>74</v>
      </c>
      <c r="AM1116" s="81" t="s">
        <v>74</v>
      </c>
      <c r="AN1116" s="82"/>
      <c r="AO1116" s="82"/>
      <c r="AP1116" s="82"/>
      <c r="AQ1116" s="82"/>
      <c r="AR1116" s="82"/>
      <c r="AS1116" s="82"/>
      <c r="AT1116" s="81" t="s">
        <v>74</v>
      </c>
      <c r="AU1116" s="82"/>
      <c r="AV1116" s="82"/>
      <c r="AW1116" s="82"/>
      <c r="AX1116" s="141"/>
      <c r="AY1116" s="82"/>
      <c r="AZ1116" s="82"/>
      <c r="BA1116" s="82"/>
      <c r="BB1116" s="82" t="s">
        <v>74</v>
      </c>
      <c r="BC1116" s="82" t="s">
        <v>74</v>
      </c>
      <c r="BD1116" s="82" t="s">
        <v>74</v>
      </c>
      <c r="BE1116" s="82" t="s">
        <v>74</v>
      </c>
      <c r="BF1116" s="82" t="s">
        <v>74</v>
      </c>
      <c r="BG1116" s="82"/>
      <c r="BH1116" s="82"/>
      <c r="BI1116" s="82">
        <f t="shared" si="233"/>
        <v>5124280</v>
      </c>
      <c r="BJ1116" s="52">
        <f>Y1116-AG1116+AX1116</f>
        <v>5124280</v>
      </c>
      <c r="BK1116" s="56">
        <v>44470</v>
      </c>
      <c r="BL1116" s="83"/>
      <c r="BM1116" s="75">
        <f>BI1116-BL1116</f>
        <v>5124280</v>
      </c>
      <c r="BN1116" s="9"/>
      <c r="BO1116" s="9"/>
      <c r="BP1116" s="9"/>
      <c r="BQ1116" s="9"/>
      <c r="BR1116" s="9"/>
      <c r="BS1116" s="9"/>
      <c r="BT1116" s="9"/>
      <c r="BU1116" s="9"/>
      <c r="BV1116" s="9"/>
      <c r="BW1116" s="9"/>
    </row>
    <row r="1117" spans="1:75" hidden="1" outlineLevel="1" collapsed="1" x14ac:dyDescent="0.25">
      <c r="A1117" s="84"/>
      <c r="B1117" s="120" t="s">
        <v>1188</v>
      </c>
      <c r="C1117" s="86"/>
      <c r="D1117" s="120"/>
      <c r="E1117" s="220"/>
      <c r="F1117" s="88"/>
      <c r="G1117" s="88"/>
      <c r="H1117" s="88"/>
      <c r="I1117" s="88"/>
      <c r="J1117" s="88"/>
      <c r="K1117" s="88"/>
      <c r="L1117" s="88"/>
      <c r="M1117" s="88"/>
      <c r="N1117" s="88"/>
      <c r="O1117" s="88"/>
      <c r="P1117" s="88"/>
      <c r="Q1117" s="88"/>
      <c r="R1117" s="88"/>
      <c r="S1117" s="88"/>
      <c r="T1117" s="88"/>
      <c r="U1117" s="88"/>
      <c r="V1117" s="88"/>
      <c r="W1117" s="88"/>
      <c r="X1117" s="88"/>
      <c r="Y1117" s="89">
        <f t="shared" ref="Y1117:AG1117" si="234">SUBTOTAL(9,Y1104:Y1116)</f>
        <v>0</v>
      </c>
      <c r="Z1117" s="89">
        <f t="shared" si="234"/>
        <v>0</v>
      </c>
      <c r="AA1117" s="89">
        <f t="shared" si="234"/>
        <v>0</v>
      </c>
      <c r="AB1117" s="89">
        <f t="shared" si="234"/>
        <v>0</v>
      </c>
      <c r="AC1117" s="89">
        <f t="shared" si="234"/>
        <v>0</v>
      </c>
      <c r="AD1117" s="89">
        <f t="shared" si="234"/>
        <v>0</v>
      </c>
      <c r="AE1117" s="89">
        <f t="shared" si="234"/>
        <v>0</v>
      </c>
      <c r="AF1117" s="89">
        <f t="shared" si="234"/>
        <v>0</v>
      </c>
      <c r="AG1117" s="89">
        <f t="shared" si="234"/>
        <v>0</v>
      </c>
      <c r="AH1117" s="91"/>
      <c r="AI1117" s="91"/>
      <c r="AJ1117" s="91"/>
      <c r="AK1117" s="129"/>
      <c r="AL1117" s="91"/>
      <c r="AM1117" s="91"/>
      <c r="AN1117" s="92">
        <f t="shared" ref="AN1117:AS1117" si="235">SUBTOTAL(9,AN1104:AN1116)</f>
        <v>0</v>
      </c>
      <c r="AO1117" s="92">
        <f t="shared" si="235"/>
        <v>0</v>
      </c>
      <c r="AP1117" s="92">
        <f t="shared" si="235"/>
        <v>0</v>
      </c>
      <c r="AQ1117" s="92">
        <f t="shared" si="235"/>
        <v>0</v>
      </c>
      <c r="AR1117" s="92">
        <f t="shared" si="235"/>
        <v>0</v>
      </c>
      <c r="AS1117" s="92">
        <f t="shared" si="235"/>
        <v>0</v>
      </c>
      <c r="AT1117" s="91"/>
      <c r="AU1117" s="92">
        <f t="shared" ref="AU1117:BA1117" si="236">SUBTOTAL(9,AU1104:AU1116)</f>
        <v>0</v>
      </c>
      <c r="AV1117" s="92">
        <f t="shared" si="236"/>
        <v>0</v>
      </c>
      <c r="AW1117" s="92">
        <f t="shared" si="236"/>
        <v>0</v>
      </c>
      <c r="AX1117" s="143">
        <f t="shared" si="236"/>
        <v>0</v>
      </c>
      <c r="AY1117" s="92">
        <f t="shared" si="236"/>
        <v>0</v>
      </c>
      <c r="AZ1117" s="92">
        <f t="shared" si="236"/>
        <v>0</v>
      </c>
      <c r="BA1117" s="92">
        <f t="shared" si="236"/>
        <v>0</v>
      </c>
      <c r="BB1117" s="92"/>
      <c r="BC1117" s="92"/>
      <c r="BD1117" s="92"/>
      <c r="BE1117" s="92"/>
      <c r="BF1117" s="92"/>
      <c r="BG1117" s="92"/>
      <c r="BH1117" s="92">
        <f>SUBTOTAL(9,BH1104:BH1116)</f>
        <v>0</v>
      </c>
      <c r="BI1117" s="92">
        <f>SUBTOTAL(9,BI1104:BI1116)</f>
        <v>0</v>
      </c>
      <c r="BJ1117" s="93"/>
      <c r="BK1117" s="94"/>
      <c r="BL1117" s="95">
        <f>SUBTOTAL(9,BL1104:BL1116)</f>
        <v>0</v>
      </c>
      <c r="BM1117" s="88">
        <f>SUBTOTAL(9,BM1104:BM1116)</f>
        <v>0</v>
      </c>
      <c r="BN1117" s="9"/>
      <c r="BO1117" s="9"/>
      <c r="BP1117" s="9"/>
      <c r="BQ1117" s="9"/>
      <c r="BR1117" s="9"/>
      <c r="BS1117" s="9"/>
      <c r="BT1117" s="9"/>
      <c r="BU1117" s="9"/>
      <c r="BV1117" s="9"/>
      <c r="BW1117" s="9"/>
    </row>
    <row r="1118" spans="1:75" ht="153.75" hidden="1" outlineLevel="2" x14ac:dyDescent="0.25">
      <c r="A1118" s="96" t="s">
        <v>470</v>
      </c>
      <c r="B1118" s="97" t="s">
        <v>1189</v>
      </c>
      <c r="C1118" s="98">
        <v>2020</v>
      </c>
      <c r="D1118" s="97" t="s">
        <v>88</v>
      </c>
      <c r="E1118" s="100">
        <v>0</v>
      </c>
      <c r="F1118" s="100">
        <v>0</v>
      </c>
      <c r="G1118" s="100">
        <v>0</v>
      </c>
      <c r="H1118" s="100">
        <v>0</v>
      </c>
      <c r="I1118" s="100">
        <v>0</v>
      </c>
      <c r="J1118" s="100">
        <v>0</v>
      </c>
      <c r="K1118" s="100">
        <v>0</v>
      </c>
      <c r="L1118" s="100">
        <v>0</v>
      </c>
      <c r="M1118" s="100">
        <v>0</v>
      </c>
      <c r="N1118" s="100">
        <v>0</v>
      </c>
      <c r="O1118" s="100">
        <v>0</v>
      </c>
      <c r="P1118" s="100">
        <v>0</v>
      </c>
      <c r="Q1118" s="100">
        <v>0</v>
      </c>
      <c r="R1118" s="100">
        <v>0</v>
      </c>
      <c r="S1118" s="100">
        <v>0</v>
      </c>
      <c r="T1118" s="100">
        <v>0</v>
      </c>
      <c r="U1118" s="100">
        <v>0</v>
      </c>
      <c r="V1118" s="100">
        <v>0</v>
      </c>
      <c r="W1118" s="100">
        <v>0</v>
      </c>
      <c r="X1118" s="100">
        <v>0</v>
      </c>
      <c r="Y1118" s="101">
        <v>0</v>
      </c>
      <c r="Z1118" s="133">
        <v>0</v>
      </c>
      <c r="AA1118" s="103">
        <v>0</v>
      </c>
      <c r="AB1118" s="103">
        <v>0</v>
      </c>
      <c r="AC1118" s="103">
        <v>0</v>
      </c>
      <c r="AD1118" s="103">
        <v>0</v>
      </c>
      <c r="AE1118" s="103">
        <v>0</v>
      </c>
      <c r="AF1118" s="103">
        <v>0</v>
      </c>
      <c r="AG1118" s="102"/>
      <c r="AH1118" s="104" t="s">
        <v>74</v>
      </c>
      <c r="AI1118" s="104" t="s">
        <v>74</v>
      </c>
      <c r="AJ1118" s="104" t="s">
        <v>74</v>
      </c>
      <c r="AK1118" s="104" t="s">
        <v>74</v>
      </c>
      <c r="AL1118" s="104" t="s">
        <v>74</v>
      </c>
      <c r="AM1118" s="104" t="s">
        <v>74</v>
      </c>
      <c r="AN1118" s="105">
        <v>0</v>
      </c>
      <c r="AO1118" s="105">
        <v>0</v>
      </c>
      <c r="AP1118" s="105">
        <v>0</v>
      </c>
      <c r="AQ1118" s="105">
        <v>0</v>
      </c>
      <c r="AR1118" s="105">
        <v>0</v>
      </c>
      <c r="AS1118" s="105">
        <v>0</v>
      </c>
      <c r="AT1118" s="106" t="s">
        <v>74</v>
      </c>
      <c r="AU1118" s="199">
        <v>1657804.24</v>
      </c>
      <c r="AV1118" s="105"/>
      <c r="AW1118" s="105">
        <v>0</v>
      </c>
      <c r="AX1118" s="105"/>
      <c r="AY1118" s="105"/>
      <c r="AZ1118" s="105">
        <v>0</v>
      </c>
      <c r="BA1118" s="105">
        <v>1657804.24</v>
      </c>
      <c r="BB1118" s="106" t="s">
        <v>1190</v>
      </c>
      <c r="BC1118" s="106" t="s">
        <v>74</v>
      </c>
      <c r="BD1118" s="108" t="s">
        <v>74</v>
      </c>
      <c r="BE1118" s="108" t="s">
        <v>74</v>
      </c>
      <c r="BF1118" s="108" t="s">
        <v>74</v>
      </c>
      <c r="BG1118" s="108" t="s">
        <v>74</v>
      </c>
      <c r="BH1118" s="105">
        <v>1657804.24</v>
      </c>
      <c r="BI1118" s="105">
        <v>1657804.24</v>
      </c>
      <c r="BJ1118" s="52">
        <v>1657804.24</v>
      </c>
      <c r="BK1118" s="56"/>
      <c r="BL1118" s="200">
        <v>1657804.24</v>
      </c>
      <c r="BM1118" s="100">
        <v>0</v>
      </c>
      <c r="BN1118" s="9"/>
      <c r="BO1118" s="9"/>
      <c r="BP1118" s="9"/>
      <c r="BQ1118" s="9"/>
      <c r="BR1118" s="9"/>
      <c r="BS1118" s="9"/>
      <c r="BT1118" s="9"/>
      <c r="BU1118" s="9"/>
      <c r="BV1118" s="9"/>
      <c r="BW1118" s="9"/>
    </row>
    <row r="1119" spans="1:75" ht="153.75" hidden="1" outlineLevel="2" x14ac:dyDescent="0.25">
      <c r="A1119" s="43" t="s">
        <v>470</v>
      </c>
      <c r="B1119" s="110" t="s">
        <v>1189</v>
      </c>
      <c r="C1119" s="45">
        <v>2020</v>
      </c>
      <c r="D1119" s="110" t="s">
        <v>89</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c r="Z1119" s="58">
        <v>0</v>
      </c>
      <c r="AA1119" s="50">
        <v>0</v>
      </c>
      <c r="AB1119" s="50">
        <v>0</v>
      </c>
      <c r="AC1119" s="50">
        <v>0</v>
      </c>
      <c r="AD1119" s="50">
        <v>0</v>
      </c>
      <c r="AE1119" s="50">
        <v>0</v>
      </c>
      <c r="AF1119" s="50">
        <v>0</v>
      </c>
      <c r="AG1119" s="49"/>
      <c r="AH1119" s="51" t="s">
        <v>74</v>
      </c>
      <c r="AI1119" s="51" t="s">
        <v>74</v>
      </c>
      <c r="AJ1119" s="51" t="s">
        <v>74</v>
      </c>
      <c r="AK1119" s="51" t="s">
        <v>74</v>
      </c>
      <c r="AL1119" s="51" t="s">
        <v>74</v>
      </c>
      <c r="AM1119" s="51" t="s">
        <v>74</v>
      </c>
      <c r="AN1119" s="52">
        <v>0</v>
      </c>
      <c r="AO1119" s="52">
        <v>0</v>
      </c>
      <c r="AP1119" s="52">
        <v>0</v>
      </c>
      <c r="AQ1119" s="52">
        <v>0</v>
      </c>
      <c r="AR1119" s="52">
        <v>0</v>
      </c>
      <c r="AS1119" s="52">
        <v>0</v>
      </c>
      <c r="AT1119" s="53" t="s">
        <v>74</v>
      </c>
      <c r="AU1119" s="59">
        <v>1657804.24</v>
      </c>
      <c r="AV1119" s="52"/>
      <c r="AW1119" s="52">
        <v>0</v>
      </c>
      <c r="AX1119" s="52"/>
      <c r="AY1119" s="52"/>
      <c r="AZ1119" s="52">
        <v>0</v>
      </c>
      <c r="BA1119" s="52">
        <v>1657804.24</v>
      </c>
      <c r="BB1119" s="53" t="s">
        <v>1191</v>
      </c>
      <c r="BC1119" s="53" t="s">
        <v>74</v>
      </c>
      <c r="BD1119" s="55" t="s">
        <v>74</v>
      </c>
      <c r="BE1119" s="55" t="s">
        <v>74</v>
      </c>
      <c r="BF1119" s="55" t="s">
        <v>74</v>
      </c>
      <c r="BG1119" s="55" t="s">
        <v>74</v>
      </c>
      <c r="BH1119" s="52">
        <v>1657804.24</v>
      </c>
      <c r="BI1119" s="52">
        <v>1657804.24</v>
      </c>
      <c r="BJ1119" s="52">
        <v>1657804.24</v>
      </c>
      <c r="BK1119" s="56"/>
      <c r="BL1119" s="63">
        <v>1657804.24</v>
      </c>
      <c r="BM1119" s="47">
        <v>0</v>
      </c>
      <c r="BN1119" s="9"/>
      <c r="BO1119" s="9"/>
      <c r="BP1119" s="9"/>
      <c r="BQ1119" s="9"/>
      <c r="BR1119" s="9"/>
      <c r="BS1119" s="9"/>
      <c r="BT1119" s="9"/>
      <c r="BU1119" s="9"/>
      <c r="BV1119" s="9"/>
      <c r="BW1119" s="9"/>
    </row>
    <row r="1120" spans="1:75" ht="141" hidden="1" outlineLevel="2" x14ac:dyDescent="0.25">
      <c r="A1120" s="43" t="s">
        <v>470</v>
      </c>
      <c r="B1120" s="110" t="s">
        <v>1189</v>
      </c>
      <c r="C1120" s="45">
        <v>2020</v>
      </c>
      <c r="D1120" s="110" t="s">
        <v>90</v>
      </c>
      <c r="E1120" s="215">
        <v>1492023.8160000001</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1492023.8160000001</v>
      </c>
      <c r="Z1120" s="49">
        <v>0</v>
      </c>
      <c r="AA1120" s="50">
        <v>0</v>
      </c>
      <c r="AB1120" s="50">
        <v>0</v>
      </c>
      <c r="AC1120" s="50">
        <v>0</v>
      </c>
      <c r="AD1120" s="50">
        <v>0</v>
      </c>
      <c r="AE1120" s="50">
        <v>0</v>
      </c>
      <c r="AF1120" s="50">
        <v>0</v>
      </c>
      <c r="AG1120" s="49">
        <v>0</v>
      </c>
      <c r="AH1120" s="51" t="s">
        <v>74</v>
      </c>
      <c r="AI1120" s="51" t="s">
        <v>74</v>
      </c>
      <c r="AJ1120" s="51" t="s">
        <v>74</v>
      </c>
      <c r="AK1120" s="51" t="s">
        <v>74</v>
      </c>
      <c r="AL1120" s="51" t="s">
        <v>74</v>
      </c>
      <c r="AM1120" s="51" t="s">
        <v>74</v>
      </c>
      <c r="AN1120" s="52"/>
      <c r="AO1120" s="52"/>
      <c r="AP1120" s="52"/>
      <c r="AQ1120" s="52"/>
      <c r="AR1120" s="52"/>
      <c r="AS1120" s="52">
        <v>0</v>
      </c>
      <c r="AT1120" s="53" t="s">
        <v>74</v>
      </c>
      <c r="AU1120" s="59">
        <v>165780.42000000001</v>
      </c>
      <c r="AV1120" s="52"/>
      <c r="AW1120" s="52">
        <v>0</v>
      </c>
      <c r="AX1120" s="52"/>
      <c r="AY1120" s="52"/>
      <c r="AZ1120" s="52">
        <v>0</v>
      </c>
      <c r="BA1120" s="52">
        <v>165780.42000000001</v>
      </c>
      <c r="BB1120" s="53" t="s">
        <v>1192</v>
      </c>
      <c r="BC1120" s="53" t="s">
        <v>74</v>
      </c>
      <c r="BD1120" s="55" t="s">
        <v>74</v>
      </c>
      <c r="BE1120" s="55" t="s">
        <v>74</v>
      </c>
      <c r="BF1120" s="55" t="s">
        <v>74</v>
      </c>
      <c r="BG1120" s="55" t="s">
        <v>74</v>
      </c>
      <c r="BH1120" s="52">
        <v>165780.42000000001</v>
      </c>
      <c r="BI1120" s="52">
        <v>1657804.236</v>
      </c>
      <c r="BJ1120" s="52">
        <v>1657804.236</v>
      </c>
      <c r="BK1120" s="56">
        <v>44136</v>
      </c>
      <c r="BL1120" s="63">
        <v>1657804.24</v>
      </c>
      <c r="BM1120" s="47">
        <v>0</v>
      </c>
      <c r="BN1120" s="9"/>
      <c r="BO1120" s="9"/>
      <c r="BP1120" s="9"/>
      <c r="BQ1120" s="9"/>
      <c r="BR1120" s="9"/>
      <c r="BS1120" s="9"/>
      <c r="BT1120" s="9"/>
      <c r="BU1120" s="9"/>
      <c r="BV1120" s="9"/>
      <c r="BW1120" s="9"/>
    </row>
    <row r="1121" spans="1:75" ht="51.75" hidden="1" outlineLevel="2" x14ac:dyDescent="0.25">
      <c r="A1121" s="43" t="s">
        <v>470</v>
      </c>
      <c r="B1121" s="110" t="s">
        <v>1189</v>
      </c>
      <c r="C1121" s="45">
        <v>2020</v>
      </c>
      <c r="D1121" s="110" t="s">
        <v>93</v>
      </c>
      <c r="E1121" s="47">
        <v>1657804.24</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1657804.24</v>
      </c>
      <c r="Z1121" s="80">
        <v>0</v>
      </c>
      <c r="AA1121" s="50">
        <v>0</v>
      </c>
      <c r="AB1121" s="50">
        <v>0</v>
      </c>
      <c r="AC1121" s="50">
        <v>0</v>
      </c>
      <c r="AD1121" s="50">
        <v>0</v>
      </c>
      <c r="AE1121" s="50">
        <v>0</v>
      </c>
      <c r="AF1121" s="50">
        <v>0</v>
      </c>
      <c r="AG1121" s="49">
        <v>0</v>
      </c>
      <c r="AH1121" s="51" t="s">
        <v>74</v>
      </c>
      <c r="AI1121" s="51" t="s">
        <v>74</v>
      </c>
      <c r="AJ1121" s="51" t="s">
        <v>74</v>
      </c>
      <c r="AK1121" s="51" t="s">
        <v>74</v>
      </c>
      <c r="AL1121" s="51" t="s">
        <v>74</v>
      </c>
      <c r="AM1121" s="51" t="s">
        <v>74</v>
      </c>
      <c r="AN1121" s="52"/>
      <c r="AO1121" s="52"/>
      <c r="AP1121" s="52"/>
      <c r="AQ1121" s="52"/>
      <c r="AR1121" s="52"/>
      <c r="AS1121" s="52">
        <v>0</v>
      </c>
      <c r="AT1121" s="53" t="s">
        <v>74</v>
      </c>
      <c r="AU1121" s="52">
        <v>0</v>
      </c>
      <c r="AV1121" s="52"/>
      <c r="AW1121" s="59">
        <v>927882.96</v>
      </c>
      <c r="AX1121" s="52"/>
      <c r="AY1121" s="52"/>
      <c r="AZ1121" s="52">
        <v>0</v>
      </c>
      <c r="BA1121" s="52">
        <v>927882.96</v>
      </c>
      <c r="BB1121" s="54" t="s">
        <v>74</v>
      </c>
      <c r="BC1121" s="53" t="s">
        <v>74</v>
      </c>
      <c r="BD1121" s="55" t="s">
        <v>1193</v>
      </c>
      <c r="BE1121" s="55" t="s">
        <v>74</v>
      </c>
      <c r="BF1121" s="55" t="s">
        <v>74</v>
      </c>
      <c r="BG1121" s="55" t="s">
        <v>74</v>
      </c>
      <c r="BH1121" s="52">
        <v>927882.96</v>
      </c>
      <c r="BI1121" s="52">
        <v>2585687.2000000002</v>
      </c>
      <c r="BJ1121" s="52">
        <v>1657804.24</v>
      </c>
      <c r="BK1121" s="56">
        <v>44166</v>
      </c>
      <c r="BL1121" s="57">
        <v>2585687.2000000002</v>
      </c>
      <c r="BM1121" s="47">
        <v>0</v>
      </c>
      <c r="BN1121" s="9"/>
      <c r="BO1121" s="9"/>
      <c r="BP1121" s="9"/>
      <c r="BQ1121" s="9"/>
      <c r="BR1121" s="9"/>
      <c r="BS1121" s="9"/>
      <c r="BT1121" s="9"/>
      <c r="BU1121" s="9"/>
      <c r="BV1121" s="9"/>
      <c r="BW1121" s="9"/>
    </row>
    <row r="1122" spans="1:75" ht="153.75" hidden="1" outlineLevel="2" x14ac:dyDescent="0.25">
      <c r="A1122" s="43" t="s">
        <v>470</v>
      </c>
      <c r="B1122" s="110" t="s">
        <v>1189</v>
      </c>
      <c r="C1122" s="45">
        <v>2021</v>
      </c>
      <c r="D1122" s="110" t="s">
        <v>73</v>
      </c>
      <c r="E1122" s="47">
        <v>1657804.24</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f t="shared" ref="Y1122:Y1131" si="237">SUM(E1122:X1122)</f>
        <v>1657804.24</v>
      </c>
      <c r="Z1122" s="58">
        <v>0</v>
      </c>
      <c r="AA1122" s="50">
        <v>0</v>
      </c>
      <c r="AB1122" s="50">
        <v>0</v>
      </c>
      <c r="AC1122" s="62">
        <v>165137.29999999999</v>
      </c>
      <c r="AD1122" s="62">
        <v>104422.8</v>
      </c>
      <c r="AE1122" s="50">
        <v>0</v>
      </c>
      <c r="AF1122" s="50">
        <v>0</v>
      </c>
      <c r="AG1122" s="49">
        <f t="shared" ref="AG1122:AG1131" si="238">SUM(AA1122:AF1122)</f>
        <v>269560.09999999998</v>
      </c>
      <c r="AH1122" s="51" t="s">
        <v>74</v>
      </c>
      <c r="AI1122" s="51" t="s">
        <v>74</v>
      </c>
      <c r="AJ1122" s="51" t="s">
        <v>1194</v>
      </c>
      <c r="AK1122" s="51" t="s">
        <v>1195</v>
      </c>
      <c r="AL1122" s="51" t="s">
        <v>74</v>
      </c>
      <c r="AM1122" s="51" t="s">
        <v>74</v>
      </c>
      <c r="AN1122" s="52">
        <v>0</v>
      </c>
      <c r="AO1122" s="52">
        <v>0</v>
      </c>
      <c r="AP1122" s="52">
        <v>0</v>
      </c>
      <c r="AQ1122" s="52">
        <v>0</v>
      </c>
      <c r="AR1122" s="52">
        <v>0</v>
      </c>
      <c r="AS1122" s="52">
        <f t="shared" ref="AS1122:AS1131" si="239">AN1122+AO1122+AP1122+AQ1122+AR1122</f>
        <v>0</v>
      </c>
      <c r="AT1122" s="53" t="s">
        <v>74</v>
      </c>
      <c r="AU1122" s="52">
        <v>0</v>
      </c>
      <c r="AV1122" s="52"/>
      <c r="AW1122" s="52">
        <v>0</v>
      </c>
      <c r="AX1122" s="52"/>
      <c r="AY1122" s="52"/>
      <c r="AZ1122" s="52">
        <v>0</v>
      </c>
      <c r="BA1122" s="52">
        <f t="shared" ref="BA1122:BA1131" si="240">AU1122+AW1122+AX1122+AZ1122</f>
        <v>0</v>
      </c>
      <c r="BB1122" s="54" t="s">
        <v>74</v>
      </c>
      <c r="BC1122" s="53" t="s">
        <v>74</v>
      </c>
      <c r="BD1122" s="55" t="s">
        <v>74</v>
      </c>
      <c r="BE1122" s="55" t="s">
        <v>74</v>
      </c>
      <c r="BF1122" s="55" t="s">
        <v>74</v>
      </c>
      <c r="BG1122" s="55" t="s">
        <v>74</v>
      </c>
      <c r="BH1122" s="52">
        <f t="shared" ref="BH1122:BH1131" si="241">AS1122+BA1122</f>
        <v>0</v>
      </c>
      <c r="BI1122" s="52">
        <f t="shared" ref="BI1122:BI1131" si="242">Y1122-AG1122+BH1122</f>
        <v>1388244.1400000001</v>
      </c>
      <c r="BJ1122" s="52">
        <v>1388244.14</v>
      </c>
      <c r="BK1122" s="56">
        <v>44197</v>
      </c>
      <c r="BL1122" s="57">
        <v>1388244.14</v>
      </c>
      <c r="BM1122" s="47">
        <v>0</v>
      </c>
      <c r="BN1122" s="9"/>
      <c r="BO1122" s="9"/>
      <c r="BP1122" s="9"/>
      <c r="BQ1122" s="9"/>
      <c r="BR1122" s="9"/>
      <c r="BS1122" s="9"/>
      <c r="BT1122" s="9"/>
      <c r="BU1122" s="9"/>
      <c r="BV1122" s="9"/>
      <c r="BW1122" s="9"/>
    </row>
    <row r="1123" spans="1:75" ht="26.25" hidden="1" outlineLevel="2" x14ac:dyDescent="0.25">
      <c r="A1123" s="43" t="s">
        <v>470</v>
      </c>
      <c r="B1123" s="110" t="s">
        <v>1189</v>
      </c>
      <c r="C1123" s="45">
        <v>2021</v>
      </c>
      <c r="D1123" s="110" t="s">
        <v>75</v>
      </c>
      <c r="E1123" s="47">
        <v>1657804.24</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f t="shared" si="237"/>
        <v>1657804.24</v>
      </c>
      <c r="Z1123" s="58">
        <v>0</v>
      </c>
      <c r="AA1123" s="50">
        <v>0</v>
      </c>
      <c r="AB1123" s="50">
        <v>0</v>
      </c>
      <c r="AC1123" s="62">
        <v>41404.32</v>
      </c>
      <c r="AD1123" s="62">
        <v>37226.32</v>
      </c>
      <c r="AE1123" s="50">
        <v>0</v>
      </c>
      <c r="AF1123" s="50">
        <v>0</v>
      </c>
      <c r="AG1123" s="49">
        <f t="shared" si="238"/>
        <v>78630.64</v>
      </c>
      <c r="AH1123" s="51" t="s">
        <v>74</v>
      </c>
      <c r="AI1123" s="51" t="s">
        <v>74</v>
      </c>
      <c r="AJ1123" s="51" t="s">
        <v>1196</v>
      </c>
      <c r="AK1123" s="51" t="s">
        <v>180</v>
      </c>
      <c r="AL1123" s="51" t="s">
        <v>74</v>
      </c>
      <c r="AM1123" s="51" t="s">
        <v>74</v>
      </c>
      <c r="AN1123" s="52">
        <v>0</v>
      </c>
      <c r="AO1123" s="52">
        <v>0</v>
      </c>
      <c r="AP1123" s="52">
        <v>0</v>
      </c>
      <c r="AQ1123" s="52">
        <v>0</v>
      </c>
      <c r="AR1123" s="52">
        <v>0</v>
      </c>
      <c r="AS1123" s="52">
        <f t="shared" si="239"/>
        <v>0</v>
      </c>
      <c r="AT1123" s="53" t="s">
        <v>74</v>
      </c>
      <c r="AU1123" s="52">
        <v>0</v>
      </c>
      <c r="AV1123" s="52"/>
      <c r="AW1123" s="52">
        <v>0</v>
      </c>
      <c r="AX1123" s="52"/>
      <c r="AY1123" s="52"/>
      <c r="AZ1123" s="52">
        <v>0</v>
      </c>
      <c r="BA1123" s="52">
        <f t="shared" si="240"/>
        <v>0</v>
      </c>
      <c r="BB1123" s="54" t="s">
        <v>74</v>
      </c>
      <c r="BC1123" s="53" t="s">
        <v>74</v>
      </c>
      <c r="BD1123" s="55" t="s">
        <v>74</v>
      </c>
      <c r="BE1123" s="55" t="s">
        <v>74</v>
      </c>
      <c r="BF1123" s="55" t="s">
        <v>74</v>
      </c>
      <c r="BG1123" s="55" t="s">
        <v>74</v>
      </c>
      <c r="BH1123" s="52">
        <f t="shared" si="241"/>
        <v>0</v>
      </c>
      <c r="BI1123" s="52">
        <f t="shared" si="242"/>
        <v>1579173.6</v>
      </c>
      <c r="BJ1123" s="52">
        <v>1579173.6</v>
      </c>
      <c r="BK1123" s="56">
        <v>44228</v>
      </c>
      <c r="BL1123" s="57">
        <v>1579173.6</v>
      </c>
      <c r="BM1123" s="47">
        <v>0</v>
      </c>
      <c r="BN1123" s="9"/>
      <c r="BO1123" s="9"/>
      <c r="BP1123" s="9"/>
      <c r="BQ1123" s="9"/>
      <c r="BR1123" s="9"/>
      <c r="BS1123" s="9"/>
      <c r="BT1123" s="9"/>
      <c r="BU1123" s="9"/>
      <c r="BV1123" s="9"/>
      <c r="BW1123" s="9"/>
    </row>
    <row r="1124" spans="1:75" ht="102.75" hidden="1" outlineLevel="2" x14ac:dyDescent="0.25">
      <c r="A1124" s="43" t="s">
        <v>470</v>
      </c>
      <c r="B1124" s="110" t="s">
        <v>1189</v>
      </c>
      <c r="C1124" s="45">
        <v>2021</v>
      </c>
      <c r="D1124" s="110" t="s">
        <v>77</v>
      </c>
      <c r="E1124" s="47">
        <v>1657804.24</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f t="shared" si="237"/>
        <v>1657804.24</v>
      </c>
      <c r="Z1124" s="58">
        <v>0</v>
      </c>
      <c r="AA1124" s="50">
        <v>0</v>
      </c>
      <c r="AB1124" s="50">
        <v>0</v>
      </c>
      <c r="AC1124" s="62">
        <v>41404.32</v>
      </c>
      <c r="AD1124" s="62">
        <v>26400.3</v>
      </c>
      <c r="AE1124" s="50">
        <v>0</v>
      </c>
      <c r="AF1124" s="50">
        <v>0</v>
      </c>
      <c r="AG1124" s="49">
        <f t="shared" si="238"/>
        <v>67804.62</v>
      </c>
      <c r="AH1124" s="51" t="s">
        <v>74</v>
      </c>
      <c r="AI1124" s="51" t="s">
        <v>74</v>
      </c>
      <c r="AJ1124" s="51" t="s">
        <v>1197</v>
      </c>
      <c r="AK1124" s="51" t="s">
        <v>182</v>
      </c>
      <c r="AL1124" s="51" t="s">
        <v>74</v>
      </c>
      <c r="AM1124" s="51" t="s">
        <v>74</v>
      </c>
      <c r="AN1124" s="52"/>
      <c r="AO1124" s="52"/>
      <c r="AP1124" s="52"/>
      <c r="AQ1124" s="52"/>
      <c r="AR1124" s="52"/>
      <c r="AS1124" s="52">
        <f t="shared" si="239"/>
        <v>0</v>
      </c>
      <c r="AT1124" s="53" t="s">
        <v>74</v>
      </c>
      <c r="AU1124" s="52">
        <v>0</v>
      </c>
      <c r="AV1124" s="52"/>
      <c r="AW1124" s="138">
        <v>607000</v>
      </c>
      <c r="AX1124" s="52"/>
      <c r="AY1124" s="52"/>
      <c r="AZ1124" s="52">
        <v>0</v>
      </c>
      <c r="BA1124" s="52">
        <f t="shared" si="240"/>
        <v>607000</v>
      </c>
      <c r="BB1124" s="54" t="s">
        <v>74</v>
      </c>
      <c r="BC1124" s="53" t="s">
        <v>74</v>
      </c>
      <c r="BD1124" s="55" t="s">
        <v>1198</v>
      </c>
      <c r="BE1124" s="55" t="s">
        <v>74</v>
      </c>
      <c r="BF1124" s="55" t="s">
        <v>74</v>
      </c>
      <c r="BG1124" s="55" t="s">
        <v>74</v>
      </c>
      <c r="BH1124" s="52">
        <f t="shared" si="241"/>
        <v>607000</v>
      </c>
      <c r="BI1124" s="52">
        <f t="shared" si="242"/>
        <v>2196999.62</v>
      </c>
      <c r="BJ1124" s="52">
        <v>1589999.62</v>
      </c>
      <c r="BK1124" s="56">
        <v>44256</v>
      </c>
      <c r="BL1124" s="63">
        <v>2196999.62</v>
      </c>
      <c r="BM1124" s="47">
        <v>0</v>
      </c>
      <c r="BN1124" s="9"/>
      <c r="BO1124" s="9"/>
      <c r="BP1124" s="9"/>
      <c r="BQ1124" s="9"/>
      <c r="BR1124" s="9"/>
      <c r="BS1124" s="9"/>
      <c r="BT1124" s="9"/>
      <c r="BU1124" s="9"/>
      <c r="BV1124" s="9"/>
      <c r="BW1124" s="9"/>
    </row>
    <row r="1125" spans="1:75" ht="39" hidden="1" outlineLevel="2" x14ac:dyDescent="0.25">
      <c r="A1125" s="43" t="s">
        <v>470</v>
      </c>
      <c r="B1125" s="110" t="s">
        <v>1189</v>
      </c>
      <c r="C1125" s="45">
        <v>2021</v>
      </c>
      <c r="D1125" s="110" t="s">
        <v>79</v>
      </c>
      <c r="E1125" s="47">
        <v>1657804.24</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f t="shared" si="237"/>
        <v>1657804.24</v>
      </c>
      <c r="Z1125" s="58">
        <v>0</v>
      </c>
      <c r="AA1125" s="50">
        <v>0</v>
      </c>
      <c r="AB1125" s="50">
        <v>0</v>
      </c>
      <c r="AC1125" s="62">
        <v>41404.32</v>
      </c>
      <c r="AD1125" s="62">
        <v>21484.07</v>
      </c>
      <c r="AE1125" s="50">
        <v>0</v>
      </c>
      <c r="AF1125" s="50">
        <v>0</v>
      </c>
      <c r="AG1125" s="49">
        <f t="shared" si="238"/>
        <v>62888.39</v>
      </c>
      <c r="AH1125" s="51" t="s">
        <v>74</v>
      </c>
      <c r="AI1125" s="51" t="s">
        <v>74</v>
      </c>
      <c r="AJ1125" s="51" t="s">
        <v>463</v>
      </c>
      <c r="AK1125" s="51" t="s">
        <v>409</v>
      </c>
      <c r="AL1125" s="51" t="s">
        <v>74</v>
      </c>
      <c r="AM1125" s="51" t="s">
        <v>74</v>
      </c>
      <c r="AN1125" s="52">
        <v>0</v>
      </c>
      <c r="AO1125" s="52">
        <v>0</v>
      </c>
      <c r="AP1125" s="52">
        <v>0</v>
      </c>
      <c r="AQ1125" s="52">
        <v>0</v>
      </c>
      <c r="AR1125" s="52">
        <v>0</v>
      </c>
      <c r="AS1125" s="52">
        <f t="shared" si="239"/>
        <v>0</v>
      </c>
      <c r="AT1125" s="53" t="s">
        <v>74</v>
      </c>
      <c r="AU1125" s="52">
        <v>0</v>
      </c>
      <c r="AV1125" s="52"/>
      <c r="AW1125" s="52">
        <v>0</v>
      </c>
      <c r="AX1125" s="52"/>
      <c r="AY1125" s="52"/>
      <c r="AZ1125" s="52">
        <v>0</v>
      </c>
      <c r="BA1125" s="52">
        <f t="shared" si="240"/>
        <v>0</v>
      </c>
      <c r="BB1125" s="54" t="s">
        <v>74</v>
      </c>
      <c r="BC1125" s="53" t="s">
        <v>74</v>
      </c>
      <c r="BD1125" s="55" t="s">
        <v>74</v>
      </c>
      <c r="BE1125" s="55" t="s">
        <v>74</v>
      </c>
      <c r="BF1125" s="55" t="s">
        <v>74</v>
      </c>
      <c r="BG1125" s="55" t="s">
        <v>74</v>
      </c>
      <c r="BH1125" s="52">
        <f t="shared" si="241"/>
        <v>0</v>
      </c>
      <c r="BI1125" s="52">
        <f t="shared" si="242"/>
        <v>1594915.85</v>
      </c>
      <c r="BJ1125" s="52">
        <v>1594915.85</v>
      </c>
      <c r="BK1125" s="56">
        <v>44287</v>
      </c>
      <c r="BL1125" s="63">
        <v>1594915.85</v>
      </c>
      <c r="BM1125" s="47">
        <v>0</v>
      </c>
      <c r="BN1125" s="9"/>
      <c r="BO1125" s="9"/>
      <c r="BP1125" s="9"/>
      <c r="BQ1125" s="9"/>
      <c r="BR1125" s="9"/>
      <c r="BS1125" s="9"/>
      <c r="BT1125" s="9"/>
      <c r="BU1125" s="9"/>
      <c r="BV1125" s="9"/>
      <c r="BW1125" s="9"/>
    </row>
    <row r="1126" spans="1:75" ht="39" hidden="1" outlineLevel="2" x14ac:dyDescent="0.25">
      <c r="A1126" s="43" t="s">
        <v>470</v>
      </c>
      <c r="B1126" s="110" t="s">
        <v>1189</v>
      </c>
      <c r="C1126" s="45">
        <v>2021</v>
      </c>
      <c r="D1126" s="110" t="s">
        <v>81</v>
      </c>
      <c r="E1126" s="47">
        <v>1657804.24</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f t="shared" si="237"/>
        <v>1657804.24</v>
      </c>
      <c r="Z1126" s="58">
        <v>0</v>
      </c>
      <c r="AA1126" s="50">
        <v>0</v>
      </c>
      <c r="AB1126" s="50">
        <v>0</v>
      </c>
      <c r="AC1126" s="62">
        <v>41404.32</v>
      </c>
      <c r="AD1126" s="62">
        <v>18355.43</v>
      </c>
      <c r="AE1126" s="50">
        <v>0</v>
      </c>
      <c r="AF1126" s="50">
        <v>0</v>
      </c>
      <c r="AG1126" s="49">
        <f t="shared" si="238"/>
        <v>59759.75</v>
      </c>
      <c r="AH1126" s="51" t="s">
        <v>74</v>
      </c>
      <c r="AI1126" s="51" t="s">
        <v>74</v>
      </c>
      <c r="AJ1126" s="51" t="s">
        <v>1199</v>
      </c>
      <c r="AK1126" s="51" t="s">
        <v>411</v>
      </c>
      <c r="AL1126" s="51" t="s">
        <v>74</v>
      </c>
      <c r="AM1126" s="51" t="s">
        <v>74</v>
      </c>
      <c r="AN1126" s="52">
        <v>0</v>
      </c>
      <c r="AO1126" s="52">
        <v>0</v>
      </c>
      <c r="AP1126" s="52">
        <v>0</v>
      </c>
      <c r="AQ1126" s="52">
        <v>0</v>
      </c>
      <c r="AR1126" s="52">
        <v>0</v>
      </c>
      <c r="AS1126" s="52">
        <f t="shared" si="239"/>
        <v>0</v>
      </c>
      <c r="AT1126" s="53" t="s">
        <v>74</v>
      </c>
      <c r="AU1126" s="52">
        <v>0</v>
      </c>
      <c r="AV1126" s="52"/>
      <c r="AW1126" s="52">
        <v>0</v>
      </c>
      <c r="AX1126" s="52"/>
      <c r="AY1126" s="52"/>
      <c r="AZ1126" s="52">
        <v>0</v>
      </c>
      <c r="BA1126" s="52">
        <f t="shared" si="240"/>
        <v>0</v>
      </c>
      <c r="BB1126" s="54" t="s">
        <v>74</v>
      </c>
      <c r="BC1126" s="53" t="s">
        <v>74</v>
      </c>
      <c r="BD1126" s="55" t="s">
        <v>74</v>
      </c>
      <c r="BE1126" s="55" t="s">
        <v>74</v>
      </c>
      <c r="BF1126" s="55" t="s">
        <v>74</v>
      </c>
      <c r="BG1126" s="55" t="s">
        <v>74</v>
      </c>
      <c r="BH1126" s="52">
        <f t="shared" si="241"/>
        <v>0</v>
      </c>
      <c r="BI1126" s="52">
        <f t="shared" si="242"/>
        <v>1598044.49</v>
      </c>
      <c r="BJ1126" s="52">
        <v>1598044.49</v>
      </c>
      <c r="BK1126" s="56">
        <v>44317</v>
      </c>
      <c r="BL1126" s="63">
        <v>1598044.49</v>
      </c>
      <c r="BM1126" s="47">
        <v>0</v>
      </c>
      <c r="BN1126" s="9"/>
      <c r="BO1126" s="9"/>
      <c r="BP1126" s="9"/>
      <c r="BQ1126" s="9"/>
      <c r="BR1126" s="9"/>
      <c r="BS1126" s="9"/>
      <c r="BT1126" s="9"/>
      <c r="BU1126" s="9"/>
      <c r="BV1126" s="9"/>
      <c r="BW1126" s="9"/>
    </row>
    <row r="1127" spans="1:75" ht="383.25" hidden="1" outlineLevel="2" x14ac:dyDescent="0.25">
      <c r="A1127" s="43" t="s">
        <v>470</v>
      </c>
      <c r="B1127" s="110" t="s">
        <v>1189</v>
      </c>
      <c r="C1127" s="45">
        <v>2021</v>
      </c>
      <c r="D1127" s="110" t="s">
        <v>83</v>
      </c>
      <c r="E1127" s="47">
        <v>1657804.24</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f t="shared" si="237"/>
        <v>1657804.24</v>
      </c>
      <c r="Z1127" s="58">
        <v>0</v>
      </c>
      <c r="AA1127" s="50">
        <v>0</v>
      </c>
      <c r="AB1127" s="50">
        <v>0</v>
      </c>
      <c r="AC1127" s="148">
        <v>41404.32</v>
      </c>
      <c r="AD1127" s="148">
        <v>24794.23</v>
      </c>
      <c r="AE1127" s="50">
        <v>0</v>
      </c>
      <c r="AF1127" s="50">
        <v>0</v>
      </c>
      <c r="AG1127" s="49">
        <f t="shared" si="238"/>
        <v>66198.55</v>
      </c>
      <c r="AH1127" s="51" t="s">
        <v>74</v>
      </c>
      <c r="AI1127" s="51" t="s">
        <v>74</v>
      </c>
      <c r="AJ1127" s="51" t="s">
        <v>1200</v>
      </c>
      <c r="AK1127" s="51" t="s">
        <v>413</v>
      </c>
      <c r="AL1127" s="51" t="s">
        <v>74</v>
      </c>
      <c r="AM1127" s="51" t="s">
        <v>74</v>
      </c>
      <c r="AN1127" s="52">
        <v>0</v>
      </c>
      <c r="AO1127" s="52">
        <v>0</v>
      </c>
      <c r="AP1127" s="52">
        <v>0</v>
      </c>
      <c r="AQ1127" s="52">
        <v>0</v>
      </c>
      <c r="AR1127" s="52">
        <v>0</v>
      </c>
      <c r="AS1127" s="52">
        <f t="shared" si="239"/>
        <v>0</v>
      </c>
      <c r="AT1127" s="53" t="s">
        <v>74</v>
      </c>
      <c r="AU1127" s="52">
        <v>0</v>
      </c>
      <c r="AV1127" s="52"/>
      <c r="AW1127" s="59">
        <f>4460000+16400</f>
        <v>4476400</v>
      </c>
      <c r="AX1127" s="52"/>
      <c r="AY1127" s="52"/>
      <c r="AZ1127" s="52">
        <v>0</v>
      </c>
      <c r="BA1127" s="52">
        <f t="shared" si="240"/>
        <v>4476400</v>
      </c>
      <c r="BB1127" s="54" t="s">
        <v>74</v>
      </c>
      <c r="BC1127" s="53" t="s">
        <v>74</v>
      </c>
      <c r="BD1127" s="55" t="s">
        <v>1201</v>
      </c>
      <c r="BE1127" s="55" t="s">
        <v>74</v>
      </c>
      <c r="BF1127" s="55" t="s">
        <v>74</v>
      </c>
      <c r="BG1127" s="55" t="s">
        <v>74</v>
      </c>
      <c r="BH1127" s="52">
        <f t="shared" si="241"/>
        <v>4476400</v>
      </c>
      <c r="BI1127" s="52">
        <f t="shared" si="242"/>
        <v>6068005.6899999995</v>
      </c>
      <c r="BJ1127" s="52">
        <f>Y1127-AG1127+AX1127</f>
        <v>1591605.69</v>
      </c>
      <c r="BK1127" s="56">
        <v>44348</v>
      </c>
      <c r="BL1127" s="63">
        <f>6027804.24+23801.45+16400</f>
        <v>6068005.6900000004</v>
      </c>
      <c r="BM1127" s="47">
        <v>0</v>
      </c>
      <c r="BN1127" s="9"/>
      <c r="BO1127" s="9"/>
      <c r="BP1127" s="9"/>
      <c r="BQ1127" s="9"/>
      <c r="BR1127" s="9"/>
      <c r="BS1127" s="9"/>
      <c r="BT1127" s="9"/>
      <c r="BU1127" s="9"/>
      <c r="BV1127" s="9"/>
      <c r="BW1127" s="9"/>
    </row>
    <row r="1128" spans="1:75" ht="39" hidden="1" outlineLevel="2" x14ac:dyDescent="0.25">
      <c r="A1128" s="43" t="s">
        <v>470</v>
      </c>
      <c r="B1128" s="110" t="s">
        <v>1189</v>
      </c>
      <c r="C1128" s="45">
        <v>2021</v>
      </c>
      <c r="D1128" s="110" t="s">
        <v>84</v>
      </c>
      <c r="E1128" s="47">
        <v>1657804.24</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f t="shared" si="237"/>
        <v>1657804.24</v>
      </c>
      <c r="Z1128" s="80">
        <v>0</v>
      </c>
      <c r="AA1128" s="50">
        <v>0</v>
      </c>
      <c r="AB1128" s="50">
        <v>0</v>
      </c>
      <c r="AC1128" s="148">
        <v>41404.32</v>
      </c>
      <c r="AD1128" s="148">
        <v>25810.400000000001</v>
      </c>
      <c r="AE1128" s="50">
        <v>0</v>
      </c>
      <c r="AF1128" s="50">
        <v>0</v>
      </c>
      <c r="AG1128" s="49">
        <f t="shared" si="238"/>
        <v>67214.720000000001</v>
      </c>
      <c r="AH1128" s="51" t="s">
        <v>74</v>
      </c>
      <c r="AI1128" s="51" t="s">
        <v>74</v>
      </c>
      <c r="AJ1128" s="51" t="s">
        <v>1202</v>
      </c>
      <c r="AK1128" s="51" t="s">
        <v>590</v>
      </c>
      <c r="AL1128" s="51" t="s">
        <v>74</v>
      </c>
      <c r="AM1128" s="51" t="s">
        <v>74</v>
      </c>
      <c r="AN1128" s="52">
        <v>0</v>
      </c>
      <c r="AO1128" s="52">
        <v>0</v>
      </c>
      <c r="AP1128" s="52">
        <v>0</v>
      </c>
      <c r="AQ1128" s="52">
        <v>0</v>
      </c>
      <c r="AR1128" s="52">
        <v>0</v>
      </c>
      <c r="AS1128" s="52">
        <f t="shared" si="239"/>
        <v>0</v>
      </c>
      <c r="AT1128" s="53" t="s">
        <v>74</v>
      </c>
      <c r="AU1128" s="52">
        <v>0</v>
      </c>
      <c r="AV1128" s="52"/>
      <c r="AW1128" s="52">
        <v>0</v>
      </c>
      <c r="AX1128" s="52"/>
      <c r="AY1128" s="52"/>
      <c r="AZ1128" s="52">
        <v>0</v>
      </c>
      <c r="BA1128" s="52">
        <f t="shared" si="240"/>
        <v>0</v>
      </c>
      <c r="BB1128" s="54" t="s">
        <v>74</v>
      </c>
      <c r="BC1128" s="53" t="s">
        <v>74</v>
      </c>
      <c r="BD1128" s="55" t="s">
        <v>74</v>
      </c>
      <c r="BE1128" s="55" t="s">
        <v>74</v>
      </c>
      <c r="BF1128" s="55" t="s">
        <v>74</v>
      </c>
      <c r="BG1128" s="55" t="s">
        <v>74</v>
      </c>
      <c r="BH1128" s="52">
        <f t="shared" si="241"/>
        <v>0</v>
      </c>
      <c r="BI1128" s="52">
        <f t="shared" si="242"/>
        <v>1590589.52</v>
      </c>
      <c r="BJ1128" s="52">
        <f>Y1128-AG1128+AX1128</f>
        <v>1590589.52</v>
      </c>
      <c r="BK1128" s="56">
        <v>44378</v>
      </c>
      <c r="BL1128" s="63">
        <f>1567804.24+22785.28</f>
        <v>1590589.52</v>
      </c>
      <c r="BM1128" s="47">
        <v>0</v>
      </c>
      <c r="BN1128" s="9"/>
      <c r="BO1128" s="9"/>
      <c r="BP1128" s="9"/>
      <c r="BQ1128" s="9"/>
      <c r="BR1128" s="9"/>
      <c r="BS1128" s="9"/>
      <c r="BT1128" s="9"/>
      <c r="BU1128" s="9"/>
      <c r="BV1128" s="9"/>
      <c r="BW1128" s="9"/>
    </row>
    <row r="1129" spans="1:75" ht="26.25" hidden="1" outlineLevel="2" x14ac:dyDescent="0.25">
      <c r="A1129" s="43" t="s">
        <v>470</v>
      </c>
      <c r="B1129" s="110" t="s">
        <v>1189</v>
      </c>
      <c r="C1129" s="45">
        <v>2021</v>
      </c>
      <c r="D1129" s="110" t="s">
        <v>86</v>
      </c>
      <c r="E1129" s="47">
        <v>1657804.24</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f t="shared" si="237"/>
        <v>1657804.24</v>
      </c>
      <c r="Z1129" s="49">
        <v>0</v>
      </c>
      <c r="AA1129" s="50">
        <v>0</v>
      </c>
      <c r="AB1129" s="50">
        <v>0</v>
      </c>
      <c r="AC1129" s="159"/>
      <c r="AD1129" s="148">
        <v>26466.6</v>
      </c>
      <c r="AE1129" s="50">
        <v>0</v>
      </c>
      <c r="AF1129" s="50">
        <v>0</v>
      </c>
      <c r="AG1129" s="49">
        <f t="shared" si="238"/>
        <v>26466.6</v>
      </c>
      <c r="AH1129" s="51" t="s">
        <v>74</v>
      </c>
      <c r="AI1129" s="51" t="s">
        <v>74</v>
      </c>
      <c r="AJ1129" s="51"/>
      <c r="AK1129" s="51" t="s">
        <v>593</v>
      </c>
      <c r="AL1129" s="51" t="s">
        <v>74</v>
      </c>
      <c r="AM1129" s="51" t="s">
        <v>74</v>
      </c>
      <c r="AN1129" s="52">
        <v>0</v>
      </c>
      <c r="AO1129" s="52">
        <v>0</v>
      </c>
      <c r="AP1129" s="52">
        <v>0</v>
      </c>
      <c r="AQ1129" s="52">
        <v>0</v>
      </c>
      <c r="AR1129" s="52">
        <v>0</v>
      </c>
      <c r="AS1129" s="52">
        <f t="shared" si="239"/>
        <v>0</v>
      </c>
      <c r="AT1129" s="53" t="s">
        <v>74</v>
      </c>
      <c r="AU1129" s="52">
        <v>0</v>
      </c>
      <c r="AV1129" s="52"/>
      <c r="AW1129" s="52">
        <v>0</v>
      </c>
      <c r="AX1129" s="52"/>
      <c r="AY1129" s="52"/>
      <c r="AZ1129" s="52">
        <v>0</v>
      </c>
      <c r="BA1129" s="52">
        <f t="shared" si="240"/>
        <v>0</v>
      </c>
      <c r="BB1129" s="54" t="s">
        <v>74</v>
      </c>
      <c r="BC1129" s="53" t="s">
        <v>74</v>
      </c>
      <c r="BD1129" s="55" t="s">
        <v>74</v>
      </c>
      <c r="BE1129" s="55" t="s">
        <v>74</v>
      </c>
      <c r="BF1129" s="55" t="s">
        <v>74</v>
      </c>
      <c r="BG1129" s="55" t="s">
        <v>74</v>
      </c>
      <c r="BH1129" s="52">
        <f t="shared" si="241"/>
        <v>0</v>
      </c>
      <c r="BI1129" s="52">
        <f t="shared" si="242"/>
        <v>1631337.64</v>
      </c>
      <c r="BJ1129" s="52">
        <f>Y1129-AG1129+AX1129</f>
        <v>1631337.64</v>
      </c>
      <c r="BK1129" s="56">
        <v>44409</v>
      </c>
      <c r="BL1129" s="57">
        <f>1567804.24+63533.4</f>
        <v>1631337.64</v>
      </c>
      <c r="BM1129" s="47">
        <v>0</v>
      </c>
      <c r="BN1129" s="9"/>
      <c r="BO1129" s="9"/>
      <c r="BP1129" s="9"/>
      <c r="BQ1129" s="9"/>
      <c r="BR1129" s="9"/>
      <c r="BS1129" s="9"/>
      <c r="BT1129" s="9"/>
      <c r="BU1129" s="9"/>
      <c r="BV1129" s="9"/>
      <c r="BW1129" s="9"/>
    </row>
    <row r="1130" spans="1:75" ht="306.75" hidden="1" outlineLevel="2" x14ac:dyDescent="0.25">
      <c r="A1130" s="43" t="s">
        <v>470</v>
      </c>
      <c r="B1130" s="110" t="s">
        <v>1189</v>
      </c>
      <c r="C1130" s="45">
        <v>2021</v>
      </c>
      <c r="D1130" s="110" t="s">
        <v>88</v>
      </c>
      <c r="E1130" s="47">
        <v>1657804.24</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f t="shared" si="237"/>
        <v>1657804.24</v>
      </c>
      <c r="Z1130" s="102">
        <v>0</v>
      </c>
      <c r="AA1130" s="50">
        <v>0</v>
      </c>
      <c r="AB1130" s="50">
        <v>0</v>
      </c>
      <c r="AC1130" s="159">
        <v>50000</v>
      </c>
      <c r="AD1130" s="159">
        <v>40000</v>
      </c>
      <c r="AE1130" s="50">
        <v>0</v>
      </c>
      <c r="AF1130" s="50">
        <v>0</v>
      </c>
      <c r="AG1130" s="49">
        <f t="shared" si="238"/>
        <v>90000</v>
      </c>
      <c r="AH1130" s="51" t="s">
        <v>74</v>
      </c>
      <c r="AI1130" s="51" t="s">
        <v>74</v>
      </c>
      <c r="AJ1130" s="51" t="s">
        <v>595</v>
      </c>
      <c r="AK1130" s="51" t="s">
        <v>595</v>
      </c>
      <c r="AL1130" s="51" t="s">
        <v>74</v>
      </c>
      <c r="AM1130" s="51" t="s">
        <v>74</v>
      </c>
      <c r="AN1130" s="52">
        <v>0</v>
      </c>
      <c r="AO1130" s="52">
        <v>0</v>
      </c>
      <c r="AP1130" s="52">
        <v>0</v>
      </c>
      <c r="AQ1130" s="52">
        <v>0</v>
      </c>
      <c r="AR1130" s="52">
        <v>0</v>
      </c>
      <c r="AS1130" s="52">
        <f t="shared" si="239"/>
        <v>0</v>
      </c>
      <c r="AT1130" s="53" t="s">
        <v>74</v>
      </c>
      <c r="AU1130" s="52">
        <v>0</v>
      </c>
      <c r="AV1130" s="52"/>
      <c r="AW1130" s="68">
        <f>839048.54+19900</f>
        <v>858948.54</v>
      </c>
      <c r="AX1130" s="52"/>
      <c r="AY1130" s="52"/>
      <c r="AZ1130" s="52">
        <v>0</v>
      </c>
      <c r="BA1130" s="52">
        <f t="shared" si="240"/>
        <v>858948.54</v>
      </c>
      <c r="BB1130" s="54" t="s">
        <v>74</v>
      </c>
      <c r="BC1130" s="53" t="s">
        <v>74</v>
      </c>
      <c r="BD1130" s="55" t="s">
        <v>1203</v>
      </c>
      <c r="BE1130" s="55" t="s">
        <v>74</v>
      </c>
      <c r="BF1130" s="55" t="s">
        <v>74</v>
      </c>
      <c r="BG1130" s="55" t="s">
        <v>74</v>
      </c>
      <c r="BH1130" s="52">
        <f t="shared" si="241"/>
        <v>858948.54</v>
      </c>
      <c r="BI1130" s="52">
        <f t="shared" si="242"/>
        <v>2426752.7800000003</v>
      </c>
      <c r="BJ1130" s="52">
        <f>BI1130-BH1130</f>
        <v>1567804.2400000002</v>
      </c>
      <c r="BK1130" s="56">
        <v>44440</v>
      </c>
      <c r="BL1130" s="63">
        <f>1567804.24+839048.54+19900</f>
        <v>2426752.7800000003</v>
      </c>
      <c r="BM1130" s="47">
        <v>0</v>
      </c>
      <c r="BN1130" s="9"/>
      <c r="BO1130" s="9"/>
      <c r="BP1130" s="9"/>
      <c r="BQ1130" s="9"/>
      <c r="BR1130" s="9"/>
      <c r="BS1130" s="9"/>
      <c r="BT1130" s="9"/>
      <c r="BU1130" s="9"/>
      <c r="BV1130" s="9"/>
      <c r="BW1130" s="9"/>
    </row>
    <row r="1131" spans="1:75" hidden="1" outlineLevel="2" x14ac:dyDescent="0.25">
      <c r="A1131" s="71" t="s">
        <v>470</v>
      </c>
      <c r="B1131" s="116" t="s">
        <v>1189</v>
      </c>
      <c r="C1131" s="73">
        <v>2021</v>
      </c>
      <c r="D1131" s="116" t="s">
        <v>89</v>
      </c>
      <c r="E1131" s="75">
        <v>1657804.24</v>
      </c>
      <c r="F1131" s="75">
        <v>0</v>
      </c>
      <c r="G1131" s="75">
        <v>0</v>
      </c>
      <c r="H1131" s="75">
        <v>0</v>
      </c>
      <c r="I1131" s="75">
        <v>0</v>
      </c>
      <c r="J1131" s="75">
        <v>0</v>
      </c>
      <c r="K1131" s="75">
        <v>0</v>
      </c>
      <c r="L1131" s="75">
        <v>0</v>
      </c>
      <c r="M1131" s="75">
        <v>0</v>
      </c>
      <c r="N1131" s="75">
        <v>0</v>
      </c>
      <c r="O1131" s="75">
        <v>0</v>
      </c>
      <c r="P1131" s="75">
        <v>0</v>
      </c>
      <c r="Q1131" s="75">
        <v>0</v>
      </c>
      <c r="R1131" s="75">
        <v>0</v>
      </c>
      <c r="S1131" s="75">
        <v>0</v>
      </c>
      <c r="T1131" s="75">
        <v>0</v>
      </c>
      <c r="U1131" s="75">
        <v>0</v>
      </c>
      <c r="V1131" s="75">
        <v>0</v>
      </c>
      <c r="W1131" s="75">
        <v>0</v>
      </c>
      <c r="X1131" s="75">
        <v>0</v>
      </c>
      <c r="Y1131" s="76">
        <f t="shared" si="237"/>
        <v>1657804.24</v>
      </c>
      <c r="Z1131" s="80">
        <v>0</v>
      </c>
      <c r="AA1131" s="79">
        <v>0</v>
      </c>
      <c r="AB1131" s="79">
        <v>0</v>
      </c>
      <c r="AC1131" s="160">
        <v>50000</v>
      </c>
      <c r="AD1131" s="160">
        <v>40000</v>
      </c>
      <c r="AE1131" s="79">
        <v>0</v>
      </c>
      <c r="AF1131" s="79">
        <v>0</v>
      </c>
      <c r="AG1131" s="80">
        <f t="shared" si="238"/>
        <v>90000</v>
      </c>
      <c r="AH1131" s="123" t="s">
        <v>74</v>
      </c>
      <c r="AI1131" s="123" t="s">
        <v>74</v>
      </c>
      <c r="AJ1131" s="123" t="s">
        <v>595</v>
      </c>
      <c r="AK1131" s="123" t="s">
        <v>595</v>
      </c>
      <c r="AL1131" s="123" t="s">
        <v>74</v>
      </c>
      <c r="AM1131" s="123" t="s">
        <v>74</v>
      </c>
      <c r="AN1131" s="82">
        <v>0</v>
      </c>
      <c r="AO1131" s="82">
        <v>0</v>
      </c>
      <c r="AP1131" s="82">
        <v>0</v>
      </c>
      <c r="AQ1131" s="82">
        <v>0</v>
      </c>
      <c r="AR1131" s="82">
        <v>0</v>
      </c>
      <c r="AS1131" s="82">
        <f t="shared" si="239"/>
        <v>0</v>
      </c>
      <c r="AT1131" s="124" t="s">
        <v>74</v>
      </c>
      <c r="AU1131" s="82">
        <v>0</v>
      </c>
      <c r="AV1131" s="82"/>
      <c r="AW1131" s="82">
        <v>0</v>
      </c>
      <c r="AX1131" s="82"/>
      <c r="AY1131" s="82"/>
      <c r="AZ1131" s="82">
        <v>0</v>
      </c>
      <c r="BA1131" s="82">
        <f t="shared" si="240"/>
        <v>0</v>
      </c>
      <c r="BB1131" s="125" t="s">
        <v>74</v>
      </c>
      <c r="BC1131" s="124" t="s">
        <v>74</v>
      </c>
      <c r="BD1131" s="126" t="s">
        <v>74</v>
      </c>
      <c r="BE1131" s="126" t="s">
        <v>74</v>
      </c>
      <c r="BF1131" s="126" t="s">
        <v>74</v>
      </c>
      <c r="BG1131" s="126" t="s">
        <v>74</v>
      </c>
      <c r="BH1131" s="82">
        <f t="shared" si="241"/>
        <v>0</v>
      </c>
      <c r="BI1131" s="82">
        <f t="shared" si="242"/>
        <v>1567804.24</v>
      </c>
      <c r="BJ1131" s="52">
        <f>BI1131-BH1131</f>
        <v>1567804.24</v>
      </c>
      <c r="BK1131" s="56">
        <v>44470</v>
      </c>
      <c r="BL1131" s="83">
        <v>1567804.24</v>
      </c>
      <c r="BM1131" s="75">
        <v>0</v>
      </c>
      <c r="BN1131" s="9"/>
      <c r="BO1131" s="9"/>
      <c r="BP1131" s="9"/>
      <c r="BQ1131" s="9"/>
      <c r="BR1131" s="9"/>
      <c r="BS1131" s="9"/>
      <c r="BT1131" s="9"/>
      <c r="BU1131" s="9"/>
      <c r="BV1131" s="9"/>
      <c r="BW1131" s="9"/>
    </row>
    <row r="1132" spans="1:75" hidden="1" outlineLevel="1" collapsed="1" x14ac:dyDescent="0.25">
      <c r="A1132" s="84"/>
      <c r="B1132" s="120" t="s">
        <v>1204</v>
      </c>
      <c r="C1132" s="86"/>
      <c r="D1132" s="120"/>
      <c r="E1132" s="88"/>
      <c r="F1132" s="88"/>
      <c r="G1132" s="88"/>
      <c r="H1132" s="88"/>
      <c r="I1132" s="88"/>
      <c r="J1132" s="88"/>
      <c r="K1132" s="88"/>
      <c r="L1132" s="88"/>
      <c r="M1132" s="88"/>
      <c r="N1132" s="88"/>
      <c r="O1132" s="88"/>
      <c r="P1132" s="88"/>
      <c r="Q1132" s="88"/>
      <c r="R1132" s="88"/>
      <c r="S1132" s="88"/>
      <c r="T1132" s="88"/>
      <c r="U1132" s="88"/>
      <c r="V1132" s="88"/>
      <c r="W1132" s="88"/>
      <c r="X1132" s="88"/>
      <c r="Y1132" s="89">
        <f t="shared" ref="Y1132:AG1132" si="243">SUBTOTAL(9,Y1118:Y1131)</f>
        <v>0</v>
      </c>
      <c r="Z1132" s="89">
        <f t="shared" si="243"/>
        <v>0</v>
      </c>
      <c r="AA1132" s="89">
        <f t="shared" si="243"/>
        <v>0</v>
      </c>
      <c r="AB1132" s="89">
        <f t="shared" si="243"/>
        <v>0</v>
      </c>
      <c r="AC1132" s="162">
        <f t="shared" si="243"/>
        <v>0</v>
      </c>
      <c r="AD1132" s="162">
        <f t="shared" si="243"/>
        <v>0</v>
      </c>
      <c r="AE1132" s="89">
        <f t="shared" si="243"/>
        <v>0</v>
      </c>
      <c r="AF1132" s="89">
        <f t="shared" si="243"/>
        <v>0</v>
      </c>
      <c r="AG1132" s="89">
        <f t="shared" si="243"/>
        <v>0</v>
      </c>
      <c r="AH1132" s="129"/>
      <c r="AI1132" s="129"/>
      <c r="AJ1132" s="129"/>
      <c r="AK1132" s="129"/>
      <c r="AL1132" s="129"/>
      <c r="AM1132" s="129"/>
      <c r="AN1132" s="92">
        <f t="shared" ref="AN1132:AS1132" si="244">SUBTOTAL(9,AN1118:AN1131)</f>
        <v>0</v>
      </c>
      <c r="AO1132" s="92">
        <f t="shared" si="244"/>
        <v>0</v>
      </c>
      <c r="AP1132" s="92">
        <f t="shared" si="244"/>
        <v>0</v>
      </c>
      <c r="AQ1132" s="92">
        <f t="shared" si="244"/>
        <v>0</v>
      </c>
      <c r="AR1132" s="92">
        <f t="shared" si="244"/>
        <v>0</v>
      </c>
      <c r="AS1132" s="92">
        <f t="shared" si="244"/>
        <v>0</v>
      </c>
      <c r="AT1132" s="130"/>
      <c r="AU1132" s="92">
        <f t="shared" ref="AU1132:BA1132" si="245">SUBTOTAL(9,AU1118:AU1131)</f>
        <v>0</v>
      </c>
      <c r="AV1132" s="92">
        <f t="shared" si="245"/>
        <v>0</v>
      </c>
      <c r="AW1132" s="92">
        <f t="shared" si="245"/>
        <v>0</v>
      </c>
      <c r="AX1132" s="92">
        <f t="shared" si="245"/>
        <v>0</v>
      </c>
      <c r="AY1132" s="92">
        <f t="shared" si="245"/>
        <v>0</v>
      </c>
      <c r="AZ1132" s="92">
        <f t="shared" si="245"/>
        <v>0</v>
      </c>
      <c r="BA1132" s="92">
        <f t="shared" si="245"/>
        <v>0</v>
      </c>
      <c r="BB1132" s="131"/>
      <c r="BC1132" s="130"/>
      <c r="BD1132" s="132"/>
      <c r="BE1132" s="132"/>
      <c r="BF1132" s="132"/>
      <c r="BG1132" s="132"/>
      <c r="BH1132" s="92">
        <f>SUBTOTAL(9,BH1118:BH1131)</f>
        <v>0</v>
      </c>
      <c r="BI1132" s="92">
        <f>SUBTOTAL(9,BI1118:BI1131)</f>
        <v>0</v>
      </c>
      <c r="BJ1132" s="93"/>
      <c r="BK1132" s="94"/>
      <c r="BL1132" s="95">
        <f>SUBTOTAL(9,BL1118:BL1131)</f>
        <v>0</v>
      </c>
      <c r="BM1132" s="88">
        <f>SUBTOTAL(9,BM1118:BM1131)</f>
        <v>0</v>
      </c>
      <c r="BN1132" s="9"/>
      <c r="BO1132" s="9"/>
      <c r="BP1132" s="9"/>
      <c r="BQ1132" s="9"/>
      <c r="BR1132" s="9"/>
      <c r="BS1132" s="9"/>
      <c r="BT1132" s="9"/>
      <c r="BU1132" s="9"/>
      <c r="BV1132" s="9"/>
      <c r="BW1132" s="9"/>
    </row>
    <row r="1133" spans="1:75" ht="141" hidden="1" outlineLevel="2" x14ac:dyDescent="0.25">
      <c r="A1133" s="96" t="s">
        <v>470</v>
      </c>
      <c r="B1133" s="97" t="s">
        <v>1205</v>
      </c>
      <c r="C1133" s="98">
        <v>2021</v>
      </c>
      <c r="D1133" s="97" t="s">
        <v>73</v>
      </c>
      <c r="E1133" s="100">
        <v>289966.59000000003</v>
      </c>
      <c r="F1133" s="100">
        <v>0</v>
      </c>
      <c r="G1133" s="100">
        <v>0</v>
      </c>
      <c r="H1133" s="100">
        <v>0</v>
      </c>
      <c r="I1133" s="100">
        <v>0</v>
      </c>
      <c r="J1133" s="100">
        <v>0</v>
      </c>
      <c r="K1133" s="100">
        <v>0</v>
      </c>
      <c r="L1133" s="100">
        <v>0</v>
      </c>
      <c r="M1133" s="100">
        <v>0</v>
      </c>
      <c r="N1133" s="100">
        <v>0</v>
      </c>
      <c r="O1133" s="100">
        <v>0</v>
      </c>
      <c r="P1133" s="100">
        <v>0</v>
      </c>
      <c r="Q1133" s="100">
        <v>0</v>
      </c>
      <c r="R1133" s="100">
        <v>0</v>
      </c>
      <c r="S1133" s="100">
        <v>0</v>
      </c>
      <c r="T1133" s="100">
        <v>0</v>
      </c>
      <c r="U1133" s="100">
        <v>0</v>
      </c>
      <c r="V1133" s="100">
        <v>0</v>
      </c>
      <c r="W1133" s="100">
        <v>0</v>
      </c>
      <c r="X1133" s="100">
        <v>0</v>
      </c>
      <c r="Y1133" s="101">
        <f t="shared" ref="Y1133:Y1142" si="246">SUM(E1133:X1133)</f>
        <v>289966.59000000003</v>
      </c>
      <c r="Z1133" s="102">
        <v>0</v>
      </c>
      <c r="AA1133" s="103">
        <v>0</v>
      </c>
      <c r="AB1133" s="103">
        <v>0</v>
      </c>
      <c r="AC1133" s="103">
        <v>0</v>
      </c>
      <c r="AD1133" s="103">
        <v>0</v>
      </c>
      <c r="AE1133" s="103">
        <v>0</v>
      </c>
      <c r="AF1133" s="103">
        <v>0</v>
      </c>
      <c r="AG1133" s="102">
        <f t="shared" ref="AG1133:AG1142" si="247">SUM(AA1133:AF1133)</f>
        <v>0</v>
      </c>
      <c r="AH1133" s="104" t="s">
        <v>74</v>
      </c>
      <c r="AI1133" s="104" t="s">
        <v>74</v>
      </c>
      <c r="AJ1133" s="104" t="s">
        <v>74</v>
      </c>
      <c r="AK1133" s="104" t="s">
        <v>74</v>
      </c>
      <c r="AL1133" s="104" t="s">
        <v>74</v>
      </c>
      <c r="AM1133" s="104" t="s">
        <v>74</v>
      </c>
      <c r="AN1133" s="105">
        <v>0</v>
      </c>
      <c r="AO1133" s="105">
        <v>0</v>
      </c>
      <c r="AP1133" s="105">
        <v>0</v>
      </c>
      <c r="AQ1133" s="105">
        <v>0</v>
      </c>
      <c r="AR1133" s="105">
        <v>0</v>
      </c>
      <c r="AS1133" s="105">
        <f t="shared" ref="AS1133:AS1142" si="248">AN1133+AO1133+AP1133+AQ1133+AR1133</f>
        <v>0</v>
      </c>
      <c r="AT1133" s="106" t="s">
        <v>74</v>
      </c>
      <c r="AU1133" s="105">
        <v>0</v>
      </c>
      <c r="AV1133" s="105"/>
      <c r="AW1133" s="105">
        <v>0</v>
      </c>
      <c r="AX1133" s="199">
        <v>579933.18000000005</v>
      </c>
      <c r="AY1133" s="199"/>
      <c r="AZ1133" s="105">
        <v>0</v>
      </c>
      <c r="BA1133" s="105">
        <f t="shared" ref="BA1133:BA1142" si="249">AU1133+AW1133+AX1133+AZ1133</f>
        <v>579933.18000000005</v>
      </c>
      <c r="BB1133" s="107" t="s">
        <v>74</v>
      </c>
      <c r="BC1133" s="106" t="s">
        <v>74</v>
      </c>
      <c r="BD1133" s="108" t="s">
        <v>74</v>
      </c>
      <c r="BE1133" s="104" t="s">
        <v>1206</v>
      </c>
      <c r="BF1133" s="108" t="s">
        <v>74</v>
      </c>
      <c r="BG1133" s="108" t="s">
        <v>74</v>
      </c>
      <c r="BH1133" s="105">
        <f t="shared" ref="BH1133:BH1142" si="250">AS1133+BA1133</f>
        <v>579933.18000000005</v>
      </c>
      <c r="BI1133" s="105">
        <f t="shared" ref="BI1133:BI1142" si="251">Y1133-AG1133+BH1133</f>
        <v>869899.77</v>
      </c>
      <c r="BJ1133" s="52">
        <v>869899.77</v>
      </c>
      <c r="BK1133" s="56">
        <v>44197</v>
      </c>
      <c r="BL1133" s="109">
        <v>869899.77</v>
      </c>
      <c r="BM1133" s="100">
        <v>0</v>
      </c>
      <c r="BN1133" s="9"/>
      <c r="BO1133" s="9"/>
      <c r="BP1133" s="9"/>
      <c r="BQ1133" s="9"/>
      <c r="BR1133" s="9"/>
      <c r="BS1133" s="9"/>
      <c r="BT1133" s="9"/>
      <c r="BU1133" s="9"/>
      <c r="BV1133" s="9"/>
      <c r="BW1133" s="9"/>
    </row>
    <row r="1134" spans="1:75" hidden="1" outlineLevel="2" x14ac:dyDescent="0.25">
      <c r="A1134" s="43" t="s">
        <v>470</v>
      </c>
      <c r="B1134" s="110" t="s">
        <v>1205</v>
      </c>
      <c r="C1134" s="45">
        <v>2021</v>
      </c>
      <c r="D1134" s="110" t="s">
        <v>75</v>
      </c>
      <c r="E1134" s="47">
        <v>1002609.22</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f t="shared" si="246"/>
        <v>1002609.22</v>
      </c>
      <c r="Z1134" s="49">
        <v>0</v>
      </c>
      <c r="AA1134" s="50">
        <v>0</v>
      </c>
      <c r="AB1134" s="50">
        <v>0</v>
      </c>
      <c r="AC1134" s="50">
        <v>0</v>
      </c>
      <c r="AD1134" s="50">
        <v>0</v>
      </c>
      <c r="AE1134" s="50">
        <v>0</v>
      </c>
      <c r="AF1134" s="50">
        <v>0</v>
      </c>
      <c r="AG1134" s="49">
        <f t="shared" si="247"/>
        <v>0</v>
      </c>
      <c r="AH1134" s="51" t="s">
        <v>74</v>
      </c>
      <c r="AI1134" s="51" t="s">
        <v>74</v>
      </c>
      <c r="AJ1134" s="51" t="s">
        <v>74</v>
      </c>
      <c r="AK1134" s="51" t="s">
        <v>74</v>
      </c>
      <c r="AL1134" s="51" t="s">
        <v>74</v>
      </c>
      <c r="AM1134" s="51" t="s">
        <v>74</v>
      </c>
      <c r="AN1134" s="52">
        <v>0</v>
      </c>
      <c r="AO1134" s="52">
        <v>0</v>
      </c>
      <c r="AP1134" s="52">
        <v>0</v>
      </c>
      <c r="AQ1134" s="52">
        <v>0</v>
      </c>
      <c r="AR1134" s="52">
        <v>0</v>
      </c>
      <c r="AS1134" s="52">
        <f t="shared" si="248"/>
        <v>0</v>
      </c>
      <c r="AT1134" s="53" t="s">
        <v>74</v>
      </c>
      <c r="AU1134" s="52">
        <v>0</v>
      </c>
      <c r="AV1134" s="52"/>
      <c r="AW1134" s="52">
        <v>0</v>
      </c>
      <c r="AX1134" s="52"/>
      <c r="AY1134" s="52"/>
      <c r="AZ1134" s="52">
        <v>0</v>
      </c>
      <c r="BA1134" s="52">
        <f t="shared" si="249"/>
        <v>0</v>
      </c>
      <c r="BB1134" s="54" t="s">
        <v>74</v>
      </c>
      <c r="BC1134" s="53" t="s">
        <v>74</v>
      </c>
      <c r="BD1134" s="55" t="s">
        <v>74</v>
      </c>
      <c r="BE1134" s="55" t="s">
        <v>74</v>
      </c>
      <c r="BF1134" s="55" t="s">
        <v>74</v>
      </c>
      <c r="BG1134" s="55" t="s">
        <v>74</v>
      </c>
      <c r="BH1134" s="52">
        <f t="shared" si="250"/>
        <v>0</v>
      </c>
      <c r="BI1134" s="52">
        <f t="shared" si="251"/>
        <v>1002609.22</v>
      </c>
      <c r="BJ1134" s="52">
        <v>1002609.22</v>
      </c>
      <c r="BK1134" s="56">
        <v>44228</v>
      </c>
      <c r="BL1134" s="57">
        <v>1002609.22</v>
      </c>
      <c r="BM1134" s="47">
        <v>0</v>
      </c>
      <c r="BN1134" s="9"/>
      <c r="BO1134" s="9"/>
      <c r="BP1134" s="9"/>
      <c r="BQ1134" s="9"/>
      <c r="BR1134" s="9"/>
      <c r="BS1134" s="9"/>
      <c r="BT1134" s="9"/>
      <c r="BU1134" s="9"/>
      <c r="BV1134" s="9"/>
      <c r="BW1134" s="9"/>
    </row>
    <row r="1135" spans="1:75" hidden="1" outlineLevel="2" x14ac:dyDescent="0.25">
      <c r="A1135" s="43" t="s">
        <v>470</v>
      </c>
      <c r="B1135" s="110" t="s">
        <v>1205</v>
      </c>
      <c r="C1135" s="45">
        <v>2021</v>
      </c>
      <c r="D1135" s="110" t="s">
        <v>77</v>
      </c>
      <c r="E1135" s="206">
        <v>1184385.45</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f t="shared" si="246"/>
        <v>1184385.45</v>
      </c>
      <c r="Z1135" s="49">
        <v>0</v>
      </c>
      <c r="AA1135" s="50">
        <v>0</v>
      </c>
      <c r="AB1135" s="50">
        <v>0</v>
      </c>
      <c r="AC1135" s="50">
        <v>0</v>
      </c>
      <c r="AD1135" s="50">
        <v>0</v>
      </c>
      <c r="AE1135" s="50">
        <v>0</v>
      </c>
      <c r="AF1135" s="50">
        <v>0</v>
      </c>
      <c r="AG1135" s="49">
        <f t="shared" si="247"/>
        <v>0</v>
      </c>
      <c r="AH1135" s="51" t="s">
        <v>74</v>
      </c>
      <c r="AI1135" s="51" t="s">
        <v>74</v>
      </c>
      <c r="AJ1135" s="51" t="s">
        <v>74</v>
      </c>
      <c r="AK1135" s="51" t="s">
        <v>74</v>
      </c>
      <c r="AL1135" s="51" t="s">
        <v>74</v>
      </c>
      <c r="AM1135" s="51" t="s">
        <v>74</v>
      </c>
      <c r="AN1135" s="52">
        <v>0</v>
      </c>
      <c r="AO1135" s="52">
        <v>0</v>
      </c>
      <c r="AP1135" s="52">
        <v>0</v>
      </c>
      <c r="AQ1135" s="52">
        <v>0</v>
      </c>
      <c r="AR1135" s="52">
        <v>0</v>
      </c>
      <c r="AS1135" s="52">
        <f t="shared" si="248"/>
        <v>0</v>
      </c>
      <c r="AT1135" s="53" t="s">
        <v>74</v>
      </c>
      <c r="AU1135" s="52">
        <v>0</v>
      </c>
      <c r="AV1135" s="52"/>
      <c r="AW1135" s="52">
        <v>0</v>
      </c>
      <c r="AX1135" s="52"/>
      <c r="AY1135" s="52"/>
      <c r="AZ1135" s="52">
        <v>0</v>
      </c>
      <c r="BA1135" s="52">
        <f t="shared" si="249"/>
        <v>0</v>
      </c>
      <c r="BB1135" s="54" t="s">
        <v>74</v>
      </c>
      <c r="BC1135" s="53" t="s">
        <v>74</v>
      </c>
      <c r="BD1135" s="55" t="s">
        <v>74</v>
      </c>
      <c r="BE1135" s="55" t="s">
        <v>74</v>
      </c>
      <c r="BF1135" s="55" t="s">
        <v>74</v>
      </c>
      <c r="BG1135" s="55" t="s">
        <v>74</v>
      </c>
      <c r="BH1135" s="52">
        <f t="shared" si="250"/>
        <v>0</v>
      </c>
      <c r="BI1135" s="52">
        <f t="shared" si="251"/>
        <v>1184385.45</v>
      </c>
      <c r="BJ1135" s="52">
        <v>1184385.45</v>
      </c>
      <c r="BK1135" s="56">
        <v>44256</v>
      </c>
      <c r="BL1135" s="63">
        <v>1184385.45</v>
      </c>
      <c r="BM1135" s="47">
        <v>0</v>
      </c>
      <c r="BN1135" s="9"/>
      <c r="BO1135" s="9"/>
      <c r="BP1135" s="9"/>
      <c r="BQ1135" s="9"/>
      <c r="BR1135" s="9"/>
      <c r="BS1135" s="9"/>
      <c r="BT1135" s="9"/>
      <c r="BU1135" s="9"/>
      <c r="BV1135" s="9"/>
      <c r="BW1135" s="9"/>
    </row>
    <row r="1136" spans="1:75" ht="115.5" hidden="1" outlineLevel="2" x14ac:dyDescent="0.25">
      <c r="A1136" s="43" t="s">
        <v>470</v>
      </c>
      <c r="B1136" s="110" t="s">
        <v>1205</v>
      </c>
      <c r="C1136" s="45">
        <v>2021</v>
      </c>
      <c r="D1136" s="110" t="s">
        <v>79</v>
      </c>
      <c r="E1136" s="47">
        <v>1459465.27</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f t="shared" si="246"/>
        <v>1459465.27</v>
      </c>
      <c r="Z1136" s="58">
        <v>0</v>
      </c>
      <c r="AA1136" s="50">
        <v>0</v>
      </c>
      <c r="AB1136" s="50">
        <v>0</v>
      </c>
      <c r="AC1136" s="50">
        <v>124212.96</v>
      </c>
      <c r="AD1136" s="50">
        <v>10191.35</v>
      </c>
      <c r="AE1136" s="50">
        <v>0</v>
      </c>
      <c r="AF1136" s="50">
        <v>0</v>
      </c>
      <c r="AG1136" s="49">
        <f t="shared" si="247"/>
        <v>134404.31</v>
      </c>
      <c r="AH1136" s="51" t="s">
        <v>74</v>
      </c>
      <c r="AI1136" s="51" t="s">
        <v>74</v>
      </c>
      <c r="AJ1136" s="51" t="s">
        <v>463</v>
      </c>
      <c r="AK1136" s="51" t="s">
        <v>1207</v>
      </c>
      <c r="AL1136" s="51" t="s">
        <v>74</v>
      </c>
      <c r="AM1136" s="51" t="s">
        <v>74</v>
      </c>
      <c r="AN1136" s="52">
        <v>0</v>
      </c>
      <c r="AO1136" s="52">
        <v>0</v>
      </c>
      <c r="AP1136" s="52">
        <v>0</v>
      </c>
      <c r="AQ1136" s="52">
        <v>0</v>
      </c>
      <c r="AR1136" s="52">
        <v>0</v>
      </c>
      <c r="AS1136" s="52">
        <f t="shared" si="248"/>
        <v>0</v>
      </c>
      <c r="AT1136" s="53" t="s">
        <v>74</v>
      </c>
      <c r="AU1136" s="52">
        <v>0</v>
      </c>
      <c r="AV1136" s="52"/>
      <c r="AW1136" s="59">
        <v>913000</v>
      </c>
      <c r="AX1136" s="52"/>
      <c r="AY1136" s="52"/>
      <c r="AZ1136" s="52">
        <v>0</v>
      </c>
      <c r="BA1136" s="52">
        <f t="shared" si="249"/>
        <v>913000</v>
      </c>
      <c r="BB1136" s="54" t="s">
        <v>74</v>
      </c>
      <c r="BC1136" s="53" t="s">
        <v>74</v>
      </c>
      <c r="BD1136" s="55" t="s">
        <v>1208</v>
      </c>
      <c r="BE1136" s="55" t="s">
        <v>74</v>
      </c>
      <c r="BF1136" s="55" t="s">
        <v>74</v>
      </c>
      <c r="BG1136" s="55" t="s">
        <v>74</v>
      </c>
      <c r="BH1136" s="52">
        <f t="shared" si="250"/>
        <v>913000</v>
      </c>
      <c r="BI1136" s="52">
        <f t="shared" si="251"/>
        <v>2238060.96</v>
      </c>
      <c r="BJ1136" s="52">
        <v>1325060.96</v>
      </c>
      <c r="BK1136" s="56">
        <v>44287</v>
      </c>
      <c r="BL1136" s="63">
        <v>2238060.96</v>
      </c>
      <c r="BM1136" s="47">
        <v>0</v>
      </c>
      <c r="BN1136" s="9"/>
      <c r="BO1136" s="9"/>
      <c r="BP1136" s="9"/>
      <c r="BQ1136" s="9"/>
      <c r="BR1136" s="9"/>
      <c r="BS1136" s="9"/>
      <c r="BT1136" s="9"/>
      <c r="BU1136" s="9"/>
      <c r="BV1136" s="9"/>
      <c r="BW1136" s="9"/>
    </row>
    <row r="1137" spans="1:75" hidden="1" outlineLevel="2" x14ac:dyDescent="0.25">
      <c r="A1137" s="43" t="s">
        <v>470</v>
      </c>
      <c r="B1137" s="110" t="s">
        <v>1205</v>
      </c>
      <c r="C1137" s="45">
        <v>2021</v>
      </c>
      <c r="D1137" s="110" t="s">
        <v>81</v>
      </c>
      <c r="E1137" s="47">
        <v>1569665.84</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f t="shared" si="246"/>
        <v>1569665.84</v>
      </c>
      <c r="Z1137" s="49">
        <v>0</v>
      </c>
      <c r="AA1137" s="50">
        <v>0</v>
      </c>
      <c r="AB1137" s="50">
        <v>0</v>
      </c>
      <c r="AC1137" s="50">
        <v>0</v>
      </c>
      <c r="AD1137" s="50"/>
      <c r="AE1137" s="50">
        <v>0</v>
      </c>
      <c r="AF1137" s="50">
        <v>0</v>
      </c>
      <c r="AG1137" s="49">
        <f t="shared" si="247"/>
        <v>0</v>
      </c>
      <c r="AH1137" s="51" t="s">
        <v>74</v>
      </c>
      <c r="AI1137" s="51" t="s">
        <v>74</v>
      </c>
      <c r="AJ1137" s="51" t="s">
        <v>74</v>
      </c>
      <c r="AK1137" s="51" t="s">
        <v>74</v>
      </c>
      <c r="AL1137" s="51" t="s">
        <v>74</v>
      </c>
      <c r="AM1137" s="51" t="s">
        <v>74</v>
      </c>
      <c r="AN1137" s="52"/>
      <c r="AO1137" s="52"/>
      <c r="AP1137" s="52"/>
      <c r="AQ1137" s="52"/>
      <c r="AR1137" s="52"/>
      <c r="AS1137" s="52">
        <f t="shared" si="248"/>
        <v>0</v>
      </c>
      <c r="AT1137" s="53" t="s">
        <v>74</v>
      </c>
      <c r="AU1137" s="52"/>
      <c r="AV1137" s="52"/>
      <c r="AW1137" s="52"/>
      <c r="AX1137" s="52"/>
      <c r="AY1137" s="52"/>
      <c r="AZ1137" s="52"/>
      <c r="BA1137" s="52">
        <f t="shared" si="249"/>
        <v>0</v>
      </c>
      <c r="BB1137" s="54" t="s">
        <v>74</v>
      </c>
      <c r="BC1137" s="53" t="s">
        <v>74</v>
      </c>
      <c r="BD1137" s="55" t="s">
        <v>74</v>
      </c>
      <c r="BE1137" s="55" t="s">
        <v>74</v>
      </c>
      <c r="BF1137" s="55" t="s">
        <v>74</v>
      </c>
      <c r="BG1137" s="55" t="s">
        <v>74</v>
      </c>
      <c r="BH1137" s="52">
        <f t="shared" si="250"/>
        <v>0</v>
      </c>
      <c r="BI1137" s="52">
        <f t="shared" si="251"/>
        <v>1569665.84</v>
      </c>
      <c r="BJ1137" s="52">
        <v>1569665.84</v>
      </c>
      <c r="BK1137" s="56">
        <v>44317</v>
      </c>
      <c r="BL1137" s="63">
        <v>1569665.84</v>
      </c>
      <c r="BM1137" s="47">
        <v>0</v>
      </c>
      <c r="BN1137" s="9"/>
      <c r="BO1137" s="9"/>
      <c r="BP1137" s="9"/>
      <c r="BQ1137" s="9"/>
      <c r="BR1137" s="9"/>
      <c r="BS1137" s="9"/>
      <c r="BT1137" s="9"/>
      <c r="BU1137" s="9"/>
      <c r="BV1137" s="9"/>
      <c r="BW1137" s="9"/>
    </row>
    <row r="1138" spans="1:75" ht="179.25" hidden="1" outlineLevel="2" x14ac:dyDescent="0.25">
      <c r="A1138" s="43" t="s">
        <v>470</v>
      </c>
      <c r="B1138" s="110" t="s">
        <v>1205</v>
      </c>
      <c r="C1138" s="45">
        <v>2021</v>
      </c>
      <c r="D1138" s="110" t="s">
        <v>83</v>
      </c>
      <c r="E1138" s="47">
        <v>1569665.84</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f t="shared" si="246"/>
        <v>1569665.84</v>
      </c>
      <c r="Z1138" s="49">
        <v>0</v>
      </c>
      <c r="AA1138" s="50">
        <v>0</v>
      </c>
      <c r="AB1138" s="50">
        <v>0</v>
      </c>
      <c r="AC1138" s="50">
        <v>82808.639999999999</v>
      </c>
      <c r="AD1138" s="50">
        <v>41157</v>
      </c>
      <c r="AE1138" s="50">
        <v>0</v>
      </c>
      <c r="AF1138" s="50">
        <v>0</v>
      </c>
      <c r="AG1138" s="49">
        <f t="shared" si="247"/>
        <v>123965.64</v>
      </c>
      <c r="AH1138" s="51" t="s">
        <v>74</v>
      </c>
      <c r="AI1138" s="51" t="s">
        <v>74</v>
      </c>
      <c r="AJ1138" s="51" t="s">
        <v>1209</v>
      </c>
      <c r="AK1138" s="51" t="s">
        <v>1210</v>
      </c>
      <c r="AL1138" s="51" t="s">
        <v>74</v>
      </c>
      <c r="AM1138" s="51" t="s">
        <v>74</v>
      </c>
      <c r="AN1138" s="52">
        <v>0</v>
      </c>
      <c r="AO1138" s="52">
        <v>0</v>
      </c>
      <c r="AP1138" s="52">
        <v>0</v>
      </c>
      <c r="AQ1138" s="52">
        <v>0</v>
      </c>
      <c r="AR1138" s="52">
        <v>0</v>
      </c>
      <c r="AS1138" s="52">
        <f t="shared" si="248"/>
        <v>0</v>
      </c>
      <c r="AT1138" s="53" t="s">
        <v>74</v>
      </c>
      <c r="AU1138" s="52">
        <v>0</v>
      </c>
      <c r="AV1138" s="52"/>
      <c r="AW1138" s="68">
        <v>16400</v>
      </c>
      <c r="AX1138" s="52"/>
      <c r="AY1138" s="52"/>
      <c r="AZ1138" s="52">
        <v>0</v>
      </c>
      <c r="BA1138" s="52">
        <f t="shared" si="249"/>
        <v>16400</v>
      </c>
      <c r="BB1138" s="54" t="s">
        <v>74</v>
      </c>
      <c r="BC1138" s="53" t="s">
        <v>74</v>
      </c>
      <c r="BD1138" s="55" t="s">
        <v>1211</v>
      </c>
      <c r="BE1138" s="55" t="s">
        <v>74</v>
      </c>
      <c r="BF1138" s="55" t="s">
        <v>74</v>
      </c>
      <c r="BG1138" s="55" t="s">
        <v>74</v>
      </c>
      <c r="BH1138" s="52">
        <f t="shared" si="250"/>
        <v>16400</v>
      </c>
      <c r="BI1138" s="52">
        <f t="shared" si="251"/>
        <v>1462100.2000000002</v>
      </c>
      <c r="BJ1138" s="52">
        <f>Y1138-AG1138+AX1138</f>
        <v>1445700.2000000002</v>
      </c>
      <c r="BK1138" s="56">
        <v>44348</v>
      </c>
      <c r="BL1138" s="63">
        <f>1420108.7+25591.5+16400</f>
        <v>1462100.2</v>
      </c>
      <c r="BM1138" s="47">
        <v>0</v>
      </c>
      <c r="BN1138" s="9"/>
      <c r="BO1138" s="9"/>
      <c r="BP1138" s="9"/>
      <c r="BQ1138" s="9"/>
      <c r="BR1138" s="9"/>
      <c r="BS1138" s="9"/>
      <c r="BT1138" s="9"/>
      <c r="BU1138" s="9"/>
      <c r="BV1138" s="9"/>
      <c r="BW1138" s="9"/>
    </row>
    <row r="1139" spans="1:75" ht="39" hidden="1" outlineLevel="2" x14ac:dyDescent="0.25">
      <c r="A1139" s="43" t="s">
        <v>470</v>
      </c>
      <c r="B1139" s="110" t="s">
        <v>1205</v>
      </c>
      <c r="C1139" s="45">
        <v>2021</v>
      </c>
      <c r="D1139" s="110" t="s">
        <v>84</v>
      </c>
      <c r="E1139" s="47">
        <v>1569665.84</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f t="shared" si="246"/>
        <v>1569665.84</v>
      </c>
      <c r="Z1139" s="80">
        <v>0</v>
      </c>
      <c r="AA1139" s="50">
        <v>0</v>
      </c>
      <c r="AB1139" s="50">
        <v>0</v>
      </c>
      <c r="AC1139" s="159">
        <v>41404.32</v>
      </c>
      <c r="AD1139" s="148">
        <v>16929.57</v>
      </c>
      <c r="AE1139" s="50">
        <v>0</v>
      </c>
      <c r="AF1139" s="50">
        <v>0</v>
      </c>
      <c r="AG1139" s="49">
        <f t="shared" si="247"/>
        <v>58333.89</v>
      </c>
      <c r="AH1139" s="51" t="s">
        <v>74</v>
      </c>
      <c r="AI1139" s="51" t="s">
        <v>74</v>
      </c>
      <c r="AJ1139" s="51" t="s">
        <v>1212</v>
      </c>
      <c r="AK1139" s="51" t="s">
        <v>528</v>
      </c>
      <c r="AL1139" s="51" t="s">
        <v>74</v>
      </c>
      <c r="AM1139" s="51" t="s">
        <v>74</v>
      </c>
      <c r="AN1139" s="52">
        <v>0</v>
      </c>
      <c r="AO1139" s="52">
        <v>0</v>
      </c>
      <c r="AP1139" s="52">
        <v>0</v>
      </c>
      <c r="AQ1139" s="52">
        <v>0</v>
      </c>
      <c r="AR1139" s="52">
        <v>0</v>
      </c>
      <c r="AS1139" s="52">
        <f t="shared" si="248"/>
        <v>0</v>
      </c>
      <c r="AT1139" s="53" t="s">
        <v>74</v>
      </c>
      <c r="AU1139" s="52">
        <v>0</v>
      </c>
      <c r="AV1139" s="52"/>
      <c r="AW1139" s="52">
        <v>0</v>
      </c>
      <c r="AX1139" s="52"/>
      <c r="AY1139" s="52"/>
      <c r="AZ1139" s="52">
        <v>0</v>
      </c>
      <c r="BA1139" s="52">
        <f t="shared" si="249"/>
        <v>0</v>
      </c>
      <c r="BB1139" s="54" t="s">
        <v>74</v>
      </c>
      <c r="BC1139" s="53" t="s">
        <v>74</v>
      </c>
      <c r="BD1139" s="55" t="s">
        <v>74</v>
      </c>
      <c r="BE1139" s="55" t="s">
        <v>74</v>
      </c>
      <c r="BF1139" s="55" t="s">
        <v>74</v>
      </c>
      <c r="BG1139" s="55" t="s">
        <v>74</v>
      </c>
      <c r="BH1139" s="52">
        <f t="shared" si="250"/>
        <v>0</v>
      </c>
      <c r="BI1139" s="52">
        <f t="shared" si="251"/>
        <v>1511331.9500000002</v>
      </c>
      <c r="BJ1139" s="52">
        <f>Y1139-AG1139+AX1139</f>
        <v>1511331.9500000002</v>
      </c>
      <c r="BK1139" s="56">
        <v>44378</v>
      </c>
      <c r="BL1139" s="63">
        <f>1499665.84+11666.11</f>
        <v>1511331.9500000002</v>
      </c>
      <c r="BM1139" s="47">
        <v>0</v>
      </c>
      <c r="BN1139" s="9"/>
      <c r="BO1139" s="9"/>
      <c r="BP1139" s="9"/>
      <c r="BQ1139" s="9"/>
      <c r="BR1139" s="9"/>
      <c r="BS1139" s="9"/>
      <c r="BT1139" s="9"/>
      <c r="BU1139" s="9"/>
      <c r="BV1139" s="9"/>
      <c r="BW1139" s="9"/>
    </row>
    <row r="1140" spans="1:75" ht="26.25" hidden="1" outlineLevel="2" x14ac:dyDescent="0.25">
      <c r="A1140" s="43" t="s">
        <v>470</v>
      </c>
      <c r="B1140" s="110" t="s">
        <v>1205</v>
      </c>
      <c r="C1140" s="45">
        <v>2021</v>
      </c>
      <c r="D1140" s="110" t="s">
        <v>86</v>
      </c>
      <c r="E1140" s="47">
        <v>1569665.84</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f t="shared" si="246"/>
        <v>1569665.84</v>
      </c>
      <c r="Z1140" s="49">
        <v>0</v>
      </c>
      <c r="AA1140" s="50">
        <v>0</v>
      </c>
      <c r="AB1140" s="50">
        <v>0</v>
      </c>
      <c r="AC1140" s="159"/>
      <c r="AD1140" s="148">
        <v>16806.080000000002</v>
      </c>
      <c r="AE1140" s="50">
        <v>0</v>
      </c>
      <c r="AF1140" s="50">
        <v>0</v>
      </c>
      <c r="AG1140" s="49">
        <f t="shared" si="247"/>
        <v>16806.080000000002</v>
      </c>
      <c r="AH1140" s="51" t="s">
        <v>74</v>
      </c>
      <c r="AI1140" s="51" t="s">
        <v>74</v>
      </c>
      <c r="AJ1140" s="51"/>
      <c r="AK1140" s="51" t="s">
        <v>593</v>
      </c>
      <c r="AL1140" s="51" t="s">
        <v>74</v>
      </c>
      <c r="AM1140" s="51" t="s">
        <v>74</v>
      </c>
      <c r="AN1140" s="52">
        <v>0</v>
      </c>
      <c r="AO1140" s="52">
        <v>0</v>
      </c>
      <c r="AP1140" s="52">
        <v>0</v>
      </c>
      <c r="AQ1140" s="52">
        <v>0</v>
      </c>
      <c r="AR1140" s="52">
        <v>0</v>
      </c>
      <c r="AS1140" s="52">
        <f t="shared" si="248"/>
        <v>0</v>
      </c>
      <c r="AT1140" s="53" t="s">
        <v>74</v>
      </c>
      <c r="AU1140" s="52">
        <v>0</v>
      </c>
      <c r="AV1140" s="52"/>
      <c r="AW1140" s="52">
        <v>0</v>
      </c>
      <c r="AX1140" s="52"/>
      <c r="AY1140" s="52"/>
      <c r="AZ1140" s="52">
        <v>0</v>
      </c>
      <c r="BA1140" s="52">
        <f t="shared" si="249"/>
        <v>0</v>
      </c>
      <c r="BB1140" s="54" t="s">
        <v>74</v>
      </c>
      <c r="BC1140" s="53" t="s">
        <v>74</v>
      </c>
      <c r="BD1140" s="55" t="s">
        <v>74</v>
      </c>
      <c r="BE1140" s="55" t="s">
        <v>74</v>
      </c>
      <c r="BF1140" s="55" t="s">
        <v>74</v>
      </c>
      <c r="BG1140" s="55" t="s">
        <v>74</v>
      </c>
      <c r="BH1140" s="52">
        <f t="shared" si="250"/>
        <v>0</v>
      </c>
      <c r="BI1140" s="52">
        <f t="shared" si="251"/>
        <v>1552859.76</v>
      </c>
      <c r="BJ1140" s="52">
        <f>Y1140-AG1140+AX1140</f>
        <v>1552859.76</v>
      </c>
      <c r="BK1140" s="56">
        <v>44409</v>
      </c>
      <c r="BL1140" s="57">
        <f>1145704.39+353961.45+53193.92</f>
        <v>1552859.7599999998</v>
      </c>
      <c r="BM1140" s="47">
        <v>0</v>
      </c>
      <c r="BN1140" s="9"/>
      <c r="BO1140" s="9"/>
      <c r="BP1140" s="9"/>
      <c r="BQ1140" s="9"/>
      <c r="BR1140" s="9"/>
      <c r="BS1140" s="9"/>
      <c r="BT1140" s="9"/>
      <c r="BU1140" s="9"/>
      <c r="BV1140" s="9"/>
      <c r="BW1140" s="9"/>
    </row>
    <row r="1141" spans="1:75" ht="128.25" hidden="1" outlineLevel="2" x14ac:dyDescent="0.25">
      <c r="A1141" s="43" t="s">
        <v>470</v>
      </c>
      <c r="B1141" s="110" t="s">
        <v>1205</v>
      </c>
      <c r="C1141" s="45">
        <v>2021</v>
      </c>
      <c r="D1141" s="110" t="s">
        <v>88</v>
      </c>
      <c r="E1141" s="47">
        <v>1569665.84</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f t="shared" si="246"/>
        <v>1569665.84</v>
      </c>
      <c r="Z1141" s="102">
        <v>0</v>
      </c>
      <c r="AA1141" s="50">
        <v>0</v>
      </c>
      <c r="AB1141" s="50">
        <v>0</v>
      </c>
      <c r="AC1141" s="159">
        <v>45000</v>
      </c>
      <c r="AD1141" s="159">
        <v>25000</v>
      </c>
      <c r="AE1141" s="50">
        <v>0</v>
      </c>
      <c r="AF1141" s="50">
        <v>0</v>
      </c>
      <c r="AG1141" s="49">
        <f t="shared" si="247"/>
        <v>70000</v>
      </c>
      <c r="AH1141" s="51" t="s">
        <v>74</v>
      </c>
      <c r="AI1141" s="51" t="s">
        <v>74</v>
      </c>
      <c r="AJ1141" s="51" t="s">
        <v>595</v>
      </c>
      <c r="AK1141" s="51" t="s">
        <v>595</v>
      </c>
      <c r="AL1141" s="51" t="s">
        <v>74</v>
      </c>
      <c r="AM1141" s="51" t="s">
        <v>74</v>
      </c>
      <c r="AN1141" s="52">
        <v>0</v>
      </c>
      <c r="AO1141" s="52">
        <v>0</v>
      </c>
      <c r="AP1141" s="52">
        <v>0</v>
      </c>
      <c r="AQ1141" s="52">
        <v>0</v>
      </c>
      <c r="AR1141" s="52">
        <v>0</v>
      </c>
      <c r="AS1141" s="52">
        <f t="shared" si="248"/>
        <v>0</v>
      </c>
      <c r="AT1141" s="53" t="s">
        <v>74</v>
      </c>
      <c r="AU1141" s="52">
        <v>0</v>
      </c>
      <c r="AV1141" s="52"/>
      <c r="AW1141" s="68">
        <v>1696551.71</v>
      </c>
      <c r="AX1141" s="52"/>
      <c r="AY1141" s="52"/>
      <c r="AZ1141" s="52">
        <v>0</v>
      </c>
      <c r="BA1141" s="52">
        <f t="shared" si="249"/>
        <v>1696551.71</v>
      </c>
      <c r="BB1141" s="54" t="s">
        <v>74</v>
      </c>
      <c r="BC1141" s="53" t="s">
        <v>74</v>
      </c>
      <c r="BD1141" s="55" t="s">
        <v>1213</v>
      </c>
      <c r="BE1141" s="55" t="s">
        <v>74</v>
      </c>
      <c r="BF1141" s="55" t="s">
        <v>74</v>
      </c>
      <c r="BG1141" s="55" t="s">
        <v>74</v>
      </c>
      <c r="BH1141" s="52">
        <f t="shared" si="250"/>
        <v>1696551.71</v>
      </c>
      <c r="BI1141" s="52">
        <f t="shared" si="251"/>
        <v>3196217.55</v>
      </c>
      <c r="BJ1141" s="52">
        <f>BI1141-BH1141</f>
        <v>1499665.8399999999</v>
      </c>
      <c r="BK1141" s="56">
        <v>44440</v>
      </c>
      <c r="BL1141" s="57">
        <f>1499665.84+1696551.71</f>
        <v>3196217.55</v>
      </c>
      <c r="BM1141" s="47">
        <v>0</v>
      </c>
      <c r="BN1141" s="9"/>
      <c r="BO1141" s="9"/>
      <c r="BP1141" s="9"/>
      <c r="BQ1141" s="9"/>
      <c r="BR1141" s="9"/>
      <c r="BS1141" s="9"/>
      <c r="BT1141" s="9"/>
      <c r="BU1141" s="9"/>
      <c r="BV1141" s="9"/>
      <c r="BW1141" s="9"/>
    </row>
    <row r="1142" spans="1:75" hidden="1" outlineLevel="2" x14ac:dyDescent="0.25">
      <c r="A1142" s="71" t="s">
        <v>470</v>
      </c>
      <c r="B1142" s="116" t="s">
        <v>1205</v>
      </c>
      <c r="C1142" s="73">
        <v>2021</v>
      </c>
      <c r="D1142" s="116" t="s">
        <v>89</v>
      </c>
      <c r="E1142" s="75">
        <v>1569665.84</v>
      </c>
      <c r="F1142" s="75">
        <v>0</v>
      </c>
      <c r="G1142" s="75">
        <v>0</v>
      </c>
      <c r="H1142" s="75">
        <v>0</v>
      </c>
      <c r="I1142" s="75">
        <v>0</v>
      </c>
      <c r="J1142" s="75">
        <v>0</v>
      </c>
      <c r="K1142" s="75">
        <v>0</v>
      </c>
      <c r="L1142" s="75">
        <v>0</v>
      </c>
      <c r="M1142" s="75">
        <v>0</v>
      </c>
      <c r="N1142" s="75">
        <v>0</v>
      </c>
      <c r="O1142" s="75">
        <v>0</v>
      </c>
      <c r="P1142" s="75">
        <v>0</v>
      </c>
      <c r="Q1142" s="75">
        <v>0</v>
      </c>
      <c r="R1142" s="75">
        <v>0</v>
      </c>
      <c r="S1142" s="75">
        <v>0</v>
      </c>
      <c r="T1142" s="75">
        <v>0</v>
      </c>
      <c r="U1142" s="75">
        <v>0</v>
      </c>
      <c r="V1142" s="75">
        <v>0</v>
      </c>
      <c r="W1142" s="75">
        <v>0</v>
      </c>
      <c r="X1142" s="75">
        <v>0</v>
      </c>
      <c r="Y1142" s="76">
        <f t="shared" si="246"/>
        <v>1569665.84</v>
      </c>
      <c r="Z1142" s="80">
        <v>0</v>
      </c>
      <c r="AA1142" s="79">
        <v>0</v>
      </c>
      <c r="AB1142" s="79">
        <v>0</v>
      </c>
      <c r="AC1142" s="160">
        <v>45000</v>
      </c>
      <c r="AD1142" s="160">
        <v>25000</v>
      </c>
      <c r="AE1142" s="79">
        <v>0</v>
      </c>
      <c r="AF1142" s="79">
        <v>0</v>
      </c>
      <c r="AG1142" s="80">
        <f t="shared" si="247"/>
        <v>70000</v>
      </c>
      <c r="AH1142" s="123" t="s">
        <v>74</v>
      </c>
      <c r="AI1142" s="123" t="s">
        <v>74</v>
      </c>
      <c r="AJ1142" s="123" t="s">
        <v>595</v>
      </c>
      <c r="AK1142" s="123" t="s">
        <v>595</v>
      </c>
      <c r="AL1142" s="123" t="s">
        <v>74</v>
      </c>
      <c r="AM1142" s="123" t="s">
        <v>74</v>
      </c>
      <c r="AN1142" s="82">
        <v>0</v>
      </c>
      <c r="AO1142" s="82">
        <v>0</v>
      </c>
      <c r="AP1142" s="82">
        <v>0</v>
      </c>
      <c r="AQ1142" s="82">
        <v>0</v>
      </c>
      <c r="AR1142" s="82">
        <v>0</v>
      </c>
      <c r="AS1142" s="82">
        <f t="shared" si="248"/>
        <v>0</v>
      </c>
      <c r="AT1142" s="124" t="s">
        <v>74</v>
      </c>
      <c r="AU1142" s="82">
        <v>0</v>
      </c>
      <c r="AV1142" s="82"/>
      <c r="AW1142" s="82">
        <v>0</v>
      </c>
      <c r="AX1142" s="82"/>
      <c r="AY1142" s="82"/>
      <c r="AZ1142" s="82">
        <v>0</v>
      </c>
      <c r="BA1142" s="82">
        <f t="shared" si="249"/>
        <v>0</v>
      </c>
      <c r="BB1142" s="125" t="s">
        <v>74</v>
      </c>
      <c r="BC1142" s="124" t="s">
        <v>74</v>
      </c>
      <c r="BD1142" s="126" t="s">
        <v>74</v>
      </c>
      <c r="BE1142" s="126" t="s">
        <v>74</v>
      </c>
      <c r="BF1142" s="126" t="s">
        <v>74</v>
      </c>
      <c r="BG1142" s="126" t="s">
        <v>74</v>
      </c>
      <c r="BH1142" s="82">
        <f t="shared" si="250"/>
        <v>0</v>
      </c>
      <c r="BI1142" s="82">
        <f t="shared" si="251"/>
        <v>1499665.84</v>
      </c>
      <c r="BJ1142" s="52">
        <f>BI1142-BH1142</f>
        <v>1499665.84</v>
      </c>
      <c r="BK1142" s="56">
        <v>44470</v>
      </c>
      <c r="BL1142" s="83">
        <v>1499665.84</v>
      </c>
      <c r="BM1142" s="75">
        <v>0</v>
      </c>
      <c r="BN1142" s="9"/>
      <c r="BO1142" s="9"/>
      <c r="BP1142" s="9"/>
      <c r="BQ1142" s="9"/>
      <c r="BR1142" s="9"/>
      <c r="BS1142" s="9"/>
      <c r="BT1142" s="9"/>
      <c r="BU1142" s="9"/>
      <c r="BV1142" s="9"/>
      <c r="BW1142" s="9"/>
    </row>
    <row r="1143" spans="1:75" hidden="1" outlineLevel="1" collapsed="1" x14ac:dyDescent="0.25">
      <c r="A1143" s="84"/>
      <c r="B1143" s="120" t="s">
        <v>1214</v>
      </c>
      <c r="C1143" s="86"/>
      <c r="D1143" s="120"/>
      <c r="E1143" s="88"/>
      <c r="F1143" s="88"/>
      <c r="G1143" s="88"/>
      <c r="H1143" s="88"/>
      <c r="I1143" s="88"/>
      <c r="J1143" s="88"/>
      <c r="K1143" s="88"/>
      <c r="L1143" s="88"/>
      <c r="M1143" s="88"/>
      <c r="N1143" s="88"/>
      <c r="O1143" s="88"/>
      <c r="P1143" s="88"/>
      <c r="Q1143" s="88"/>
      <c r="R1143" s="88"/>
      <c r="S1143" s="88"/>
      <c r="T1143" s="88"/>
      <c r="U1143" s="88"/>
      <c r="V1143" s="88"/>
      <c r="W1143" s="88"/>
      <c r="X1143" s="88"/>
      <c r="Y1143" s="89">
        <f t="shared" ref="Y1143:AG1143" si="252">SUBTOTAL(9,Y1133:Y1142)</f>
        <v>0</v>
      </c>
      <c r="Z1143" s="89">
        <f t="shared" si="252"/>
        <v>0</v>
      </c>
      <c r="AA1143" s="89">
        <f t="shared" si="252"/>
        <v>0</v>
      </c>
      <c r="AB1143" s="89">
        <f t="shared" si="252"/>
        <v>0</v>
      </c>
      <c r="AC1143" s="162">
        <f t="shared" si="252"/>
        <v>0</v>
      </c>
      <c r="AD1143" s="162">
        <f t="shared" si="252"/>
        <v>0</v>
      </c>
      <c r="AE1143" s="89">
        <f t="shared" si="252"/>
        <v>0</v>
      </c>
      <c r="AF1143" s="89">
        <f t="shared" si="252"/>
        <v>0</v>
      </c>
      <c r="AG1143" s="89">
        <f t="shared" si="252"/>
        <v>0</v>
      </c>
      <c r="AH1143" s="129"/>
      <c r="AI1143" s="129"/>
      <c r="AJ1143" s="129"/>
      <c r="AK1143" s="129"/>
      <c r="AL1143" s="129"/>
      <c r="AM1143" s="129"/>
      <c r="AN1143" s="92">
        <f t="shared" ref="AN1143:AS1143" si="253">SUBTOTAL(9,AN1133:AN1142)</f>
        <v>0</v>
      </c>
      <c r="AO1143" s="92">
        <f t="shared" si="253"/>
        <v>0</v>
      </c>
      <c r="AP1143" s="92">
        <f t="shared" si="253"/>
        <v>0</v>
      </c>
      <c r="AQ1143" s="92">
        <f t="shared" si="253"/>
        <v>0</v>
      </c>
      <c r="AR1143" s="92">
        <f t="shared" si="253"/>
        <v>0</v>
      </c>
      <c r="AS1143" s="92">
        <f t="shared" si="253"/>
        <v>0</v>
      </c>
      <c r="AT1143" s="130"/>
      <c r="AU1143" s="92">
        <f t="shared" ref="AU1143:BA1143" si="254">SUBTOTAL(9,AU1133:AU1142)</f>
        <v>0</v>
      </c>
      <c r="AV1143" s="92">
        <f t="shared" si="254"/>
        <v>0</v>
      </c>
      <c r="AW1143" s="92">
        <f t="shared" si="254"/>
        <v>0</v>
      </c>
      <c r="AX1143" s="92">
        <f t="shared" si="254"/>
        <v>0</v>
      </c>
      <c r="AY1143" s="92">
        <f t="shared" si="254"/>
        <v>0</v>
      </c>
      <c r="AZ1143" s="92">
        <f t="shared" si="254"/>
        <v>0</v>
      </c>
      <c r="BA1143" s="92">
        <f t="shared" si="254"/>
        <v>0</v>
      </c>
      <c r="BB1143" s="131"/>
      <c r="BC1143" s="130"/>
      <c r="BD1143" s="132"/>
      <c r="BE1143" s="132"/>
      <c r="BF1143" s="132"/>
      <c r="BG1143" s="132"/>
      <c r="BH1143" s="92">
        <f>SUBTOTAL(9,BH1133:BH1142)</f>
        <v>0</v>
      </c>
      <c r="BI1143" s="92">
        <f>SUBTOTAL(9,BI1133:BI1142)</f>
        <v>0</v>
      </c>
      <c r="BJ1143" s="93"/>
      <c r="BK1143" s="94"/>
      <c r="BL1143" s="95">
        <f>SUBTOTAL(9,BL1133:BL1142)</f>
        <v>0</v>
      </c>
      <c r="BM1143" s="88">
        <f>SUBTOTAL(9,BM1133:BM1142)</f>
        <v>0</v>
      </c>
      <c r="BN1143" s="9"/>
      <c r="BO1143" s="9"/>
      <c r="BP1143" s="9"/>
      <c r="BQ1143" s="9"/>
      <c r="BR1143" s="9"/>
      <c r="BS1143" s="9"/>
      <c r="BT1143" s="9"/>
      <c r="BU1143" s="9"/>
      <c r="BV1143" s="9"/>
      <c r="BW1143" s="9"/>
    </row>
    <row r="1144" spans="1:75" hidden="1" outlineLevel="2" x14ac:dyDescent="0.25">
      <c r="A1144" s="96" t="s">
        <v>71</v>
      </c>
      <c r="B1144" s="97" t="s">
        <v>1215</v>
      </c>
      <c r="C1144" s="98">
        <v>2021</v>
      </c>
      <c r="D1144" s="97" t="s">
        <v>73</v>
      </c>
      <c r="E1144" s="210"/>
      <c r="F1144" s="100">
        <v>0</v>
      </c>
      <c r="G1144" s="100">
        <v>0</v>
      </c>
      <c r="H1144" s="100">
        <v>0</v>
      </c>
      <c r="I1144" s="100">
        <v>0</v>
      </c>
      <c r="J1144" s="100">
        <v>0</v>
      </c>
      <c r="K1144" s="100">
        <v>0</v>
      </c>
      <c r="L1144" s="100">
        <v>0</v>
      </c>
      <c r="M1144" s="100">
        <v>0</v>
      </c>
      <c r="N1144" s="100">
        <v>0</v>
      </c>
      <c r="O1144" s="100">
        <v>0</v>
      </c>
      <c r="P1144" s="100">
        <v>0</v>
      </c>
      <c r="Q1144" s="100">
        <v>0</v>
      </c>
      <c r="R1144" s="100">
        <v>0</v>
      </c>
      <c r="S1144" s="100">
        <v>0</v>
      </c>
      <c r="T1144" s="100">
        <v>0</v>
      </c>
      <c r="U1144" s="100">
        <v>0</v>
      </c>
      <c r="V1144" s="100">
        <v>0</v>
      </c>
      <c r="W1144" s="100">
        <v>0</v>
      </c>
      <c r="X1144" s="100">
        <v>0</v>
      </c>
      <c r="Y1144" s="101">
        <f t="shared" ref="Y1144:Y1153" si="255">SUM(E1144:X1144)</f>
        <v>0</v>
      </c>
      <c r="Z1144" s="102"/>
      <c r="AA1144" s="103"/>
      <c r="AB1144" s="103"/>
      <c r="AC1144" s="103"/>
      <c r="AD1144" s="103"/>
      <c r="AE1144" s="103"/>
      <c r="AF1144" s="103"/>
      <c r="AG1144" s="102">
        <f t="shared" ref="AG1144:AG1153" si="256">SUM(AA1144:AF1144)</f>
        <v>0</v>
      </c>
      <c r="AH1144" s="104" t="s">
        <v>74</v>
      </c>
      <c r="AI1144" s="104" t="s">
        <v>74</v>
      </c>
      <c r="AJ1144" s="104" t="s">
        <v>74</v>
      </c>
      <c r="AK1144" s="104" t="s">
        <v>74</v>
      </c>
      <c r="AL1144" s="104" t="s">
        <v>74</v>
      </c>
      <c r="AM1144" s="104" t="s">
        <v>74</v>
      </c>
      <c r="AN1144" s="105"/>
      <c r="AO1144" s="105"/>
      <c r="AP1144" s="105"/>
      <c r="AQ1144" s="105"/>
      <c r="AR1144" s="105"/>
      <c r="AS1144" s="105">
        <f t="shared" ref="AS1144:AS1153" si="257">AN1144+AO1144+AP1144+AQ1144+AR1144</f>
        <v>0</v>
      </c>
      <c r="AT1144" s="106" t="s">
        <v>74</v>
      </c>
      <c r="AU1144" s="105"/>
      <c r="AV1144" s="105"/>
      <c r="AW1144" s="105"/>
      <c r="AX1144" s="105"/>
      <c r="AY1144" s="105"/>
      <c r="AZ1144" s="105"/>
      <c r="BA1144" s="105">
        <f t="shared" ref="BA1144:BA1153" si="258">AU1144+AW1144+AX1144+AZ1144</f>
        <v>0</v>
      </c>
      <c r="BB1144" s="107" t="s">
        <v>74</v>
      </c>
      <c r="BC1144" s="106" t="s">
        <v>74</v>
      </c>
      <c r="BD1144" s="108" t="s">
        <v>74</v>
      </c>
      <c r="BE1144" s="108" t="s">
        <v>74</v>
      </c>
      <c r="BF1144" s="108" t="s">
        <v>74</v>
      </c>
      <c r="BG1144" s="108" t="s">
        <v>74</v>
      </c>
      <c r="BH1144" s="105">
        <f t="shared" ref="BH1144:BH1153" si="259">AS1144+BA1144</f>
        <v>0</v>
      </c>
      <c r="BI1144" s="105">
        <f t="shared" ref="BI1144:BI1153" si="260">Y1144-AG1144+BH1144</f>
        <v>0</v>
      </c>
      <c r="BJ1144" s="52">
        <f>BI1144-BH1144</f>
        <v>0</v>
      </c>
      <c r="BK1144" s="56">
        <v>44197</v>
      </c>
      <c r="BL1144" s="109"/>
      <c r="BM1144" s="100">
        <v>0</v>
      </c>
      <c r="BN1144" s="9"/>
      <c r="BO1144" s="9"/>
      <c r="BP1144" s="9"/>
      <c r="BQ1144" s="9"/>
      <c r="BR1144" s="9"/>
      <c r="BS1144" s="9"/>
      <c r="BT1144" s="9"/>
      <c r="BU1144" s="9"/>
      <c r="BV1144" s="9"/>
      <c r="BW1144" s="9"/>
    </row>
    <row r="1145" spans="1:75" hidden="1" outlineLevel="2" x14ac:dyDescent="0.25">
      <c r="A1145" s="43" t="s">
        <v>71</v>
      </c>
      <c r="B1145" s="110" t="s">
        <v>1215</v>
      </c>
      <c r="C1145" s="45">
        <v>2021</v>
      </c>
      <c r="D1145" s="110" t="s">
        <v>75</v>
      </c>
      <c r="E1145" s="134"/>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f t="shared" si="255"/>
        <v>0</v>
      </c>
      <c r="Z1145" s="49"/>
      <c r="AA1145" s="50"/>
      <c r="AB1145" s="50"/>
      <c r="AC1145" s="50"/>
      <c r="AD1145" s="50"/>
      <c r="AE1145" s="50"/>
      <c r="AF1145" s="50"/>
      <c r="AG1145" s="49">
        <f t="shared" si="256"/>
        <v>0</v>
      </c>
      <c r="AH1145" s="51" t="s">
        <v>74</v>
      </c>
      <c r="AI1145" s="51" t="s">
        <v>74</v>
      </c>
      <c r="AJ1145" s="51" t="s">
        <v>74</v>
      </c>
      <c r="AK1145" s="51" t="s">
        <v>74</v>
      </c>
      <c r="AL1145" s="51" t="s">
        <v>74</v>
      </c>
      <c r="AM1145" s="51" t="s">
        <v>74</v>
      </c>
      <c r="AN1145" s="52"/>
      <c r="AO1145" s="52"/>
      <c r="AP1145" s="52"/>
      <c r="AQ1145" s="52"/>
      <c r="AR1145" s="52"/>
      <c r="AS1145" s="52">
        <f t="shared" si="257"/>
        <v>0</v>
      </c>
      <c r="AT1145" s="53" t="s">
        <v>74</v>
      </c>
      <c r="AU1145" s="52"/>
      <c r="AV1145" s="52"/>
      <c r="AW1145" s="52"/>
      <c r="AX1145" s="52"/>
      <c r="AY1145" s="52"/>
      <c r="AZ1145" s="52"/>
      <c r="BA1145" s="52">
        <f t="shared" si="258"/>
        <v>0</v>
      </c>
      <c r="BB1145" s="54" t="s">
        <v>74</v>
      </c>
      <c r="BC1145" s="53" t="s">
        <v>74</v>
      </c>
      <c r="BD1145" s="55" t="s">
        <v>74</v>
      </c>
      <c r="BE1145" s="55" t="s">
        <v>74</v>
      </c>
      <c r="BF1145" s="55" t="s">
        <v>74</v>
      </c>
      <c r="BG1145" s="55" t="s">
        <v>74</v>
      </c>
      <c r="BH1145" s="52">
        <f t="shared" si="259"/>
        <v>0</v>
      </c>
      <c r="BI1145" s="52">
        <f t="shared" si="260"/>
        <v>0</v>
      </c>
      <c r="BJ1145" s="52">
        <f>BI1145-BH1145</f>
        <v>0</v>
      </c>
      <c r="BK1145" s="56">
        <v>44228</v>
      </c>
      <c r="BL1145" s="57"/>
      <c r="BM1145" s="47">
        <v>0</v>
      </c>
      <c r="BN1145" s="9"/>
      <c r="BO1145" s="9"/>
      <c r="BP1145" s="9"/>
      <c r="BQ1145" s="9"/>
      <c r="BR1145" s="9"/>
      <c r="BS1145" s="9"/>
      <c r="BT1145" s="9"/>
      <c r="BU1145" s="9"/>
      <c r="BV1145" s="9"/>
      <c r="BW1145" s="9"/>
    </row>
    <row r="1146" spans="1:75" ht="141" hidden="1" outlineLevel="2" x14ac:dyDescent="0.25">
      <c r="A1146" s="43" t="s">
        <v>71</v>
      </c>
      <c r="B1146" s="110" t="s">
        <v>1215</v>
      </c>
      <c r="C1146" s="45">
        <v>2021</v>
      </c>
      <c r="D1146" s="110" t="s">
        <v>77</v>
      </c>
      <c r="E1146" s="134"/>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f t="shared" si="255"/>
        <v>0</v>
      </c>
      <c r="Z1146" s="49"/>
      <c r="AA1146" s="50">
        <v>0</v>
      </c>
      <c r="AB1146" s="50"/>
      <c r="AC1146" s="50"/>
      <c r="AD1146" s="50"/>
      <c r="AE1146" s="50"/>
      <c r="AF1146" s="50"/>
      <c r="AG1146" s="49">
        <f t="shared" si="256"/>
        <v>0</v>
      </c>
      <c r="AH1146" s="51" t="s">
        <v>74</v>
      </c>
      <c r="AI1146" s="51" t="s">
        <v>74</v>
      </c>
      <c r="AJ1146" s="51" t="s">
        <v>74</v>
      </c>
      <c r="AK1146" s="51" t="s">
        <v>74</v>
      </c>
      <c r="AL1146" s="51" t="s">
        <v>74</v>
      </c>
      <c r="AM1146" s="51" t="s">
        <v>74</v>
      </c>
      <c r="AN1146" s="52"/>
      <c r="AO1146" s="52"/>
      <c r="AP1146" s="52"/>
      <c r="AQ1146" s="52"/>
      <c r="AR1146" s="52"/>
      <c r="AS1146" s="52">
        <f t="shared" si="257"/>
        <v>0</v>
      </c>
      <c r="AT1146" s="53" t="s">
        <v>74</v>
      </c>
      <c r="AU1146" s="52"/>
      <c r="AV1146" s="52"/>
      <c r="AW1146" s="52"/>
      <c r="AX1146" s="59">
        <v>9326108.9000000004</v>
      </c>
      <c r="AY1146" s="59"/>
      <c r="AZ1146" s="52"/>
      <c r="BA1146" s="52">
        <f t="shared" si="258"/>
        <v>9326108.9000000004</v>
      </c>
      <c r="BB1146" s="54" t="s">
        <v>74</v>
      </c>
      <c r="BC1146" s="53" t="s">
        <v>74</v>
      </c>
      <c r="BD1146" s="55" t="s">
        <v>74</v>
      </c>
      <c r="BE1146" s="51" t="s">
        <v>1216</v>
      </c>
      <c r="BF1146" s="55" t="s">
        <v>74</v>
      </c>
      <c r="BG1146" s="55" t="s">
        <v>74</v>
      </c>
      <c r="BH1146" s="52">
        <f t="shared" si="259"/>
        <v>9326108.9000000004</v>
      </c>
      <c r="BI1146" s="52">
        <f t="shared" si="260"/>
        <v>9326108.9000000004</v>
      </c>
      <c r="BJ1146" s="52" t="e">
        <f>#REF!-#REF!+BI1146</f>
        <v>#REF!</v>
      </c>
      <c r="BK1146" s="56">
        <v>44256</v>
      </c>
      <c r="BL1146" s="63">
        <v>9326108.9000000004</v>
      </c>
      <c r="BM1146" s="47">
        <v>0</v>
      </c>
      <c r="BN1146" s="9"/>
      <c r="BO1146" s="9"/>
      <c r="BP1146" s="9"/>
      <c r="BQ1146" s="9"/>
      <c r="BR1146" s="9"/>
      <c r="BS1146" s="9"/>
      <c r="BT1146" s="9"/>
      <c r="BU1146" s="9"/>
      <c r="BV1146" s="9"/>
      <c r="BW1146" s="9"/>
    </row>
    <row r="1147" spans="1:75" ht="166.5" hidden="1" outlineLevel="2" x14ac:dyDescent="0.25">
      <c r="A1147" s="43" t="s">
        <v>71</v>
      </c>
      <c r="B1147" s="110" t="s">
        <v>1215</v>
      </c>
      <c r="C1147" s="45">
        <v>2021</v>
      </c>
      <c r="D1147" s="110" t="s">
        <v>79</v>
      </c>
      <c r="E1147" s="134"/>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f t="shared" si="255"/>
        <v>0</v>
      </c>
      <c r="Z1147" s="49"/>
      <c r="AA1147" s="50"/>
      <c r="AB1147" s="50"/>
      <c r="AC1147" s="50"/>
      <c r="AD1147" s="50"/>
      <c r="AE1147" s="50"/>
      <c r="AF1147" s="50"/>
      <c r="AG1147" s="49">
        <f t="shared" si="256"/>
        <v>0</v>
      </c>
      <c r="AH1147" s="51" t="s">
        <v>74</v>
      </c>
      <c r="AI1147" s="51" t="s">
        <v>74</v>
      </c>
      <c r="AJ1147" s="51" t="s">
        <v>74</v>
      </c>
      <c r="AK1147" s="51" t="s">
        <v>74</v>
      </c>
      <c r="AL1147" s="51" t="s">
        <v>74</v>
      </c>
      <c r="AM1147" s="51" t="s">
        <v>74</v>
      </c>
      <c r="AN1147" s="52"/>
      <c r="AO1147" s="52"/>
      <c r="AP1147" s="52"/>
      <c r="AQ1147" s="52"/>
      <c r="AR1147" s="52"/>
      <c r="AS1147" s="52">
        <f t="shared" si="257"/>
        <v>0</v>
      </c>
      <c r="AT1147" s="53" t="s">
        <v>74</v>
      </c>
      <c r="AU1147" s="52"/>
      <c r="AV1147" s="52"/>
      <c r="AW1147" s="52"/>
      <c r="AX1147" s="59">
        <v>9326108.9000000004</v>
      </c>
      <c r="AY1147" s="59"/>
      <c r="AZ1147" s="52"/>
      <c r="BA1147" s="52">
        <f t="shared" si="258"/>
        <v>9326108.9000000004</v>
      </c>
      <c r="BB1147" s="54" t="s">
        <v>74</v>
      </c>
      <c r="BC1147" s="53" t="s">
        <v>74</v>
      </c>
      <c r="BD1147" s="55" t="s">
        <v>74</v>
      </c>
      <c r="BE1147" s="51" t="s">
        <v>1217</v>
      </c>
      <c r="BF1147" s="55" t="s">
        <v>74</v>
      </c>
      <c r="BG1147" s="55" t="s">
        <v>74</v>
      </c>
      <c r="BH1147" s="52">
        <f t="shared" si="259"/>
        <v>9326108.9000000004</v>
      </c>
      <c r="BI1147" s="52">
        <f t="shared" si="260"/>
        <v>9326108.9000000004</v>
      </c>
      <c r="BJ1147" s="52" t="e">
        <f>#REF!-#REF!+BI1147</f>
        <v>#REF!</v>
      </c>
      <c r="BK1147" s="56">
        <v>44287</v>
      </c>
      <c r="BL1147" s="57">
        <v>9326108.9000000004</v>
      </c>
      <c r="BM1147" s="47">
        <v>0</v>
      </c>
      <c r="BN1147" s="9"/>
      <c r="BO1147" s="9"/>
      <c r="BP1147" s="9"/>
      <c r="BQ1147" s="9"/>
      <c r="BR1147" s="9"/>
      <c r="BS1147" s="9"/>
      <c r="BT1147" s="9"/>
      <c r="BU1147" s="9"/>
      <c r="BV1147" s="9"/>
      <c r="BW1147" s="9"/>
    </row>
    <row r="1148" spans="1:75" ht="64.5" hidden="1" outlineLevel="2" x14ac:dyDescent="0.25">
      <c r="A1148" s="43" t="s">
        <v>71</v>
      </c>
      <c r="B1148" s="110" t="s">
        <v>1215</v>
      </c>
      <c r="C1148" s="45">
        <v>2021</v>
      </c>
      <c r="D1148" s="110" t="s">
        <v>81</v>
      </c>
      <c r="E1148" s="134">
        <v>9326108.9000000004</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f t="shared" si="255"/>
        <v>9326108.9000000004</v>
      </c>
      <c r="Z1148" s="49"/>
      <c r="AA1148" s="50"/>
      <c r="AB1148" s="50"/>
      <c r="AC1148" s="221">
        <v>124212.96</v>
      </c>
      <c r="AD1148" s="50">
        <v>197788.71</v>
      </c>
      <c r="AE1148" s="50"/>
      <c r="AF1148" s="50"/>
      <c r="AG1148" s="49">
        <f t="shared" si="256"/>
        <v>322001.67</v>
      </c>
      <c r="AH1148" s="51" t="s">
        <v>74</v>
      </c>
      <c r="AI1148" s="51" t="s">
        <v>74</v>
      </c>
      <c r="AJ1148" s="51" t="s">
        <v>1218</v>
      </c>
      <c r="AK1148" s="51" t="s">
        <v>1219</v>
      </c>
      <c r="AL1148" s="51" t="s">
        <v>74</v>
      </c>
      <c r="AM1148" s="51" t="s">
        <v>74</v>
      </c>
      <c r="AN1148" s="52"/>
      <c r="AO1148" s="52"/>
      <c r="AP1148" s="52"/>
      <c r="AQ1148" s="52"/>
      <c r="AR1148" s="52"/>
      <c r="AS1148" s="52">
        <f t="shared" si="257"/>
        <v>0</v>
      </c>
      <c r="AT1148" s="53" t="s">
        <v>74</v>
      </c>
      <c r="AU1148" s="52"/>
      <c r="AV1148" s="52"/>
      <c r="AW1148" s="52"/>
      <c r="AX1148" s="59"/>
      <c r="AY1148" s="59"/>
      <c r="AZ1148" s="52"/>
      <c r="BA1148" s="52">
        <f t="shared" si="258"/>
        <v>0</v>
      </c>
      <c r="BB1148" s="54" t="s">
        <v>74</v>
      </c>
      <c r="BC1148" s="53" t="s">
        <v>74</v>
      </c>
      <c r="BD1148" s="55" t="s">
        <v>74</v>
      </c>
      <c r="BE1148" s="55" t="s">
        <v>74</v>
      </c>
      <c r="BF1148" s="55" t="s">
        <v>74</v>
      </c>
      <c r="BG1148" s="55" t="s">
        <v>74</v>
      </c>
      <c r="BH1148" s="52">
        <f t="shared" si="259"/>
        <v>0</v>
      </c>
      <c r="BI1148" s="52">
        <f t="shared" si="260"/>
        <v>9004107.2300000004</v>
      </c>
      <c r="BJ1148" s="52">
        <v>9004107.2300000004</v>
      </c>
      <c r="BK1148" s="222">
        <v>44321</v>
      </c>
      <c r="BL1148" s="63">
        <v>9004107.2300000004</v>
      </c>
      <c r="BM1148" s="47">
        <v>0</v>
      </c>
      <c r="BN1148" s="9"/>
      <c r="BO1148" s="9"/>
      <c r="BP1148" s="9"/>
      <c r="BQ1148" s="9"/>
      <c r="BR1148" s="9"/>
      <c r="BS1148" s="9"/>
      <c r="BT1148" s="9"/>
      <c r="BU1148" s="9"/>
      <c r="BV1148" s="9"/>
      <c r="BW1148" s="9"/>
    </row>
    <row r="1149" spans="1:75" ht="409.6" hidden="1" outlineLevel="2" x14ac:dyDescent="0.25">
      <c r="A1149" s="43" t="s">
        <v>71</v>
      </c>
      <c r="B1149" s="110" t="s">
        <v>1215</v>
      </c>
      <c r="C1149" s="45">
        <v>2021</v>
      </c>
      <c r="D1149" s="110" t="s">
        <v>83</v>
      </c>
      <c r="E1149" s="134">
        <v>9326108.9000000004</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f t="shared" si="255"/>
        <v>9326108.9000000004</v>
      </c>
      <c r="Z1149" s="49"/>
      <c r="AA1149" s="50"/>
      <c r="AB1149" s="50"/>
      <c r="AC1149" s="223"/>
      <c r="AD1149" s="148">
        <v>199897.22</v>
      </c>
      <c r="AE1149" s="50"/>
      <c r="AF1149" s="50"/>
      <c r="AG1149" s="49">
        <f t="shared" si="256"/>
        <v>199897.22</v>
      </c>
      <c r="AH1149" s="51" t="s">
        <v>74</v>
      </c>
      <c r="AI1149" s="51" t="s">
        <v>74</v>
      </c>
      <c r="AJ1149" s="51" t="s">
        <v>74</v>
      </c>
      <c r="AK1149" s="51" t="s">
        <v>413</v>
      </c>
      <c r="AL1149" s="51" t="s">
        <v>74</v>
      </c>
      <c r="AM1149" s="51" t="s">
        <v>74</v>
      </c>
      <c r="AN1149" s="52"/>
      <c r="AO1149" s="52"/>
      <c r="AP1149" s="52"/>
      <c r="AQ1149" s="52"/>
      <c r="AR1149" s="52"/>
      <c r="AS1149" s="52">
        <f t="shared" si="257"/>
        <v>0</v>
      </c>
      <c r="AT1149" s="53" t="s">
        <v>74</v>
      </c>
      <c r="AU1149" s="52"/>
      <c r="AV1149" s="52"/>
      <c r="AW1149" s="59">
        <f>9355376.02+600000+6662694.02+2403700</f>
        <v>19021770.039999999</v>
      </c>
      <c r="AX1149" s="68"/>
      <c r="AY1149" s="68"/>
      <c r="AZ1149" s="52"/>
      <c r="BA1149" s="52">
        <f t="shared" si="258"/>
        <v>19021770.039999999</v>
      </c>
      <c r="BB1149" s="54" t="s">
        <v>74</v>
      </c>
      <c r="BC1149" s="53" t="s">
        <v>74</v>
      </c>
      <c r="BD1149" s="55" t="s">
        <v>1220</v>
      </c>
      <c r="BE1149" s="55" t="s">
        <v>74</v>
      </c>
      <c r="BF1149" s="55" t="s">
        <v>74</v>
      </c>
      <c r="BG1149" s="55" t="s">
        <v>74</v>
      </c>
      <c r="BH1149" s="52">
        <f t="shared" si="259"/>
        <v>19021770.039999999</v>
      </c>
      <c r="BI1149" s="52">
        <f t="shared" si="260"/>
        <v>28147981.719999999</v>
      </c>
      <c r="BJ1149" s="52">
        <f>Y1149-AG1149+AX1149</f>
        <v>9126211.6799999997</v>
      </c>
      <c r="BK1149" s="222">
        <v>44352</v>
      </c>
      <c r="BL1149" s="63">
        <f>15723802.92+9355376.02+600000+65102.78+2403700</f>
        <v>28147981.719999999</v>
      </c>
      <c r="BM1149" s="47">
        <v>0</v>
      </c>
      <c r="BN1149" s="9"/>
      <c r="BO1149" s="9"/>
      <c r="BP1149" s="9"/>
      <c r="BQ1149" s="9"/>
      <c r="BR1149" s="9"/>
      <c r="BS1149" s="9"/>
      <c r="BT1149" s="9"/>
      <c r="BU1149" s="9"/>
      <c r="BV1149" s="9"/>
      <c r="BW1149" s="9"/>
    </row>
    <row r="1150" spans="1:75" ht="408.75" hidden="1" outlineLevel="2" x14ac:dyDescent="0.25">
      <c r="A1150" s="43" t="s">
        <v>71</v>
      </c>
      <c r="B1150" s="110" t="s">
        <v>1215</v>
      </c>
      <c r="C1150" s="45">
        <v>2021</v>
      </c>
      <c r="D1150" s="110" t="s">
        <v>84</v>
      </c>
      <c r="E1150" s="134">
        <v>9326108.9000000004</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f t="shared" si="255"/>
        <v>9326108.9000000004</v>
      </c>
      <c r="Z1150" s="80"/>
      <c r="AA1150" s="50"/>
      <c r="AB1150" s="50"/>
      <c r="AC1150" s="223"/>
      <c r="AD1150" s="148">
        <v>195833.3</v>
      </c>
      <c r="AE1150" s="50"/>
      <c r="AF1150" s="50"/>
      <c r="AG1150" s="49">
        <f t="shared" si="256"/>
        <v>195833.3</v>
      </c>
      <c r="AH1150" s="51" t="s">
        <v>74</v>
      </c>
      <c r="AI1150" s="51" t="s">
        <v>74</v>
      </c>
      <c r="AJ1150" s="51"/>
      <c r="AK1150" s="51" t="s">
        <v>590</v>
      </c>
      <c r="AL1150" s="51" t="s">
        <v>74</v>
      </c>
      <c r="AM1150" s="51" t="s">
        <v>74</v>
      </c>
      <c r="AN1150" s="52"/>
      <c r="AO1150" s="52"/>
      <c r="AP1150" s="52"/>
      <c r="AQ1150" s="52"/>
      <c r="AR1150" s="52"/>
      <c r="AS1150" s="52">
        <f t="shared" si="257"/>
        <v>0</v>
      </c>
      <c r="AT1150" s="53" t="s">
        <v>74</v>
      </c>
      <c r="AU1150" s="52"/>
      <c r="AV1150" s="52"/>
      <c r="AW1150" s="68">
        <f>11095+3118.5</f>
        <v>14213.5</v>
      </c>
      <c r="AX1150" s="59"/>
      <c r="AY1150" s="59"/>
      <c r="AZ1150" s="52"/>
      <c r="BA1150" s="52">
        <f t="shared" si="258"/>
        <v>14213.5</v>
      </c>
      <c r="BB1150" s="54" t="s">
        <v>74</v>
      </c>
      <c r="BC1150" s="53" t="s">
        <v>74</v>
      </c>
      <c r="BD1150" s="55" t="s">
        <v>1221</v>
      </c>
      <c r="BE1150" s="55" t="s">
        <v>74</v>
      </c>
      <c r="BF1150" s="55" t="s">
        <v>74</v>
      </c>
      <c r="BG1150" s="55" t="s">
        <v>74</v>
      </c>
      <c r="BH1150" s="52">
        <f t="shared" si="259"/>
        <v>14213.5</v>
      </c>
      <c r="BI1150" s="52">
        <f t="shared" si="260"/>
        <v>9144489.0999999996</v>
      </c>
      <c r="BJ1150" s="52">
        <f>Y1150-AG1150+AX1150</f>
        <v>9130275.5999999996</v>
      </c>
      <c r="BK1150" s="222">
        <v>44382</v>
      </c>
      <c r="BL1150" s="63">
        <f>9061108.9+11095+3118.5+69166.7</f>
        <v>9144489.0999999996</v>
      </c>
      <c r="BM1150" s="47">
        <v>0</v>
      </c>
      <c r="BN1150" s="9"/>
      <c r="BO1150" s="9"/>
      <c r="BP1150" s="9"/>
      <c r="BQ1150" s="9"/>
      <c r="BR1150" s="9"/>
      <c r="BS1150" s="9"/>
      <c r="BT1150" s="9"/>
      <c r="BU1150" s="9"/>
      <c r="BV1150" s="9"/>
      <c r="BW1150" s="9"/>
    </row>
    <row r="1151" spans="1:75" ht="115.5" hidden="1" outlineLevel="2" x14ac:dyDescent="0.25">
      <c r="A1151" s="43" t="s">
        <v>71</v>
      </c>
      <c r="B1151" s="110" t="s">
        <v>1215</v>
      </c>
      <c r="C1151" s="45">
        <v>2021</v>
      </c>
      <c r="D1151" s="110" t="s">
        <v>86</v>
      </c>
      <c r="E1151" s="134">
        <v>9326108.9000000004</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f t="shared" si="255"/>
        <v>9326108.9000000004</v>
      </c>
      <c r="Z1151" s="49"/>
      <c r="AA1151" s="50"/>
      <c r="AB1151" s="50"/>
      <c r="AC1151" s="223"/>
      <c r="AD1151" s="148">
        <v>189098.67</v>
      </c>
      <c r="AE1151" s="50"/>
      <c r="AF1151" s="50"/>
      <c r="AG1151" s="49">
        <f t="shared" si="256"/>
        <v>189098.67</v>
      </c>
      <c r="AH1151" s="51" t="s">
        <v>74</v>
      </c>
      <c r="AI1151" s="51" t="s">
        <v>74</v>
      </c>
      <c r="AJ1151" s="51"/>
      <c r="AK1151" s="51" t="s">
        <v>593</v>
      </c>
      <c r="AL1151" s="51" t="s">
        <v>74</v>
      </c>
      <c r="AM1151" s="51" t="s">
        <v>74</v>
      </c>
      <c r="AN1151" s="52"/>
      <c r="AO1151" s="52"/>
      <c r="AP1151" s="52"/>
      <c r="AQ1151" s="52"/>
      <c r="AR1151" s="52"/>
      <c r="AS1151" s="52">
        <f t="shared" si="257"/>
        <v>0</v>
      </c>
      <c r="AT1151" s="53" t="s">
        <v>74</v>
      </c>
      <c r="AU1151" s="52"/>
      <c r="AV1151" s="52"/>
      <c r="AW1151" s="68">
        <v>98701.8</v>
      </c>
      <c r="AX1151" s="59"/>
      <c r="AY1151" s="59"/>
      <c r="AZ1151" s="52"/>
      <c r="BA1151" s="52">
        <f t="shared" si="258"/>
        <v>98701.8</v>
      </c>
      <c r="BB1151" s="54" t="s">
        <v>74</v>
      </c>
      <c r="BC1151" s="53" t="s">
        <v>74</v>
      </c>
      <c r="BD1151" s="55" t="s">
        <v>1222</v>
      </c>
      <c r="BE1151" s="55" t="s">
        <v>74</v>
      </c>
      <c r="BF1151" s="55" t="s">
        <v>74</v>
      </c>
      <c r="BG1151" s="55" t="s">
        <v>74</v>
      </c>
      <c r="BH1151" s="52">
        <f t="shared" si="259"/>
        <v>98701.8</v>
      </c>
      <c r="BI1151" s="52">
        <f t="shared" si="260"/>
        <v>9235712.0300000012</v>
      </c>
      <c r="BJ1151" s="52">
        <f>Y1151-AG1151+AX1151</f>
        <v>9137010.2300000004</v>
      </c>
      <c r="BK1151" s="56">
        <v>44409</v>
      </c>
      <c r="BL1151" s="57">
        <f>9061108.9+98701.8+75901.33</f>
        <v>9235712.0300000012</v>
      </c>
      <c r="BM1151" s="47">
        <v>0</v>
      </c>
      <c r="BN1151" s="9"/>
      <c r="BO1151" s="9"/>
      <c r="BP1151" s="9"/>
      <c r="BQ1151" s="9"/>
      <c r="BR1151" s="9"/>
      <c r="BS1151" s="9"/>
      <c r="BT1151" s="9"/>
      <c r="BU1151" s="9"/>
      <c r="BV1151" s="9"/>
      <c r="BW1151" s="9"/>
    </row>
    <row r="1152" spans="1:75" ht="102.75" hidden="1" outlineLevel="2" x14ac:dyDescent="0.25">
      <c r="A1152" s="43" t="s">
        <v>71</v>
      </c>
      <c r="B1152" s="110" t="s">
        <v>1215</v>
      </c>
      <c r="C1152" s="45">
        <v>2021</v>
      </c>
      <c r="D1152" s="110" t="s">
        <v>88</v>
      </c>
      <c r="E1152" s="47">
        <v>0</v>
      </c>
      <c r="F1152" s="134">
        <v>9326108.9000000004</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f t="shared" si="255"/>
        <v>9326108.9000000004</v>
      </c>
      <c r="Z1152" s="102"/>
      <c r="AA1152" s="50"/>
      <c r="AB1152" s="50"/>
      <c r="AC1152" s="223"/>
      <c r="AD1152" s="148">
        <v>250000</v>
      </c>
      <c r="AE1152" s="50"/>
      <c r="AF1152" s="50"/>
      <c r="AG1152" s="49">
        <f t="shared" si="256"/>
        <v>250000</v>
      </c>
      <c r="AH1152" s="70" t="s">
        <v>74</v>
      </c>
      <c r="AI1152" s="70" t="s">
        <v>74</v>
      </c>
      <c r="AJ1152" s="70" t="s">
        <v>74</v>
      </c>
      <c r="AK1152" s="51" t="s">
        <v>595</v>
      </c>
      <c r="AL1152" s="70" t="s">
        <v>74</v>
      </c>
      <c r="AM1152" s="70" t="s">
        <v>74</v>
      </c>
      <c r="AN1152" s="52"/>
      <c r="AO1152" s="52"/>
      <c r="AP1152" s="52"/>
      <c r="AQ1152" s="52"/>
      <c r="AR1152" s="52"/>
      <c r="AS1152" s="52">
        <f t="shared" si="257"/>
        <v>0</v>
      </c>
      <c r="AT1152" s="70" t="s">
        <v>74</v>
      </c>
      <c r="AU1152" s="52"/>
      <c r="AV1152" s="52"/>
      <c r="AW1152" s="68">
        <v>95000</v>
      </c>
      <c r="AX1152" s="59"/>
      <c r="AY1152" s="59"/>
      <c r="AZ1152" s="52"/>
      <c r="BA1152" s="52">
        <f t="shared" si="258"/>
        <v>95000</v>
      </c>
      <c r="BB1152" s="52" t="s">
        <v>74</v>
      </c>
      <c r="BC1152" s="52" t="s">
        <v>74</v>
      </c>
      <c r="BD1152" s="55" t="s">
        <v>1223</v>
      </c>
      <c r="BE1152" s="52" t="s">
        <v>74</v>
      </c>
      <c r="BF1152" s="52" t="s">
        <v>74</v>
      </c>
      <c r="BG1152" s="52"/>
      <c r="BH1152" s="52">
        <f t="shared" si="259"/>
        <v>95000</v>
      </c>
      <c r="BI1152" s="52">
        <f t="shared" si="260"/>
        <v>9171108.9000000004</v>
      </c>
      <c r="BJ1152" s="52">
        <f>Y1152-AG1152+AX1152</f>
        <v>9076108.9000000004</v>
      </c>
      <c r="BK1152" s="56">
        <v>44440</v>
      </c>
      <c r="BL1152" s="57">
        <f>2880000+1972108.9+384000+1920000+1920000+95000</f>
        <v>9171108.9000000004</v>
      </c>
      <c r="BM1152" s="47">
        <v>0</v>
      </c>
      <c r="BN1152" s="9"/>
      <c r="BO1152" s="9"/>
      <c r="BP1152" s="9"/>
      <c r="BQ1152" s="9"/>
      <c r="BR1152" s="9"/>
      <c r="BS1152" s="9"/>
      <c r="BT1152" s="9"/>
      <c r="BU1152" s="9"/>
      <c r="BV1152" s="9"/>
      <c r="BW1152" s="9"/>
    </row>
    <row r="1153" spans="1:75" hidden="1" outlineLevel="2" x14ac:dyDescent="0.25">
      <c r="A1153" s="71" t="s">
        <v>71</v>
      </c>
      <c r="B1153" s="116" t="s">
        <v>1215</v>
      </c>
      <c r="C1153" s="73">
        <v>2021</v>
      </c>
      <c r="D1153" s="116" t="s">
        <v>89</v>
      </c>
      <c r="E1153" s="75">
        <v>0</v>
      </c>
      <c r="F1153" s="139">
        <v>9326108.9000000004</v>
      </c>
      <c r="G1153" s="75">
        <v>0</v>
      </c>
      <c r="H1153" s="75">
        <v>0</v>
      </c>
      <c r="I1153" s="75">
        <v>0</v>
      </c>
      <c r="J1153" s="75">
        <v>0</v>
      </c>
      <c r="K1153" s="75">
        <v>0</v>
      </c>
      <c r="L1153" s="75">
        <v>0</v>
      </c>
      <c r="M1153" s="75">
        <v>0</v>
      </c>
      <c r="N1153" s="75">
        <v>0</v>
      </c>
      <c r="O1153" s="75">
        <v>0</v>
      </c>
      <c r="P1153" s="75">
        <v>0</v>
      </c>
      <c r="Q1153" s="75">
        <v>0</v>
      </c>
      <c r="R1153" s="75">
        <v>0</v>
      </c>
      <c r="S1153" s="75">
        <v>0</v>
      </c>
      <c r="T1153" s="75">
        <v>0</v>
      </c>
      <c r="U1153" s="75">
        <v>0</v>
      </c>
      <c r="V1153" s="75">
        <v>0</v>
      </c>
      <c r="W1153" s="75">
        <v>0</v>
      </c>
      <c r="X1153" s="75">
        <v>0</v>
      </c>
      <c r="Y1153" s="76">
        <f t="shared" si="255"/>
        <v>9326108.9000000004</v>
      </c>
      <c r="Z1153" s="118"/>
      <c r="AA1153" s="79"/>
      <c r="AB1153" s="79"/>
      <c r="AC1153" s="224"/>
      <c r="AD1153" s="153">
        <v>250000</v>
      </c>
      <c r="AE1153" s="79"/>
      <c r="AF1153" s="79"/>
      <c r="AG1153" s="80">
        <f t="shared" si="256"/>
        <v>250000</v>
      </c>
      <c r="AH1153" s="81" t="s">
        <v>74</v>
      </c>
      <c r="AI1153" s="81" t="s">
        <v>74</v>
      </c>
      <c r="AJ1153" s="81" t="s">
        <v>74</v>
      </c>
      <c r="AK1153" s="123" t="s">
        <v>595</v>
      </c>
      <c r="AL1153" s="81" t="s">
        <v>74</v>
      </c>
      <c r="AM1153" s="81" t="s">
        <v>74</v>
      </c>
      <c r="AN1153" s="82"/>
      <c r="AO1153" s="82"/>
      <c r="AP1153" s="82"/>
      <c r="AQ1153" s="82"/>
      <c r="AR1153" s="82"/>
      <c r="AS1153" s="82">
        <f t="shared" si="257"/>
        <v>0</v>
      </c>
      <c r="AT1153" s="81" t="s">
        <v>74</v>
      </c>
      <c r="AU1153" s="82"/>
      <c r="AV1153" s="82"/>
      <c r="AW1153" s="119"/>
      <c r="AX1153" s="141"/>
      <c r="AY1153" s="141"/>
      <c r="AZ1153" s="82"/>
      <c r="BA1153" s="82">
        <f t="shared" si="258"/>
        <v>0</v>
      </c>
      <c r="BB1153" s="82" t="s">
        <v>74</v>
      </c>
      <c r="BC1153" s="82" t="s">
        <v>74</v>
      </c>
      <c r="BD1153" s="82" t="s">
        <v>74</v>
      </c>
      <c r="BE1153" s="82" t="s">
        <v>74</v>
      </c>
      <c r="BF1153" s="82" t="s">
        <v>74</v>
      </c>
      <c r="BG1153" s="82"/>
      <c r="BH1153" s="82">
        <f t="shared" si="259"/>
        <v>0</v>
      </c>
      <c r="BI1153" s="82">
        <f t="shared" si="260"/>
        <v>9076108.9000000004</v>
      </c>
      <c r="BJ1153" s="52">
        <f>Y1153-AG1153+AX1153</f>
        <v>9076108.9000000004</v>
      </c>
      <c r="BK1153" s="56">
        <v>44470</v>
      </c>
      <c r="BL1153" s="127">
        <f>8168217.8+907891.1</f>
        <v>9076108.9000000004</v>
      </c>
      <c r="BM1153" s="75">
        <v>0</v>
      </c>
      <c r="BN1153" s="9"/>
      <c r="BO1153" s="9"/>
      <c r="BP1153" s="9"/>
      <c r="BQ1153" s="9"/>
      <c r="BR1153" s="9"/>
      <c r="BS1153" s="9"/>
      <c r="BT1153" s="9"/>
      <c r="BU1153" s="9"/>
      <c r="BV1153" s="9"/>
      <c r="BW1153" s="9"/>
    </row>
    <row r="1154" spans="1:75" hidden="1" outlineLevel="1" collapsed="1" x14ac:dyDescent="0.25">
      <c r="A1154" s="84"/>
      <c r="B1154" s="120" t="s">
        <v>1224</v>
      </c>
      <c r="C1154" s="86"/>
      <c r="D1154" s="120"/>
      <c r="E1154" s="88"/>
      <c r="F1154" s="95"/>
      <c r="G1154" s="88"/>
      <c r="H1154" s="88"/>
      <c r="I1154" s="88"/>
      <c r="J1154" s="88"/>
      <c r="K1154" s="88"/>
      <c r="L1154" s="88"/>
      <c r="M1154" s="88"/>
      <c r="N1154" s="88"/>
      <c r="O1154" s="88"/>
      <c r="P1154" s="88"/>
      <c r="Q1154" s="88"/>
      <c r="R1154" s="88"/>
      <c r="S1154" s="88"/>
      <c r="T1154" s="88"/>
      <c r="U1154" s="88"/>
      <c r="V1154" s="88"/>
      <c r="W1154" s="88"/>
      <c r="X1154" s="88"/>
      <c r="Y1154" s="89">
        <f t="shared" ref="Y1154:AG1154" si="261">SUBTOTAL(9,Y1144:Y1153)</f>
        <v>0</v>
      </c>
      <c r="Z1154" s="89">
        <f t="shared" si="261"/>
        <v>0</v>
      </c>
      <c r="AA1154" s="89">
        <f t="shared" si="261"/>
        <v>0</v>
      </c>
      <c r="AB1154" s="89">
        <f t="shared" si="261"/>
        <v>0</v>
      </c>
      <c r="AC1154" s="225">
        <f t="shared" si="261"/>
        <v>0</v>
      </c>
      <c r="AD1154" s="156">
        <f t="shared" si="261"/>
        <v>0</v>
      </c>
      <c r="AE1154" s="89">
        <f t="shared" si="261"/>
        <v>0</v>
      </c>
      <c r="AF1154" s="89">
        <f t="shared" si="261"/>
        <v>0</v>
      </c>
      <c r="AG1154" s="89">
        <f t="shared" si="261"/>
        <v>0</v>
      </c>
      <c r="AH1154" s="91"/>
      <c r="AI1154" s="91"/>
      <c r="AJ1154" s="91"/>
      <c r="AK1154" s="129"/>
      <c r="AL1154" s="91"/>
      <c r="AM1154" s="91"/>
      <c r="AN1154" s="92">
        <f t="shared" ref="AN1154:AS1154" si="262">SUBTOTAL(9,AN1144:AN1153)</f>
        <v>0</v>
      </c>
      <c r="AO1154" s="92">
        <f t="shared" si="262"/>
        <v>0</v>
      </c>
      <c r="AP1154" s="92">
        <f t="shared" si="262"/>
        <v>0</v>
      </c>
      <c r="AQ1154" s="92">
        <f t="shared" si="262"/>
        <v>0</v>
      </c>
      <c r="AR1154" s="92">
        <f t="shared" si="262"/>
        <v>0</v>
      </c>
      <c r="AS1154" s="92">
        <f t="shared" si="262"/>
        <v>0</v>
      </c>
      <c r="AT1154" s="91"/>
      <c r="AU1154" s="92">
        <f t="shared" ref="AU1154:BA1154" si="263">SUBTOTAL(9,AU1144:AU1153)</f>
        <v>0</v>
      </c>
      <c r="AV1154" s="92">
        <f t="shared" si="263"/>
        <v>0</v>
      </c>
      <c r="AW1154" s="122">
        <f t="shared" si="263"/>
        <v>0</v>
      </c>
      <c r="AX1154" s="143">
        <f t="shared" si="263"/>
        <v>0</v>
      </c>
      <c r="AY1154" s="143">
        <f t="shared" si="263"/>
        <v>0</v>
      </c>
      <c r="AZ1154" s="92">
        <f t="shared" si="263"/>
        <v>0</v>
      </c>
      <c r="BA1154" s="92">
        <f t="shared" si="263"/>
        <v>0</v>
      </c>
      <c r="BB1154" s="92"/>
      <c r="BC1154" s="92"/>
      <c r="BD1154" s="92"/>
      <c r="BE1154" s="92"/>
      <c r="BF1154" s="92"/>
      <c r="BG1154" s="92"/>
      <c r="BH1154" s="92">
        <f>SUBTOTAL(9,BH1144:BH1153)</f>
        <v>0</v>
      </c>
      <c r="BI1154" s="92">
        <f>SUBTOTAL(9,BI1144:BI1153)</f>
        <v>0</v>
      </c>
      <c r="BJ1154" s="93"/>
      <c r="BK1154" s="94"/>
      <c r="BL1154" s="88">
        <f>SUBTOTAL(9,BL1144:BL1153)</f>
        <v>0</v>
      </c>
      <c r="BM1154" s="88">
        <f>SUBTOTAL(9,BM1144:BM1153)</f>
        <v>0</v>
      </c>
      <c r="BN1154" s="9"/>
      <c r="BO1154" s="9"/>
      <c r="BP1154" s="9"/>
      <c r="BQ1154" s="9"/>
      <c r="BR1154" s="9"/>
      <c r="BS1154" s="9"/>
      <c r="BT1154" s="9"/>
      <c r="BU1154" s="9"/>
      <c r="BV1154" s="9"/>
      <c r="BW1154" s="9"/>
    </row>
    <row r="1155" spans="1:75" ht="128.25" hidden="1" outlineLevel="2" x14ac:dyDescent="0.25">
      <c r="A1155" s="96" t="s">
        <v>470</v>
      </c>
      <c r="B1155" s="97" t="s">
        <v>1225</v>
      </c>
      <c r="C1155" s="98">
        <v>2021</v>
      </c>
      <c r="D1155" s="97" t="s">
        <v>79</v>
      </c>
      <c r="E1155" s="173">
        <v>497010.02</v>
      </c>
      <c r="F1155" s="100">
        <v>0</v>
      </c>
      <c r="G1155" s="100">
        <v>0</v>
      </c>
      <c r="H1155" s="100">
        <v>0</v>
      </c>
      <c r="I1155" s="100">
        <v>0</v>
      </c>
      <c r="J1155" s="100">
        <v>0</v>
      </c>
      <c r="K1155" s="100">
        <v>0</v>
      </c>
      <c r="L1155" s="100">
        <v>0</v>
      </c>
      <c r="M1155" s="100">
        <v>0</v>
      </c>
      <c r="N1155" s="100">
        <v>0</v>
      </c>
      <c r="O1155" s="100">
        <v>0</v>
      </c>
      <c r="P1155" s="100">
        <v>0</v>
      </c>
      <c r="Q1155" s="100">
        <v>0</v>
      </c>
      <c r="R1155" s="100">
        <v>0</v>
      </c>
      <c r="S1155" s="100">
        <v>0</v>
      </c>
      <c r="T1155" s="100">
        <v>0</v>
      </c>
      <c r="U1155" s="100">
        <v>0</v>
      </c>
      <c r="V1155" s="100">
        <v>0</v>
      </c>
      <c r="W1155" s="100">
        <v>0</v>
      </c>
      <c r="X1155" s="100">
        <v>0</v>
      </c>
      <c r="Y1155" s="101">
        <f t="shared" ref="Y1155:Y1161" si="264">SUM(E1155:X1155)</f>
        <v>497010.02</v>
      </c>
      <c r="Z1155" s="102"/>
      <c r="AA1155" s="103"/>
      <c r="AB1155" s="103"/>
      <c r="AC1155" s="103"/>
      <c r="AD1155" s="103"/>
      <c r="AE1155" s="103"/>
      <c r="AF1155" s="103">
        <v>497010.02</v>
      </c>
      <c r="AG1155" s="102">
        <f t="shared" ref="AG1155:AG1161" si="265">SUM(AA1155:AF1155)</f>
        <v>497010.02</v>
      </c>
      <c r="AH1155" s="104" t="s">
        <v>74</v>
      </c>
      <c r="AI1155" s="104" t="s">
        <v>74</v>
      </c>
      <c r="AJ1155" s="104" t="s">
        <v>74</v>
      </c>
      <c r="AK1155" s="104" t="s">
        <v>74</v>
      </c>
      <c r="AL1155" s="104" t="s">
        <v>74</v>
      </c>
      <c r="AM1155" s="104" t="s">
        <v>1226</v>
      </c>
      <c r="AN1155" s="105"/>
      <c r="AO1155" s="105"/>
      <c r="AP1155" s="105"/>
      <c r="AQ1155" s="105"/>
      <c r="AR1155" s="105"/>
      <c r="AS1155" s="105">
        <f t="shared" ref="AS1155:AS1161" si="266">AN1155+AO1155+AP1155+AQ1155+AR1155</f>
        <v>0</v>
      </c>
      <c r="AT1155" s="106" t="s">
        <v>74</v>
      </c>
      <c r="AU1155" s="105"/>
      <c r="AV1155" s="105"/>
      <c r="AW1155" s="199">
        <v>1249000</v>
      </c>
      <c r="AX1155" s="105"/>
      <c r="AY1155" s="105"/>
      <c r="AZ1155" s="105"/>
      <c r="BA1155" s="105">
        <f t="shared" ref="BA1155:BA1161" si="267">AU1155+AW1155+AX1155+AZ1155</f>
        <v>1249000</v>
      </c>
      <c r="BB1155" s="107" t="s">
        <v>74</v>
      </c>
      <c r="BC1155" s="106" t="s">
        <v>74</v>
      </c>
      <c r="BD1155" s="108" t="s">
        <v>1227</v>
      </c>
      <c r="BE1155" s="108" t="s">
        <v>74</v>
      </c>
      <c r="BF1155" s="108" t="s">
        <v>74</v>
      </c>
      <c r="BG1155" s="108" t="s">
        <v>74</v>
      </c>
      <c r="BH1155" s="105">
        <f t="shared" ref="BH1155:BH1161" si="268">AS1155+BA1155</f>
        <v>1249000</v>
      </c>
      <c r="BI1155" s="105">
        <f t="shared" ref="BI1155:BI1161" si="269">Y1155-AG1155+BH1155</f>
        <v>1249000</v>
      </c>
      <c r="BJ1155" s="52">
        <v>1746010.02</v>
      </c>
      <c r="BK1155" s="56">
        <v>44287</v>
      </c>
      <c r="BL1155" s="109">
        <v>1249000</v>
      </c>
      <c r="BM1155" s="100">
        <v>0</v>
      </c>
      <c r="BN1155" s="9"/>
      <c r="BO1155" s="9"/>
      <c r="BP1155" s="9"/>
      <c r="BQ1155" s="9"/>
      <c r="BR1155" s="9"/>
      <c r="BS1155" s="9"/>
      <c r="BT1155" s="9"/>
      <c r="BU1155" s="9"/>
      <c r="BV1155" s="9"/>
      <c r="BW1155" s="9"/>
    </row>
    <row r="1156" spans="1:75" ht="84" hidden="1" customHeight="1" outlineLevel="2" x14ac:dyDescent="0.25">
      <c r="A1156" s="43" t="s">
        <v>470</v>
      </c>
      <c r="B1156" s="110" t="s">
        <v>1225</v>
      </c>
      <c r="C1156" s="45">
        <v>2021</v>
      </c>
      <c r="D1156" s="110" t="s">
        <v>81</v>
      </c>
      <c r="E1156" s="113">
        <v>938260.81</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f t="shared" si="264"/>
        <v>938260.81</v>
      </c>
      <c r="Z1156" s="49"/>
      <c r="AA1156" s="50"/>
      <c r="AB1156" s="50"/>
      <c r="AC1156" s="50"/>
      <c r="AD1156" s="50"/>
      <c r="AE1156" s="50"/>
      <c r="AF1156" s="50">
        <v>938260.81</v>
      </c>
      <c r="AG1156" s="49">
        <f t="shared" si="265"/>
        <v>938260.81</v>
      </c>
      <c r="AH1156" s="51" t="s">
        <v>74</v>
      </c>
      <c r="AI1156" s="51" t="s">
        <v>74</v>
      </c>
      <c r="AJ1156" s="51" t="s">
        <v>74</v>
      </c>
      <c r="AK1156" s="51" t="s">
        <v>74</v>
      </c>
      <c r="AL1156" s="51" t="s">
        <v>74</v>
      </c>
      <c r="AM1156" s="51" t="s">
        <v>1226</v>
      </c>
      <c r="AN1156" s="52"/>
      <c r="AO1156" s="52"/>
      <c r="AP1156" s="52"/>
      <c r="AQ1156" s="52"/>
      <c r="AR1156" s="52"/>
      <c r="AS1156" s="52">
        <f t="shared" si="266"/>
        <v>0</v>
      </c>
      <c r="AT1156" s="53" t="s">
        <v>74</v>
      </c>
      <c r="AU1156" s="52"/>
      <c r="AV1156" s="52"/>
      <c r="AW1156" s="59">
        <f>855118.48+80983.85</f>
        <v>936102.33</v>
      </c>
      <c r="AX1156" s="52"/>
      <c r="AY1156" s="52"/>
      <c r="AZ1156" s="52"/>
      <c r="BA1156" s="52">
        <f t="shared" si="267"/>
        <v>936102.33</v>
      </c>
      <c r="BB1156" s="54" t="s">
        <v>74</v>
      </c>
      <c r="BC1156" s="53" t="s">
        <v>74</v>
      </c>
      <c r="BD1156" s="55" t="s">
        <v>1228</v>
      </c>
      <c r="BE1156" s="55" t="s">
        <v>74</v>
      </c>
      <c r="BF1156" s="55" t="s">
        <v>74</v>
      </c>
      <c r="BG1156" s="55" t="s">
        <v>74</v>
      </c>
      <c r="BH1156" s="52">
        <f t="shared" si="268"/>
        <v>936102.33</v>
      </c>
      <c r="BI1156" s="52">
        <f t="shared" si="269"/>
        <v>936102.33</v>
      </c>
      <c r="BJ1156" s="52">
        <v>938260.81</v>
      </c>
      <c r="BK1156" s="56">
        <v>44317</v>
      </c>
      <c r="BL1156" s="63">
        <v>936102.33</v>
      </c>
      <c r="BM1156" s="47">
        <v>0</v>
      </c>
      <c r="BN1156" s="9"/>
      <c r="BO1156" s="9"/>
      <c r="BP1156" s="9"/>
      <c r="BQ1156" s="9"/>
      <c r="BR1156" s="9"/>
      <c r="BS1156" s="9"/>
      <c r="BT1156" s="9"/>
      <c r="BU1156" s="9"/>
      <c r="BV1156" s="9"/>
      <c r="BW1156" s="9"/>
    </row>
    <row r="1157" spans="1:75" ht="84.75" hidden="1" customHeight="1" outlineLevel="2" x14ac:dyDescent="0.25">
      <c r="A1157" s="43" t="s">
        <v>470</v>
      </c>
      <c r="B1157" s="110" t="s">
        <v>1225</v>
      </c>
      <c r="C1157" s="45">
        <v>2021</v>
      </c>
      <c r="D1157" s="110" t="s">
        <v>83</v>
      </c>
      <c r="E1157" s="113">
        <v>1151959.22</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f t="shared" si="264"/>
        <v>1151959.22</v>
      </c>
      <c r="Z1157" s="49"/>
      <c r="AA1157" s="50"/>
      <c r="AB1157" s="50"/>
      <c r="AC1157" s="50"/>
      <c r="AD1157" s="50"/>
      <c r="AE1157" s="50"/>
      <c r="AF1157" s="226">
        <v>38398.640666666703</v>
      </c>
      <c r="AG1157" s="49">
        <f t="shared" si="265"/>
        <v>38398.640666666703</v>
      </c>
      <c r="AH1157" s="51" t="s">
        <v>74</v>
      </c>
      <c r="AI1157" s="51" t="s">
        <v>74</v>
      </c>
      <c r="AJ1157" s="51" t="s">
        <v>74</v>
      </c>
      <c r="AK1157" s="51" t="s">
        <v>74</v>
      </c>
      <c r="AL1157" s="51" t="s">
        <v>74</v>
      </c>
      <c r="AM1157" s="51" t="s">
        <v>1226</v>
      </c>
      <c r="AN1157" s="52"/>
      <c r="AO1157" s="52"/>
      <c r="AP1157" s="52"/>
      <c r="AQ1157" s="52"/>
      <c r="AR1157" s="52"/>
      <c r="AS1157" s="52">
        <f t="shared" si="266"/>
        <v>0</v>
      </c>
      <c r="AT1157" s="53" t="s">
        <v>74</v>
      </c>
      <c r="AU1157" s="52"/>
      <c r="AV1157" s="52"/>
      <c r="AW1157" s="59">
        <f>1148862.2+16043.26+24700+10914+59674</f>
        <v>1260193.46</v>
      </c>
      <c r="AX1157" s="52"/>
      <c r="AY1157" s="52"/>
      <c r="AZ1157" s="52"/>
      <c r="BA1157" s="52">
        <f t="shared" si="267"/>
        <v>1260193.46</v>
      </c>
      <c r="BB1157" s="54" t="s">
        <v>74</v>
      </c>
      <c r="BC1157" s="53" t="s">
        <v>74</v>
      </c>
      <c r="BD1157" s="55" t="s">
        <v>1229</v>
      </c>
      <c r="BE1157" s="55" t="s">
        <v>74</v>
      </c>
      <c r="BF1157" s="55" t="s">
        <v>74</v>
      </c>
      <c r="BG1157" s="55" t="s">
        <v>74</v>
      </c>
      <c r="BH1157" s="52">
        <f t="shared" si="268"/>
        <v>1260193.46</v>
      </c>
      <c r="BI1157" s="52">
        <f t="shared" si="269"/>
        <v>2373754.0393333333</v>
      </c>
      <c r="BJ1157" s="52">
        <f>Y1157-AG1157+AX1157</f>
        <v>1113560.5793333333</v>
      </c>
      <c r="BK1157" s="56">
        <v>44348</v>
      </c>
      <c r="BL1157" s="63">
        <f>2262422.78+16043.26+24700+10914+59674</f>
        <v>2373754.0399999996</v>
      </c>
      <c r="BM1157" s="47">
        <v>0</v>
      </c>
      <c r="BN1157" s="9"/>
      <c r="BO1157" s="9"/>
      <c r="BP1157" s="9"/>
      <c r="BQ1157" s="9"/>
      <c r="BR1157" s="9"/>
      <c r="BS1157" s="9"/>
      <c r="BT1157" s="9"/>
      <c r="BU1157" s="9"/>
      <c r="BV1157" s="9"/>
      <c r="BW1157" s="9"/>
    </row>
    <row r="1158" spans="1:75" ht="81.75" hidden="1" customHeight="1" outlineLevel="2" x14ac:dyDescent="0.25">
      <c r="A1158" s="43" t="s">
        <v>470</v>
      </c>
      <c r="B1158" s="110" t="s">
        <v>1225</v>
      </c>
      <c r="C1158" s="45">
        <v>2021</v>
      </c>
      <c r="D1158" s="110" t="s">
        <v>84</v>
      </c>
      <c r="E1158" s="113">
        <v>1378187.02</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f t="shared" si="264"/>
        <v>1378187.02</v>
      </c>
      <c r="Z1158" s="80"/>
      <c r="AA1158" s="50"/>
      <c r="AB1158" s="50"/>
      <c r="AC1158" s="148">
        <v>42310.8</v>
      </c>
      <c r="AD1158" s="62">
        <f>30252.03+13059.29</f>
        <v>43311.32</v>
      </c>
      <c r="AE1158" s="50"/>
      <c r="AF1158" s="50"/>
      <c r="AG1158" s="49">
        <f t="shared" si="265"/>
        <v>85622.12</v>
      </c>
      <c r="AH1158" s="51" t="s">
        <v>74</v>
      </c>
      <c r="AI1158" s="51" t="s">
        <v>74</v>
      </c>
      <c r="AJ1158" s="51" t="s">
        <v>1230</v>
      </c>
      <c r="AK1158" s="51" t="s">
        <v>1231</v>
      </c>
      <c r="AL1158" s="51" t="s">
        <v>74</v>
      </c>
      <c r="AM1158" s="51" t="s">
        <v>74</v>
      </c>
      <c r="AN1158" s="52"/>
      <c r="AO1158" s="52"/>
      <c r="AP1158" s="52"/>
      <c r="AQ1158" s="52"/>
      <c r="AR1158" s="52"/>
      <c r="AS1158" s="52">
        <f t="shared" si="266"/>
        <v>0</v>
      </c>
      <c r="AT1158" s="53" t="s">
        <v>74</v>
      </c>
      <c r="AU1158" s="52"/>
      <c r="AV1158" s="52"/>
      <c r="AW1158" s="68">
        <f>60229+62250+2818</f>
        <v>125297</v>
      </c>
      <c r="AX1158" s="52"/>
      <c r="AY1158" s="52"/>
      <c r="AZ1158" s="52"/>
      <c r="BA1158" s="52">
        <f t="shared" si="267"/>
        <v>125297</v>
      </c>
      <c r="BB1158" s="54" t="s">
        <v>74</v>
      </c>
      <c r="BC1158" s="53" t="s">
        <v>74</v>
      </c>
      <c r="BD1158" s="55" t="s">
        <v>1232</v>
      </c>
      <c r="BE1158" s="55" t="s">
        <v>74</v>
      </c>
      <c r="BF1158" s="55" t="s">
        <v>74</v>
      </c>
      <c r="BG1158" s="55" t="s">
        <v>74</v>
      </c>
      <c r="BH1158" s="52">
        <f t="shared" si="268"/>
        <v>125297</v>
      </c>
      <c r="BI1158" s="52">
        <f t="shared" si="269"/>
        <v>1417861.9</v>
      </c>
      <c r="BJ1158" s="52">
        <f>Y1158-AG1158+AX1158</f>
        <v>1292564.8999999999</v>
      </c>
      <c r="BK1158" s="56">
        <v>44378</v>
      </c>
      <c r="BL1158" s="63">
        <f>1283934.99+60229+8629.91+62250+2818</f>
        <v>1417861.9</v>
      </c>
      <c r="BM1158" s="47">
        <v>0</v>
      </c>
      <c r="BN1158" s="9"/>
      <c r="BO1158" s="9"/>
      <c r="BP1158" s="9"/>
      <c r="BQ1158" s="9"/>
      <c r="BR1158" s="9"/>
      <c r="BS1158" s="9"/>
      <c r="BT1158" s="9"/>
      <c r="BU1158" s="9"/>
      <c r="BV1158" s="9"/>
      <c r="BW1158" s="9"/>
    </row>
    <row r="1159" spans="1:75" ht="30.75" hidden="1" customHeight="1" outlineLevel="2" x14ac:dyDescent="0.25">
      <c r="A1159" s="43" t="s">
        <v>470</v>
      </c>
      <c r="B1159" s="110" t="s">
        <v>1225</v>
      </c>
      <c r="C1159" s="45">
        <v>2021</v>
      </c>
      <c r="D1159" s="110" t="s">
        <v>86</v>
      </c>
      <c r="E1159" s="113">
        <v>1453579.72</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f t="shared" si="264"/>
        <v>1453579.72</v>
      </c>
      <c r="Z1159" s="49"/>
      <c r="AA1159" s="50"/>
      <c r="AB1159" s="50"/>
      <c r="AC1159" s="50"/>
      <c r="AD1159" s="148">
        <v>13116.67</v>
      </c>
      <c r="AE1159" s="50"/>
      <c r="AF1159" s="50"/>
      <c r="AG1159" s="49">
        <f t="shared" si="265"/>
        <v>13116.67</v>
      </c>
      <c r="AH1159" s="51" t="s">
        <v>74</v>
      </c>
      <c r="AI1159" s="51" t="s">
        <v>74</v>
      </c>
      <c r="AJ1159" s="51" t="s">
        <v>74</v>
      </c>
      <c r="AK1159" s="51" t="s">
        <v>593</v>
      </c>
      <c r="AL1159" s="51" t="s">
        <v>74</v>
      </c>
      <c r="AM1159" s="51" t="s">
        <v>74</v>
      </c>
      <c r="AN1159" s="52"/>
      <c r="AO1159" s="52"/>
      <c r="AP1159" s="52"/>
      <c r="AQ1159" s="52"/>
      <c r="AR1159" s="52"/>
      <c r="AS1159" s="52">
        <f t="shared" si="266"/>
        <v>0</v>
      </c>
      <c r="AT1159" s="53" t="s">
        <v>74</v>
      </c>
      <c r="AU1159" s="52"/>
      <c r="AV1159" s="52"/>
      <c r="AW1159" s="52"/>
      <c r="AX1159" s="52"/>
      <c r="AY1159" s="52"/>
      <c r="AZ1159" s="52"/>
      <c r="BA1159" s="52">
        <f t="shared" si="267"/>
        <v>0</v>
      </c>
      <c r="BB1159" s="54" t="s">
        <v>74</v>
      </c>
      <c r="BC1159" s="53" t="s">
        <v>74</v>
      </c>
      <c r="BD1159" s="55" t="s">
        <v>74</v>
      </c>
      <c r="BE1159" s="55" t="s">
        <v>74</v>
      </c>
      <c r="BF1159" s="55" t="s">
        <v>74</v>
      </c>
      <c r="BG1159" s="55" t="s">
        <v>74</v>
      </c>
      <c r="BH1159" s="52">
        <f t="shared" si="268"/>
        <v>0</v>
      </c>
      <c r="BI1159" s="52">
        <f t="shared" si="269"/>
        <v>1440463.05</v>
      </c>
      <c r="BJ1159" s="52">
        <f>Y1159-AG1159+AX1159</f>
        <v>1440463.05</v>
      </c>
      <c r="BK1159" s="56">
        <v>44409</v>
      </c>
      <c r="BL1159" s="57">
        <f>1359579.72+80883.33</f>
        <v>1440463.05</v>
      </c>
      <c r="BM1159" s="47">
        <v>0</v>
      </c>
      <c r="BN1159" s="9"/>
      <c r="BO1159" s="9"/>
      <c r="BP1159" s="9"/>
      <c r="BQ1159" s="9"/>
      <c r="BR1159" s="9"/>
      <c r="BS1159" s="9"/>
      <c r="BT1159" s="9"/>
      <c r="BU1159" s="9"/>
      <c r="BV1159" s="9"/>
      <c r="BW1159" s="9"/>
    </row>
    <row r="1160" spans="1:75" ht="357.75" hidden="1" outlineLevel="2" x14ac:dyDescent="0.25">
      <c r="A1160" s="43" t="s">
        <v>470</v>
      </c>
      <c r="B1160" s="110" t="s">
        <v>1225</v>
      </c>
      <c r="C1160" s="45">
        <v>2021</v>
      </c>
      <c r="D1160" s="110" t="s">
        <v>88</v>
      </c>
      <c r="E1160" s="113">
        <v>1447780.2819999999</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f t="shared" si="264"/>
        <v>1447780.2819999999</v>
      </c>
      <c r="Z1160" s="102"/>
      <c r="AA1160" s="50"/>
      <c r="AB1160" s="50"/>
      <c r="AC1160" s="50"/>
      <c r="AD1160" s="159">
        <v>94000</v>
      </c>
      <c r="AE1160" s="50"/>
      <c r="AF1160" s="50">
        <v>304118.59999999998</v>
      </c>
      <c r="AG1160" s="49">
        <f t="shared" si="265"/>
        <v>398118.6</v>
      </c>
      <c r="AH1160" s="51" t="s">
        <v>74</v>
      </c>
      <c r="AI1160" s="51" t="s">
        <v>74</v>
      </c>
      <c r="AJ1160" s="51" t="s">
        <v>74</v>
      </c>
      <c r="AK1160" s="51" t="s">
        <v>595</v>
      </c>
      <c r="AL1160" s="51" t="s">
        <v>74</v>
      </c>
      <c r="AM1160" s="51" t="s">
        <v>1233</v>
      </c>
      <c r="AN1160" s="52"/>
      <c r="AO1160" s="52"/>
      <c r="AP1160" s="52"/>
      <c r="AQ1160" s="52"/>
      <c r="AR1160" s="52"/>
      <c r="AS1160" s="52">
        <f t="shared" si="266"/>
        <v>0</v>
      </c>
      <c r="AT1160" s="53" t="s">
        <v>74</v>
      </c>
      <c r="AU1160" s="52"/>
      <c r="AV1160" s="52"/>
      <c r="AW1160" s="68">
        <v>1696551.71</v>
      </c>
      <c r="AX1160" s="52"/>
      <c r="AY1160" s="52"/>
      <c r="AZ1160" s="52"/>
      <c r="BA1160" s="52">
        <f t="shared" si="267"/>
        <v>1696551.71</v>
      </c>
      <c r="BB1160" s="54" t="s">
        <v>74</v>
      </c>
      <c r="BC1160" s="53" t="s">
        <v>74</v>
      </c>
      <c r="BD1160" s="55" t="s">
        <v>1234</v>
      </c>
      <c r="BE1160" s="55" t="s">
        <v>74</v>
      </c>
      <c r="BF1160" s="55" t="s">
        <v>74</v>
      </c>
      <c r="BG1160" s="55" t="s">
        <v>74</v>
      </c>
      <c r="BH1160" s="52">
        <f t="shared" si="268"/>
        <v>1696551.71</v>
      </c>
      <c r="BI1160" s="52">
        <f t="shared" si="269"/>
        <v>2746213.392</v>
      </c>
      <c r="BJ1160" s="52">
        <f>BI1160-BH1160</f>
        <v>1049661.682</v>
      </c>
      <c r="BK1160" s="56">
        <v>44440</v>
      </c>
      <c r="BL1160" s="57">
        <f>982600.48+67061.2+1696551.71</f>
        <v>2746213.3899999997</v>
      </c>
      <c r="BM1160" s="47">
        <v>0</v>
      </c>
      <c r="BN1160" s="9"/>
      <c r="BO1160" s="9"/>
      <c r="BP1160" s="9"/>
      <c r="BQ1160" s="9"/>
      <c r="BR1160" s="9"/>
      <c r="BS1160" s="9"/>
      <c r="BT1160" s="9"/>
      <c r="BU1160" s="9"/>
      <c r="BV1160" s="9"/>
      <c r="BW1160" s="9"/>
    </row>
    <row r="1161" spans="1:75" ht="370.5" hidden="1" outlineLevel="2" x14ac:dyDescent="0.25">
      <c r="A1161" s="71" t="s">
        <v>470</v>
      </c>
      <c r="B1161" s="116" t="s">
        <v>1225</v>
      </c>
      <c r="C1161" s="73">
        <v>2021</v>
      </c>
      <c r="D1161" s="116" t="s">
        <v>89</v>
      </c>
      <c r="E1161" s="117">
        <v>1453579.72</v>
      </c>
      <c r="F1161" s="75">
        <v>0</v>
      </c>
      <c r="G1161" s="75">
        <v>0</v>
      </c>
      <c r="H1161" s="75">
        <v>0</v>
      </c>
      <c r="I1161" s="75">
        <v>0</v>
      </c>
      <c r="J1161" s="75">
        <v>0</v>
      </c>
      <c r="K1161" s="75">
        <v>0</v>
      </c>
      <c r="L1161" s="75">
        <v>0</v>
      </c>
      <c r="M1161" s="75">
        <v>0</v>
      </c>
      <c r="N1161" s="75">
        <v>0</v>
      </c>
      <c r="O1161" s="75">
        <v>0</v>
      </c>
      <c r="P1161" s="75">
        <v>0</v>
      </c>
      <c r="Q1161" s="75">
        <v>0</v>
      </c>
      <c r="R1161" s="75">
        <v>0</v>
      </c>
      <c r="S1161" s="75">
        <v>0</v>
      </c>
      <c r="T1161" s="75">
        <v>0</v>
      </c>
      <c r="U1161" s="75">
        <v>0</v>
      </c>
      <c r="V1161" s="75">
        <v>0</v>
      </c>
      <c r="W1161" s="75">
        <v>0</v>
      </c>
      <c r="X1161" s="75">
        <v>0</v>
      </c>
      <c r="Y1161" s="76">
        <f t="shared" si="264"/>
        <v>1453579.72</v>
      </c>
      <c r="Z1161" s="80"/>
      <c r="AA1161" s="79"/>
      <c r="AB1161" s="79"/>
      <c r="AC1161" s="79"/>
      <c r="AD1161" s="160">
        <v>94000</v>
      </c>
      <c r="AE1161" s="79"/>
      <c r="AF1161" s="79">
        <v>396737.29</v>
      </c>
      <c r="AG1161" s="80">
        <f t="shared" si="265"/>
        <v>490737.29</v>
      </c>
      <c r="AH1161" s="123" t="s">
        <v>74</v>
      </c>
      <c r="AI1161" s="123" t="s">
        <v>74</v>
      </c>
      <c r="AJ1161" s="123" t="s">
        <v>74</v>
      </c>
      <c r="AK1161" s="123" t="s">
        <v>595</v>
      </c>
      <c r="AL1161" s="123" t="s">
        <v>74</v>
      </c>
      <c r="AM1161" s="123" t="s">
        <v>1235</v>
      </c>
      <c r="AN1161" s="82"/>
      <c r="AO1161" s="82"/>
      <c r="AP1161" s="82"/>
      <c r="AQ1161" s="82"/>
      <c r="AR1161" s="82"/>
      <c r="AS1161" s="82">
        <f t="shared" si="266"/>
        <v>0</v>
      </c>
      <c r="AT1161" s="124" t="s">
        <v>74</v>
      </c>
      <c r="AU1161" s="82"/>
      <c r="AV1161" s="82"/>
      <c r="AW1161" s="82"/>
      <c r="AX1161" s="82"/>
      <c r="AY1161" s="82"/>
      <c r="AZ1161" s="82"/>
      <c r="BA1161" s="82">
        <f t="shared" si="267"/>
        <v>0</v>
      </c>
      <c r="BB1161" s="125" t="s">
        <v>74</v>
      </c>
      <c r="BC1161" s="124" t="s">
        <v>74</v>
      </c>
      <c r="BD1161" s="126" t="s">
        <v>74</v>
      </c>
      <c r="BE1161" s="126" t="s">
        <v>74</v>
      </c>
      <c r="BF1161" s="126" t="s">
        <v>74</v>
      </c>
      <c r="BG1161" s="126" t="s">
        <v>74</v>
      </c>
      <c r="BH1161" s="82">
        <f t="shared" si="268"/>
        <v>0</v>
      </c>
      <c r="BI1161" s="82">
        <f t="shared" si="269"/>
        <v>962842.42999999993</v>
      </c>
      <c r="BJ1161" s="52">
        <f>BI1161-BH1161</f>
        <v>962842.42999999993</v>
      </c>
      <c r="BK1161" s="56">
        <v>44470</v>
      </c>
      <c r="BL1161" s="83">
        <v>962842.43</v>
      </c>
      <c r="BM1161" s="75">
        <v>0</v>
      </c>
      <c r="BN1161" s="9"/>
      <c r="BO1161" s="9"/>
      <c r="BP1161" s="9"/>
      <c r="BQ1161" s="9"/>
      <c r="BR1161" s="9"/>
      <c r="BS1161" s="9"/>
      <c r="BT1161" s="9"/>
      <c r="BU1161" s="9"/>
      <c r="BV1161" s="9"/>
      <c r="BW1161" s="9"/>
    </row>
    <row r="1162" spans="1:75" hidden="1" outlineLevel="1" collapsed="1" x14ac:dyDescent="0.25">
      <c r="A1162" s="84"/>
      <c r="B1162" s="120" t="s">
        <v>1236</v>
      </c>
      <c r="C1162" s="86"/>
      <c r="D1162" s="120"/>
      <c r="E1162" s="121"/>
      <c r="F1162" s="88"/>
      <c r="G1162" s="88"/>
      <c r="H1162" s="88"/>
      <c r="I1162" s="88"/>
      <c r="J1162" s="88"/>
      <c r="K1162" s="88"/>
      <c r="L1162" s="88"/>
      <c r="M1162" s="88"/>
      <c r="N1162" s="88"/>
      <c r="O1162" s="88"/>
      <c r="P1162" s="88"/>
      <c r="Q1162" s="88"/>
      <c r="R1162" s="88"/>
      <c r="S1162" s="88"/>
      <c r="T1162" s="88"/>
      <c r="U1162" s="88"/>
      <c r="V1162" s="88"/>
      <c r="W1162" s="88"/>
      <c r="X1162" s="88"/>
      <c r="Y1162" s="89">
        <f t="shared" ref="Y1162:AG1162" si="270">SUBTOTAL(9,Y1155:Y1161)</f>
        <v>0</v>
      </c>
      <c r="Z1162" s="89">
        <f t="shared" si="270"/>
        <v>0</v>
      </c>
      <c r="AA1162" s="89">
        <f t="shared" si="270"/>
        <v>0</v>
      </c>
      <c r="AB1162" s="89">
        <f t="shared" si="270"/>
        <v>0</v>
      </c>
      <c r="AC1162" s="89">
        <f t="shared" si="270"/>
        <v>0</v>
      </c>
      <c r="AD1162" s="162">
        <f t="shared" si="270"/>
        <v>0</v>
      </c>
      <c r="AE1162" s="89">
        <f t="shared" si="270"/>
        <v>0</v>
      </c>
      <c r="AF1162" s="89">
        <f t="shared" si="270"/>
        <v>0</v>
      </c>
      <c r="AG1162" s="89">
        <f t="shared" si="270"/>
        <v>0</v>
      </c>
      <c r="AH1162" s="129"/>
      <c r="AI1162" s="129"/>
      <c r="AJ1162" s="129"/>
      <c r="AK1162" s="129"/>
      <c r="AL1162" s="129"/>
      <c r="AM1162" s="129"/>
      <c r="AN1162" s="92">
        <f t="shared" ref="AN1162:AS1162" si="271">SUBTOTAL(9,AN1155:AN1161)</f>
        <v>0</v>
      </c>
      <c r="AO1162" s="92">
        <f t="shared" si="271"/>
        <v>0</v>
      </c>
      <c r="AP1162" s="92">
        <f t="shared" si="271"/>
        <v>0</v>
      </c>
      <c r="AQ1162" s="92">
        <f t="shared" si="271"/>
        <v>0</v>
      </c>
      <c r="AR1162" s="92">
        <f t="shared" si="271"/>
        <v>0</v>
      </c>
      <c r="AS1162" s="92">
        <f t="shared" si="271"/>
        <v>0</v>
      </c>
      <c r="AT1162" s="130"/>
      <c r="AU1162" s="92">
        <f t="shared" ref="AU1162:BA1162" si="272">SUBTOTAL(9,AU1155:AU1161)</f>
        <v>0</v>
      </c>
      <c r="AV1162" s="92">
        <f t="shared" si="272"/>
        <v>0</v>
      </c>
      <c r="AW1162" s="92">
        <f t="shared" si="272"/>
        <v>0</v>
      </c>
      <c r="AX1162" s="92">
        <f t="shared" si="272"/>
        <v>0</v>
      </c>
      <c r="AY1162" s="92">
        <f t="shared" si="272"/>
        <v>0</v>
      </c>
      <c r="AZ1162" s="92">
        <f t="shared" si="272"/>
        <v>0</v>
      </c>
      <c r="BA1162" s="92">
        <f t="shared" si="272"/>
        <v>0</v>
      </c>
      <c r="BB1162" s="131"/>
      <c r="BC1162" s="130"/>
      <c r="BD1162" s="132"/>
      <c r="BE1162" s="132"/>
      <c r="BF1162" s="132"/>
      <c r="BG1162" s="132"/>
      <c r="BH1162" s="92">
        <f>SUBTOTAL(9,BH1155:BH1161)</f>
        <v>0</v>
      </c>
      <c r="BI1162" s="92">
        <f>SUBTOTAL(9,BI1155:BI1161)</f>
        <v>0</v>
      </c>
      <c r="BJ1162" s="93"/>
      <c r="BK1162" s="94"/>
      <c r="BL1162" s="95">
        <f>SUBTOTAL(9,BL1155:BL1161)</f>
        <v>0</v>
      </c>
      <c r="BM1162" s="88">
        <f>SUBTOTAL(9,BM1155:BM1161)</f>
        <v>0</v>
      </c>
      <c r="BN1162" s="9"/>
      <c r="BO1162" s="9"/>
      <c r="BP1162" s="9"/>
      <c r="BQ1162" s="9"/>
      <c r="BR1162" s="9"/>
      <c r="BS1162" s="9"/>
      <c r="BT1162" s="9"/>
      <c r="BU1162" s="9"/>
      <c r="BV1162" s="9"/>
      <c r="BW1162" s="9"/>
    </row>
    <row r="1163" spans="1:75" ht="18" hidden="1" customHeight="1" outlineLevel="2" x14ac:dyDescent="0.25">
      <c r="A1163" s="227" t="s">
        <v>1237</v>
      </c>
      <c r="B1163" s="228" t="s">
        <v>1238</v>
      </c>
      <c r="C1163" s="229">
        <v>2017</v>
      </c>
      <c r="D1163" s="230" t="s">
        <v>73</v>
      </c>
      <c r="E1163" s="231">
        <v>1711770.27</v>
      </c>
      <c r="F1163" s="231">
        <v>583195.32999999996</v>
      </c>
      <c r="G1163" s="231">
        <v>0</v>
      </c>
      <c r="H1163" s="231">
        <v>0</v>
      </c>
      <c r="I1163" s="231">
        <v>0</v>
      </c>
      <c r="J1163" s="231">
        <v>0</v>
      </c>
      <c r="K1163" s="231">
        <v>0</v>
      </c>
      <c r="L1163" s="231">
        <v>0</v>
      </c>
      <c r="M1163" s="231">
        <f t="shared" ref="M1163:M1185" si="273">K1163+L1163</f>
        <v>0</v>
      </c>
      <c r="N1163" s="231">
        <v>0</v>
      </c>
      <c r="O1163" s="231">
        <v>0</v>
      </c>
      <c r="P1163" s="231">
        <v>0</v>
      </c>
      <c r="Q1163" s="231">
        <v>0</v>
      </c>
      <c r="R1163" s="231">
        <v>0</v>
      </c>
      <c r="S1163" s="231">
        <v>0</v>
      </c>
      <c r="T1163" s="231">
        <v>0</v>
      </c>
      <c r="U1163" s="231">
        <v>0</v>
      </c>
      <c r="V1163" s="231">
        <v>0</v>
      </c>
      <c r="W1163" s="231">
        <v>0</v>
      </c>
      <c r="X1163" s="231">
        <v>0</v>
      </c>
      <c r="Y1163" s="231">
        <f t="shared" ref="Y1163:Y1180" si="274">E1163+F1163+G1163+H1163+M1163</f>
        <v>2294965.6</v>
      </c>
      <c r="Z1163" s="232"/>
      <c r="AA1163" s="233">
        <v>7384.49</v>
      </c>
      <c r="AB1163" s="234"/>
      <c r="AC1163" s="235">
        <v>0</v>
      </c>
      <c r="AD1163" s="233">
        <v>0</v>
      </c>
      <c r="AE1163" s="233">
        <v>0</v>
      </c>
      <c r="AF1163" s="236"/>
      <c r="AG1163" s="235">
        <f t="shared" ref="AG1163:AG1172" si="275">AA1163+AC1163+AE1163</f>
        <v>7384.49</v>
      </c>
      <c r="AH1163" s="237" t="s">
        <v>1239</v>
      </c>
      <c r="AI1163" s="237"/>
      <c r="AJ1163" s="238"/>
      <c r="AK1163" s="237"/>
      <c r="AL1163" s="237"/>
      <c r="AM1163" s="238"/>
      <c r="AN1163" s="238">
        <v>0</v>
      </c>
      <c r="AO1163" s="238">
        <v>0</v>
      </c>
      <c r="AP1163" s="238">
        <v>0</v>
      </c>
      <c r="AQ1163" s="238">
        <v>0</v>
      </c>
      <c r="AR1163" s="238">
        <v>0</v>
      </c>
      <c r="AS1163" s="238">
        <f t="shared" ref="AS1163:AS1185" si="276">AN1163+AO1163+AP1163+AQ1163+AR1163</f>
        <v>0</v>
      </c>
      <c r="AT1163" s="238"/>
      <c r="AU1163" s="238">
        <v>0</v>
      </c>
      <c r="AV1163" s="238"/>
      <c r="AW1163" s="238"/>
      <c r="AX1163" s="238"/>
      <c r="AY1163" s="238"/>
      <c r="AZ1163" s="238">
        <v>0</v>
      </c>
      <c r="BA1163" s="238">
        <f t="shared" ref="BA1163:BA1185" si="277">AU1163+AW1163+AZ1163</f>
        <v>0</v>
      </c>
      <c r="BB1163" s="238"/>
      <c r="BC1163" s="238"/>
      <c r="BD1163" s="238"/>
      <c r="BE1163" s="238"/>
      <c r="BF1163" s="238"/>
      <c r="BG1163" s="238"/>
      <c r="BH1163" s="238">
        <f t="shared" ref="BH1163:BH1185" si="278">AS1163+BA1163</f>
        <v>0</v>
      </c>
      <c r="BI1163" s="238">
        <f t="shared" ref="BI1163:BI1185" si="279">Y1163-AG1163+BH1163</f>
        <v>2287581.11</v>
      </c>
      <c r="BJ1163" s="239">
        <v>2287581.11</v>
      </c>
      <c r="BK1163" s="240">
        <v>42736</v>
      </c>
      <c r="BL1163" s="241">
        <f>74637+1515298.1+98375.48+16075.2+345076.4+238118.93</f>
        <v>2287581.1100000003</v>
      </c>
      <c r="BM1163" s="100">
        <v>0</v>
      </c>
      <c r="BN1163" s="9"/>
      <c r="BO1163" s="9"/>
      <c r="BP1163" s="9"/>
      <c r="BQ1163" s="9"/>
      <c r="BR1163" s="9"/>
      <c r="BS1163" s="9"/>
      <c r="BT1163" s="9"/>
      <c r="BU1163" s="9"/>
      <c r="BV1163" s="9"/>
      <c r="BW1163" s="9"/>
    </row>
    <row r="1164" spans="1:75" ht="18" hidden="1" customHeight="1" outlineLevel="2" x14ac:dyDescent="0.25">
      <c r="A1164" s="242" t="s">
        <v>1237</v>
      </c>
      <c r="B1164" s="243" t="s">
        <v>1238</v>
      </c>
      <c r="C1164" s="244">
        <v>2017</v>
      </c>
      <c r="D1164" s="245" t="s">
        <v>75</v>
      </c>
      <c r="E1164" s="246">
        <v>1711770.27</v>
      </c>
      <c r="F1164" s="246">
        <v>583195.32999999996</v>
      </c>
      <c r="G1164" s="246">
        <v>0</v>
      </c>
      <c r="H1164" s="246">
        <v>0</v>
      </c>
      <c r="I1164" s="246">
        <v>0</v>
      </c>
      <c r="J1164" s="246">
        <v>0</v>
      </c>
      <c r="K1164" s="246">
        <v>0</v>
      </c>
      <c r="L1164" s="246">
        <v>0</v>
      </c>
      <c r="M1164" s="246">
        <f t="shared" si="273"/>
        <v>0</v>
      </c>
      <c r="N1164" s="246">
        <v>0</v>
      </c>
      <c r="O1164" s="246">
        <v>0</v>
      </c>
      <c r="P1164" s="246">
        <v>0</v>
      </c>
      <c r="Q1164" s="246">
        <v>0</v>
      </c>
      <c r="R1164" s="246">
        <v>0</v>
      </c>
      <c r="S1164" s="246">
        <v>0</v>
      </c>
      <c r="T1164" s="246">
        <v>0</v>
      </c>
      <c r="U1164" s="246">
        <v>0</v>
      </c>
      <c r="V1164" s="246">
        <v>0</v>
      </c>
      <c r="W1164" s="246">
        <v>0</v>
      </c>
      <c r="X1164" s="246">
        <v>0</v>
      </c>
      <c r="Y1164" s="246">
        <f t="shared" si="274"/>
        <v>2294965.6</v>
      </c>
      <c r="Z1164" s="247"/>
      <c r="AA1164" s="248">
        <v>8136.58</v>
      </c>
      <c r="AB1164" s="249"/>
      <c r="AC1164" s="250">
        <v>0</v>
      </c>
      <c r="AD1164" s="248">
        <v>0</v>
      </c>
      <c r="AE1164" s="248">
        <v>0</v>
      </c>
      <c r="AF1164" s="251"/>
      <c r="AG1164" s="250">
        <f t="shared" si="275"/>
        <v>8136.58</v>
      </c>
      <c r="AH1164" s="252" t="s">
        <v>1240</v>
      </c>
      <c r="AI1164" s="252"/>
      <c r="AJ1164" s="239"/>
      <c r="AK1164" s="252"/>
      <c r="AL1164" s="252"/>
      <c r="AM1164" s="239"/>
      <c r="AN1164" s="239">
        <v>0</v>
      </c>
      <c r="AO1164" s="239">
        <v>0</v>
      </c>
      <c r="AP1164" s="239">
        <v>0</v>
      </c>
      <c r="AQ1164" s="239">
        <v>0</v>
      </c>
      <c r="AR1164" s="239">
        <v>0</v>
      </c>
      <c r="AS1164" s="239">
        <f t="shared" si="276"/>
        <v>0</v>
      </c>
      <c r="AT1164" s="239"/>
      <c r="AU1164" s="239">
        <v>0</v>
      </c>
      <c r="AV1164" s="239"/>
      <c r="AW1164" s="239"/>
      <c r="AX1164" s="239"/>
      <c r="AY1164" s="239"/>
      <c r="AZ1164" s="239">
        <v>0</v>
      </c>
      <c r="BA1164" s="239">
        <f t="shared" si="277"/>
        <v>0</v>
      </c>
      <c r="BB1164" s="239"/>
      <c r="BC1164" s="239"/>
      <c r="BD1164" s="239"/>
      <c r="BE1164" s="239"/>
      <c r="BF1164" s="239"/>
      <c r="BG1164" s="239"/>
      <c r="BH1164" s="239">
        <f t="shared" si="278"/>
        <v>0</v>
      </c>
      <c r="BI1164" s="239">
        <f t="shared" si="279"/>
        <v>2286829.02</v>
      </c>
      <c r="BJ1164" s="239">
        <v>2286829.02</v>
      </c>
      <c r="BK1164" s="240">
        <v>42767</v>
      </c>
      <c r="BL1164" s="253">
        <f>75000+1450000+178633.69+145881.07+437314.26</f>
        <v>2286829.02</v>
      </c>
      <c r="BM1164" s="47">
        <v>0</v>
      </c>
      <c r="BN1164" s="9"/>
      <c r="BO1164" s="9"/>
      <c r="BP1164" s="9"/>
      <c r="BQ1164" s="9"/>
      <c r="BR1164" s="9"/>
      <c r="BS1164" s="9"/>
      <c r="BT1164" s="9"/>
      <c r="BU1164" s="9"/>
      <c r="BV1164" s="9"/>
      <c r="BW1164" s="9"/>
    </row>
    <row r="1165" spans="1:75" ht="18" hidden="1" customHeight="1" outlineLevel="2" x14ac:dyDescent="0.25">
      <c r="A1165" s="242" t="s">
        <v>1237</v>
      </c>
      <c r="B1165" s="243" t="s">
        <v>1238</v>
      </c>
      <c r="C1165" s="244">
        <v>2017</v>
      </c>
      <c r="D1165" s="245" t="s">
        <v>77</v>
      </c>
      <c r="E1165" s="246">
        <v>1711770.27</v>
      </c>
      <c r="F1165" s="246">
        <v>583195.32999999996</v>
      </c>
      <c r="G1165" s="246">
        <v>0</v>
      </c>
      <c r="H1165" s="246">
        <v>0</v>
      </c>
      <c r="I1165" s="246">
        <v>0</v>
      </c>
      <c r="J1165" s="246">
        <v>0</v>
      </c>
      <c r="K1165" s="246">
        <v>0</v>
      </c>
      <c r="L1165" s="246">
        <v>0</v>
      </c>
      <c r="M1165" s="246">
        <f t="shared" si="273"/>
        <v>0</v>
      </c>
      <c r="N1165" s="246">
        <v>0</v>
      </c>
      <c r="O1165" s="246">
        <v>0</v>
      </c>
      <c r="P1165" s="246">
        <v>0</v>
      </c>
      <c r="Q1165" s="246">
        <v>0</v>
      </c>
      <c r="R1165" s="246">
        <v>0</v>
      </c>
      <c r="S1165" s="246">
        <v>0</v>
      </c>
      <c r="T1165" s="246">
        <v>0</v>
      </c>
      <c r="U1165" s="246">
        <v>0</v>
      </c>
      <c r="V1165" s="246">
        <v>0</v>
      </c>
      <c r="W1165" s="246">
        <v>0</v>
      </c>
      <c r="X1165" s="246">
        <v>0</v>
      </c>
      <c r="Y1165" s="246">
        <f t="shared" si="274"/>
        <v>2294965.6</v>
      </c>
      <c r="Z1165" s="247"/>
      <c r="AA1165" s="248">
        <v>8292.35</v>
      </c>
      <c r="AB1165" s="249"/>
      <c r="AC1165" s="250">
        <v>0</v>
      </c>
      <c r="AD1165" s="248">
        <v>0</v>
      </c>
      <c r="AE1165" s="248">
        <v>0</v>
      </c>
      <c r="AF1165" s="251"/>
      <c r="AG1165" s="250">
        <f t="shared" si="275"/>
        <v>8292.35</v>
      </c>
      <c r="AH1165" s="252" t="s">
        <v>1241</v>
      </c>
      <c r="AI1165" s="252"/>
      <c r="AJ1165" s="239"/>
      <c r="AK1165" s="252"/>
      <c r="AL1165" s="252"/>
      <c r="AM1165" s="239"/>
      <c r="AN1165" s="239">
        <v>0</v>
      </c>
      <c r="AO1165" s="239">
        <v>0</v>
      </c>
      <c r="AP1165" s="239">
        <v>0</v>
      </c>
      <c r="AQ1165" s="239">
        <v>0</v>
      </c>
      <c r="AR1165" s="239">
        <v>0</v>
      </c>
      <c r="AS1165" s="239">
        <f t="shared" si="276"/>
        <v>0</v>
      </c>
      <c r="AT1165" s="239"/>
      <c r="AU1165" s="239">
        <v>0</v>
      </c>
      <c r="AV1165" s="239"/>
      <c r="AW1165" s="239"/>
      <c r="AX1165" s="239"/>
      <c r="AY1165" s="239"/>
      <c r="AZ1165" s="239">
        <v>0</v>
      </c>
      <c r="BA1165" s="239">
        <f t="shared" si="277"/>
        <v>0</v>
      </c>
      <c r="BB1165" s="239"/>
      <c r="BC1165" s="239"/>
      <c r="BD1165" s="239"/>
      <c r="BE1165" s="239"/>
      <c r="BF1165" s="239"/>
      <c r="BG1165" s="239"/>
      <c r="BH1165" s="239">
        <f t="shared" si="278"/>
        <v>0</v>
      </c>
      <c r="BI1165" s="239">
        <f t="shared" si="279"/>
        <v>2286673.25</v>
      </c>
      <c r="BJ1165" s="239">
        <v>2286673.25</v>
      </c>
      <c r="BK1165" s="240">
        <v>42795</v>
      </c>
      <c r="BL1165" s="253">
        <f>90000+1350000+263477.92+562685.74+20509.59</f>
        <v>2286673.25</v>
      </c>
      <c r="BM1165" s="47">
        <v>0</v>
      </c>
      <c r="BN1165" s="9"/>
      <c r="BO1165" s="9"/>
      <c r="BP1165" s="9"/>
      <c r="BQ1165" s="9"/>
      <c r="BR1165" s="9"/>
      <c r="BS1165" s="9"/>
      <c r="BT1165" s="9"/>
      <c r="BU1165" s="9"/>
      <c r="BV1165" s="9"/>
      <c r="BW1165" s="9"/>
    </row>
    <row r="1166" spans="1:75" ht="18" hidden="1" customHeight="1" outlineLevel="2" x14ac:dyDescent="0.25">
      <c r="A1166" s="242" t="s">
        <v>1237</v>
      </c>
      <c r="B1166" s="243" t="s">
        <v>1238</v>
      </c>
      <c r="C1166" s="244">
        <v>2017</v>
      </c>
      <c r="D1166" s="245" t="s">
        <v>79</v>
      </c>
      <c r="E1166" s="246">
        <v>1711770.27</v>
      </c>
      <c r="F1166" s="246">
        <v>583195.32999999996</v>
      </c>
      <c r="G1166" s="246">
        <v>0</v>
      </c>
      <c r="H1166" s="246">
        <v>0</v>
      </c>
      <c r="I1166" s="246">
        <v>0</v>
      </c>
      <c r="J1166" s="246">
        <v>0</v>
      </c>
      <c r="K1166" s="246">
        <v>0</v>
      </c>
      <c r="L1166" s="246">
        <v>0</v>
      </c>
      <c r="M1166" s="246">
        <f t="shared" si="273"/>
        <v>0</v>
      </c>
      <c r="N1166" s="246">
        <v>0</v>
      </c>
      <c r="O1166" s="246">
        <v>0</v>
      </c>
      <c r="P1166" s="246">
        <v>0</v>
      </c>
      <c r="Q1166" s="246">
        <v>0</v>
      </c>
      <c r="R1166" s="246">
        <v>0</v>
      </c>
      <c r="S1166" s="246">
        <v>0</v>
      </c>
      <c r="T1166" s="246">
        <v>0</v>
      </c>
      <c r="U1166" s="246">
        <v>0</v>
      </c>
      <c r="V1166" s="246">
        <v>0</v>
      </c>
      <c r="W1166" s="246">
        <v>0</v>
      </c>
      <c r="X1166" s="246">
        <v>0</v>
      </c>
      <c r="Y1166" s="246">
        <f t="shared" si="274"/>
        <v>2294965.6</v>
      </c>
      <c r="Z1166" s="247"/>
      <c r="AA1166" s="248">
        <v>7052.46</v>
      </c>
      <c r="AB1166" s="249"/>
      <c r="AC1166" s="250">
        <v>0</v>
      </c>
      <c r="AD1166" s="248">
        <v>0</v>
      </c>
      <c r="AE1166" s="248">
        <v>0</v>
      </c>
      <c r="AF1166" s="251"/>
      <c r="AG1166" s="250">
        <f t="shared" si="275"/>
        <v>7052.46</v>
      </c>
      <c r="AH1166" s="252" t="s">
        <v>1242</v>
      </c>
      <c r="AI1166" s="252"/>
      <c r="AJ1166" s="239"/>
      <c r="AK1166" s="252"/>
      <c r="AL1166" s="252"/>
      <c r="AM1166" s="239"/>
      <c r="AN1166" s="239">
        <v>0</v>
      </c>
      <c r="AO1166" s="239">
        <v>0</v>
      </c>
      <c r="AP1166" s="239">
        <v>0</v>
      </c>
      <c r="AQ1166" s="239">
        <v>0</v>
      </c>
      <c r="AR1166" s="239">
        <v>0</v>
      </c>
      <c r="AS1166" s="239">
        <f t="shared" si="276"/>
        <v>0</v>
      </c>
      <c r="AT1166" s="239"/>
      <c r="AU1166" s="239">
        <v>0</v>
      </c>
      <c r="AV1166" s="239"/>
      <c r="AW1166" s="239"/>
      <c r="AX1166" s="239"/>
      <c r="AY1166" s="239"/>
      <c r="AZ1166" s="239">
        <v>0</v>
      </c>
      <c r="BA1166" s="239">
        <f t="shared" si="277"/>
        <v>0</v>
      </c>
      <c r="BB1166" s="239"/>
      <c r="BC1166" s="239"/>
      <c r="BD1166" s="239"/>
      <c r="BE1166" s="239"/>
      <c r="BF1166" s="239"/>
      <c r="BG1166" s="239"/>
      <c r="BH1166" s="239">
        <f t="shared" si="278"/>
        <v>0</v>
      </c>
      <c r="BI1166" s="239">
        <f t="shared" si="279"/>
        <v>2287913.14</v>
      </c>
      <c r="BJ1166" s="239">
        <v>2287913.14</v>
      </c>
      <c r="BK1166" s="240">
        <v>42826</v>
      </c>
      <c r="BL1166" s="253">
        <f>90000+1350000+264717.81+109490.41+473704.92</f>
        <v>2287913.14</v>
      </c>
      <c r="BM1166" s="47">
        <v>0</v>
      </c>
      <c r="BN1166" s="9"/>
      <c r="BO1166" s="9"/>
      <c r="BP1166" s="9"/>
      <c r="BQ1166" s="9"/>
      <c r="BR1166" s="9"/>
      <c r="BS1166" s="9"/>
      <c r="BT1166" s="9"/>
      <c r="BU1166" s="9"/>
      <c r="BV1166" s="9"/>
      <c r="BW1166" s="9"/>
    </row>
    <row r="1167" spans="1:75" ht="18" hidden="1" customHeight="1" outlineLevel="2" x14ac:dyDescent="0.25">
      <c r="A1167" s="242" t="s">
        <v>1237</v>
      </c>
      <c r="B1167" s="243" t="s">
        <v>1238</v>
      </c>
      <c r="C1167" s="244">
        <v>2017</v>
      </c>
      <c r="D1167" s="245" t="s">
        <v>81</v>
      </c>
      <c r="E1167" s="246">
        <v>1711770.27</v>
      </c>
      <c r="F1167" s="246">
        <v>583195.32999999996</v>
      </c>
      <c r="G1167" s="246">
        <v>0</v>
      </c>
      <c r="H1167" s="246">
        <v>0</v>
      </c>
      <c r="I1167" s="246">
        <v>0</v>
      </c>
      <c r="J1167" s="246">
        <v>0</v>
      </c>
      <c r="K1167" s="246">
        <v>0</v>
      </c>
      <c r="L1167" s="246">
        <v>0</v>
      </c>
      <c r="M1167" s="246">
        <f t="shared" si="273"/>
        <v>0</v>
      </c>
      <c r="N1167" s="246">
        <v>0</v>
      </c>
      <c r="O1167" s="246">
        <v>0</v>
      </c>
      <c r="P1167" s="246">
        <v>0</v>
      </c>
      <c r="Q1167" s="246">
        <v>0</v>
      </c>
      <c r="R1167" s="246">
        <v>0</v>
      </c>
      <c r="S1167" s="246">
        <v>0</v>
      </c>
      <c r="T1167" s="246">
        <v>0</v>
      </c>
      <c r="U1167" s="246">
        <v>0</v>
      </c>
      <c r="V1167" s="246">
        <v>0</v>
      </c>
      <c r="W1167" s="246">
        <v>0</v>
      </c>
      <c r="X1167" s="246">
        <v>0</v>
      </c>
      <c r="Y1167" s="246">
        <f t="shared" si="274"/>
        <v>2294965.6</v>
      </c>
      <c r="Z1167" s="247"/>
      <c r="AA1167" s="248">
        <v>6905.36</v>
      </c>
      <c r="AB1167" s="249"/>
      <c r="AC1167" s="250">
        <v>0</v>
      </c>
      <c r="AD1167" s="248">
        <v>0</v>
      </c>
      <c r="AE1167" s="248">
        <v>0</v>
      </c>
      <c r="AF1167" s="251"/>
      <c r="AG1167" s="250">
        <f t="shared" si="275"/>
        <v>6905.36</v>
      </c>
      <c r="AH1167" s="252" t="s">
        <v>1243</v>
      </c>
      <c r="AI1167" s="252"/>
      <c r="AJ1167" s="239"/>
      <c r="AK1167" s="252"/>
      <c r="AL1167" s="252"/>
      <c r="AM1167" s="239"/>
      <c r="AN1167" s="239">
        <v>0</v>
      </c>
      <c r="AO1167" s="239">
        <v>0</v>
      </c>
      <c r="AP1167" s="239">
        <v>0</v>
      </c>
      <c r="AQ1167" s="239">
        <v>0</v>
      </c>
      <c r="AR1167" s="239">
        <v>0</v>
      </c>
      <c r="AS1167" s="239">
        <f t="shared" si="276"/>
        <v>0</v>
      </c>
      <c r="AT1167" s="239"/>
      <c r="AU1167" s="239">
        <v>0</v>
      </c>
      <c r="AV1167" s="239"/>
      <c r="AW1167" s="239"/>
      <c r="AX1167" s="239"/>
      <c r="AY1167" s="239"/>
      <c r="AZ1167" s="239">
        <v>0</v>
      </c>
      <c r="BA1167" s="239">
        <f t="shared" si="277"/>
        <v>0</v>
      </c>
      <c r="BB1167" s="239"/>
      <c r="BC1167" s="239"/>
      <c r="BD1167" s="239"/>
      <c r="BE1167" s="239"/>
      <c r="BF1167" s="239"/>
      <c r="BG1167" s="239"/>
      <c r="BH1167" s="239">
        <f t="shared" si="278"/>
        <v>0</v>
      </c>
      <c r="BI1167" s="239">
        <f t="shared" si="279"/>
        <v>2288060.2400000002</v>
      </c>
      <c r="BJ1167" s="239">
        <v>2288060.2400000002</v>
      </c>
      <c r="BK1167" s="240">
        <v>42856</v>
      </c>
      <c r="BL1167" s="253">
        <f>90000+1350000+300000+264864.91+52135.09+100000+129154.82+1905.42</f>
        <v>2288060.2399999998</v>
      </c>
      <c r="BM1167" s="47">
        <v>0</v>
      </c>
      <c r="BN1167" s="9"/>
      <c r="BO1167" s="9"/>
      <c r="BP1167" s="9"/>
      <c r="BQ1167" s="9"/>
      <c r="BR1167" s="9"/>
      <c r="BS1167" s="9"/>
      <c r="BT1167" s="9"/>
      <c r="BU1167" s="9"/>
      <c r="BV1167" s="9"/>
      <c r="BW1167" s="9"/>
    </row>
    <row r="1168" spans="1:75" ht="18" hidden="1" customHeight="1" outlineLevel="2" x14ac:dyDescent="0.25">
      <c r="A1168" s="242" t="s">
        <v>1237</v>
      </c>
      <c r="B1168" s="243" t="s">
        <v>1238</v>
      </c>
      <c r="C1168" s="244">
        <v>2017</v>
      </c>
      <c r="D1168" s="245" t="s">
        <v>83</v>
      </c>
      <c r="E1168" s="246">
        <v>1711770.27</v>
      </c>
      <c r="F1168" s="246">
        <f>583195.33+110000+280000</f>
        <v>973195.33</v>
      </c>
      <c r="G1168" s="246">
        <v>0</v>
      </c>
      <c r="H1168" s="246">
        <v>0</v>
      </c>
      <c r="I1168" s="246">
        <v>0</v>
      </c>
      <c r="J1168" s="246">
        <v>0</v>
      </c>
      <c r="K1168" s="246">
        <v>0</v>
      </c>
      <c r="L1168" s="246">
        <v>0</v>
      </c>
      <c r="M1168" s="246">
        <f t="shared" si="273"/>
        <v>0</v>
      </c>
      <c r="N1168" s="246">
        <v>0</v>
      </c>
      <c r="O1168" s="246">
        <v>0</v>
      </c>
      <c r="P1168" s="246">
        <v>0</v>
      </c>
      <c r="Q1168" s="246">
        <v>0</v>
      </c>
      <c r="R1168" s="246">
        <v>0</v>
      </c>
      <c r="S1168" s="246">
        <v>0</v>
      </c>
      <c r="T1168" s="246">
        <v>0</v>
      </c>
      <c r="U1168" s="246">
        <v>0</v>
      </c>
      <c r="V1168" s="246">
        <v>0</v>
      </c>
      <c r="W1168" s="246">
        <v>0</v>
      </c>
      <c r="X1168" s="246">
        <v>0</v>
      </c>
      <c r="Y1168" s="246">
        <f t="shared" si="274"/>
        <v>2684965.6</v>
      </c>
      <c r="Z1168" s="247"/>
      <c r="AA1168" s="248">
        <f>10042-2135.87</f>
        <v>7906.13</v>
      </c>
      <c r="AB1168" s="249"/>
      <c r="AC1168" s="250">
        <v>0</v>
      </c>
      <c r="AD1168" s="248">
        <v>0</v>
      </c>
      <c r="AE1168" s="248">
        <v>0</v>
      </c>
      <c r="AF1168" s="251"/>
      <c r="AG1168" s="250">
        <f t="shared" si="275"/>
        <v>7906.13</v>
      </c>
      <c r="AH1168" s="252" t="s">
        <v>1244</v>
      </c>
      <c r="AI1168" s="252"/>
      <c r="AJ1168" s="239"/>
      <c r="AK1168" s="252"/>
      <c r="AL1168" s="252"/>
      <c r="AM1168" s="239"/>
      <c r="AN1168" s="239">
        <v>0</v>
      </c>
      <c r="AO1168" s="239">
        <v>0</v>
      </c>
      <c r="AP1168" s="239">
        <v>0</v>
      </c>
      <c r="AQ1168" s="239">
        <v>0</v>
      </c>
      <c r="AR1168" s="239">
        <v>0</v>
      </c>
      <c r="AS1168" s="239">
        <f t="shared" si="276"/>
        <v>0</v>
      </c>
      <c r="AT1168" s="239"/>
      <c r="AU1168" s="239">
        <v>0</v>
      </c>
      <c r="AV1168" s="239"/>
      <c r="AW1168" s="239"/>
      <c r="AX1168" s="239"/>
      <c r="AY1168" s="239"/>
      <c r="AZ1168" s="239">
        <v>0</v>
      </c>
      <c r="BA1168" s="239">
        <f t="shared" si="277"/>
        <v>0</v>
      </c>
      <c r="BB1168" s="239"/>
      <c r="BC1168" s="239"/>
      <c r="BD1168" s="239"/>
      <c r="BE1168" s="239"/>
      <c r="BF1168" s="239"/>
      <c r="BG1168" s="239"/>
      <c r="BH1168" s="239">
        <f t="shared" si="278"/>
        <v>0</v>
      </c>
      <c r="BI1168" s="239">
        <f t="shared" si="279"/>
        <v>2677059.4700000002</v>
      </c>
      <c r="BJ1168" s="239">
        <v>2287059.4700000002</v>
      </c>
      <c r="BK1168" s="240">
        <v>42887</v>
      </c>
      <c r="BL1168" s="253">
        <f>570845.18+700000+347000+83883.09+583195.33+332921.58+2135.87+57078.42</f>
        <v>2677059.4700000002</v>
      </c>
      <c r="BM1168" s="47">
        <v>0</v>
      </c>
      <c r="BN1168" s="9"/>
      <c r="BO1168" s="9"/>
      <c r="BP1168" s="9"/>
      <c r="BQ1168" s="9"/>
      <c r="BR1168" s="9"/>
      <c r="BS1168" s="9"/>
      <c r="BT1168" s="9"/>
      <c r="BU1168" s="9"/>
      <c r="BV1168" s="9"/>
      <c r="BW1168" s="9"/>
    </row>
    <row r="1169" spans="1:75" ht="18" hidden="1" customHeight="1" outlineLevel="2" x14ac:dyDescent="0.25">
      <c r="A1169" s="242" t="s">
        <v>1237</v>
      </c>
      <c r="B1169" s="243" t="s">
        <v>1238</v>
      </c>
      <c r="C1169" s="244">
        <v>2017</v>
      </c>
      <c r="D1169" s="245" t="s">
        <v>84</v>
      </c>
      <c r="E1169" s="246">
        <v>1711770.27</v>
      </c>
      <c r="F1169" s="246">
        <v>583195.32999999996</v>
      </c>
      <c r="G1169" s="246">
        <v>0</v>
      </c>
      <c r="H1169" s="246">
        <v>0</v>
      </c>
      <c r="I1169" s="246">
        <v>0</v>
      </c>
      <c r="J1169" s="246">
        <v>0</v>
      </c>
      <c r="K1169" s="246">
        <v>0</v>
      </c>
      <c r="L1169" s="246">
        <v>0</v>
      </c>
      <c r="M1169" s="246">
        <f t="shared" si="273"/>
        <v>0</v>
      </c>
      <c r="N1169" s="246">
        <v>0</v>
      </c>
      <c r="O1169" s="246">
        <v>0</v>
      </c>
      <c r="P1169" s="246">
        <v>0</v>
      </c>
      <c r="Q1169" s="246">
        <v>0</v>
      </c>
      <c r="R1169" s="246">
        <v>0</v>
      </c>
      <c r="S1169" s="246">
        <v>0</v>
      </c>
      <c r="T1169" s="246">
        <v>0</v>
      </c>
      <c r="U1169" s="246">
        <v>0</v>
      </c>
      <c r="V1169" s="246">
        <v>0</v>
      </c>
      <c r="W1169" s="246">
        <v>0</v>
      </c>
      <c r="X1169" s="246">
        <v>0</v>
      </c>
      <c r="Y1169" s="246">
        <f t="shared" si="274"/>
        <v>2294965.6</v>
      </c>
      <c r="Z1169" s="247"/>
      <c r="AA1169" s="248">
        <v>7586.32</v>
      </c>
      <c r="AB1169" s="249"/>
      <c r="AC1169" s="250">
        <v>0</v>
      </c>
      <c r="AD1169" s="248">
        <v>0</v>
      </c>
      <c r="AE1169" s="248">
        <v>0</v>
      </c>
      <c r="AF1169" s="251"/>
      <c r="AG1169" s="250">
        <f t="shared" si="275"/>
        <v>7586.32</v>
      </c>
      <c r="AH1169" s="252" t="s">
        <v>1245</v>
      </c>
      <c r="AI1169" s="252"/>
      <c r="AJ1169" s="239"/>
      <c r="AK1169" s="252"/>
      <c r="AL1169" s="252"/>
      <c r="AM1169" s="239"/>
      <c r="AN1169" s="239">
        <v>0</v>
      </c>
      <c r="AO1169" s="239">
        <v>0</v>
      </c>
      <c r="AP1169" s="239">
        <v>0</v>
      </c>
      <c r="AQ1169" s="239">
        <v>0</v>
      </c>
      <c r="AR1169" s="239">
        <v>0</v>
      </c>
      <c r="AS1169" s="239">
        <f t="shared" si="276"/>
        <v>0</v>
      </c>
      <c r="AT1169" s="239"/>
      <c r="AU1169" s="239">
        <v>0</v>
      </c>
      <c r="AV1169" s="239"/>
      <c r="AW1169" s="239"/>
      <c r="AX1169" s="239"/>
      <c r="AY1169" s="239"/>
      <c r="AZ1169" s="239">
        <v>0</v>
      </c>
      <c r="BA1169" s="239">
        <f t="shared" si="277"/>
        <v>0</v>
      </c>
      <c r="BB1169" s="239"/>
      <c r="BC1169" s="239"/>
      <c r="BD1169" s="239"/>
      <c r="BE1169" s="239"/>
      <c r="BF1169" s="239"/>
      <c r="BG1169" s="239"/>
      <c r="BH1169" s="239">
        <f t="shared" si="278"/>
        <v>0</v>
      </c>
      <c r="BI1169" s="239">
        <f t="shared" si="279"/>
        <v>2287379.2800000003</v>
      </c>
      <c r="BJ1169" s="239">
        <v>2287379.2799999998</v>
      </c>
      <c r="BK1169" s="240">
        <v>42917</v>
      </c>
      <c r="BL1169" s="253">
        <f>500000+130000+384000+687728.27+583195.33+2455.68</f>
        <v>2287379.2800000003</v>
      </c>
      <c r="BM1169" s="47">
        <v>0</v>
      </c>
      <c r="BN1169" s="9"/>
      <c r="BO1169" s="9"/>
      <c r="BP1169" s="9"/>
      <c r="BQ1169" s="9"/>
      <c r="BR1169" s="9"/>
      <c r="BS1169" s="9"/>
      <c r="BT1169" s="9"/>
      <c r="BU1169" s="9"/>
      <c r="BV1169" s="9"/>
      <c r="BW1169" s="9"/>
    </row>
    <row r="1170" spans="1:75" ht="18" hidden="1" customHeight="1" outlineLevel="2" x14ac:dyDescent="0.25">
      <c r="A1170" s="242" t="s">
        <v>1237</v>
      </c>
      <c r="B1170" s="243" t="s">
        <v>1238</v>
      </c>
      <c r="C1170" s="244">
        <v>2017</v>
      </c>
      <c r="D1170" s="245" t="s">
        <v>86</v>
      </c>
      <c r="E1170" s="246">
        <v>1711770.27</v>
      </c>
      <c r="F1170" s="246">
        <v>583195.32999999996</v>
      </c>
      <c r="G1170" s="246">
        <v>0</v>
      </c>
      <c r="H1170" s="246">
        <v>0</v>
      </c>
      <c r="I1170" s="246">
        <v>0</v>
      </c>
      <c r="J1170" s="246">
        <v>0</v>
      </c>
      <c r="K1170" s="246">
        <v>0</v>
      </c>
      <c r="L1170" s="246">
        <v>0</v>
      </c>
      <c r="M1170" s="246">
        <f t="shared" si="273"/>
        <v>0</v>
      </c>
      <c r="N1170" s="246">
        <v>0</v>
      </c>
      <c r="O1170" s="246">
        <v>0</v>
      </c>
      <c r="P1170" s="246">
        <v>0</v>
      </c>
      <c r="Q1170" s="246">
        <v>0</v>
      </c>
      <c r="R1170" s="246">
        <v>0</v>
      </c>
      <c r="S1170" s="246">
        <v>0</v>
      </c>
      <c r="T1170" s="246">
        <v>0</v>
      </c>
      <c r="U1170" s="246">
        <v>0</v>
      </c>
      <c r="V1170" s="246">
        <v>0</v>
      </c>
      <c r="W1170" s="246">
        <v>0</v>
      </c>
      <c r="X1170" s="246">
        <v>0</v>
      </c>
      <c r="Y1170" s="246">
        <f t="shared" si="274"/>
        <v>2294965.6</v>
      </c>
      <c r="Z1170" s="247"/>
      <c r="AA1170" s="248">
        <v>8730.3799999999992</v>
      </c>
      <c r="AB1170" s="249"/>
      <c r="AC1170" s="250">
        <v>0</v>
      </c>
      <c r="AD1170" s="248">
        <v>0</v>
      </c>
      <c r="AE1170" s="248">
        <v>0</v>
      </c>
      <c r="AF1170" s="251"/>
      <c r="AG1170" s="250">
        <f t="shared" si="275"/>
        <v>8730.3799999999992</v>
      </c>
      <c r="AH1170" s="252" t="s">
        <v>1246</v>
      </c>
      <c r="AI1170" s="252"/>
      <c r="AJ1170" s="239"/>
      <c r="AK1170" s="252"/>
      <c r="AL1170" s="252"/>
      <c r="AM1170" s="239"/>
      <c r="AN1170" s="239">
        <v>0</v>
      </c>
      <c r="AO1170" s="239">
        <v>0</v>
      </c>
      <c r="AP1170" s="239">
        <v>0</v>
      </c>
      <c r="AQ1170" s="239">
        <v>0</v>
      </c>
      <c r="AR1170" s="239">
        <v>0</v>
      </c>
      <c r="AS1170" s="239">
        <f t="shared" si="276"/>
        <v>0</v>
      </c>
      <c r="AT1170" s="239"/>
      <c r="AU1170" s="239">
        <v>0</v>
      </c>
      <c r="AV1170" s="239"/>
      <c r="AW1170" s="239"/>
      <c r="AX1170" s="239"/>
      <c r="AY1170" s="239"/>
      <c r="AZ1170" s="239">
        <v>0</v>
      </c>
      <c r="BA1170" s="239">
        <f t="shared" si="277"/>
        <v>0</v>
      </c>
      <c r="BB1170" s="239"/>
      <c r="BC1170" s="239"/>
      <c r="BD1170" s="239"/>
      <c r="BE1170" s="239"/>
      <c r="BF1170" s="239"/>
      <c r="BG1170" s="239"/>
      <c r="BH1170" s="239">
        <f t="shared" si="278"/>
        <v>0</v>
      </c>
      <c r="BI1170" s="239">
        <f t="shared" si="279"/>
        <v>2286235.2200000002</v>
      </c>
      <c r="BJ1170" s="239">
        <v>2286235.2200000002</v>
      </c>
      <c r="BK1170" s="240">
        <v>42948</v>
      </c>
      <c r="BL1170" s="253">
        <f>1074159.21+384000+130000+114880.68+583195.33</f>
        <v>2286235.2199999997</v>
      </c>
      <c r="BM1170" s="47">
        <v>0</v>
      </c>
      <c r="BN1170" s="9"/>
      <c r="BO1170" s="9"/>
      <c r="BP1170" s="9"/>
      <c r="BQ1170" s="9"/>
      <c r="BR1170" s="9"/>
      <c r="BS1170" s="9"/>
      <c r="BT1170" s="9"/>
      <c r="BU1170" s="9"/>
      <c r="BV1170" s="9"/>
      <c r="BW1170" s="9"/>
    </row>
    <row r="1171" spans="1:75" ht="18" hidden="1" customHeight="1" outlineLevel="2" x14ac:dyDescent="0.25">
      <c r="A1171" s="242" t="s">
        <v>1237</v>
      </c>
      <c r="B1171" s="243" t="s">
        <v>1238</v>
      </c>
      <c r="C1171" s="244">
        <v>2017</v>
      </c>
      <c r="D1171" s="245" t="s">
        <v>88</v>
      </c>
      <c r="E1171" s="246">
        <v>1711770.27</v>
      </c>
      <c r="F1171" s="246">
        <v>583195.32999999996</v>
      </c>
      <c r="G1171" s="246">
        <v>0</v>
      </c>
      <c r="H1171" s="246">
        <v>0</v>
      </c>
      <c r="I1171" s="246">
        <v>0</v>
      </c>
      <c r="J1171" s="246">
        <v>0</v>
      </c>
      <c r="K1171" s="246">
        <v>0</v>
      </c>
      <c r="L1171" s="246">
        <v>0</v>
      </c>
      <c r="M1171" s="246">
        <f t="shared" si="273"/>
        <v>0</v>
      </c>
      <c r="N1171" s="246">
        <v>0</v>
      </c>
      <c r="O1171" s="246">
        <v>0</v>
      </c>
      <c r="P1171" s="246">
        <v>0</v>
      </c>
      <c r="Q1171" s="246">
        <v>0</v>
      </c>
      <c r="R1171" s="246">
        <v>0</v>
      </c>
      <c r="S1171" s="246">
        <v>0</v>
      </c>
      <c r="T1171" s="246">
        <v>0</v>
      </c>
      <c r="U1171" s="246">
        <v>0</v>
      </c>
      <c r="V1171" s="246">
        <v>0</v>
      </c>
      <c r="W1171" s="246">
        <v>0</v>
      </c>
      <c r="X1171" s="246">
        <v>0</v>
      </c>
      <c r="Y1171" s="246">
        <f t="shared" si="274"/>
        <v>2294965.6</v>
      </c>
      <c r="Z1171" s="247"/>
      <c r="AA1171" s="248">
        <v>8730.3799999999992</v>
      </c>
      <c r="AB1171" s="249"/>
      <c r="AC1171" s="250">
        <v>0</v>
      </c>
      <c r="AD1171" s="248">
        <v>0</v>
      </c>
      <c r="AE1171" s="248">
        <v>0</v>
      </c>
      <c r="AF1171" s="251"/>
      <c r="AG1171" s="250">
        <f t="shared" si="275"/>
        <v>8730.3799999999992</v>
      </c>
      <c r="AH1171" s="252" t="s">
        <v>1247</v>
      </c>
      <c r="AI1171" s="252"/>
      <c r="AJ1171" s="239"/>
      <c r="AK1171" s="252"/>
      <c r="AL1171" s="252"/>
      <c r="AM1171" s="239"/>
      <c r="AN1171" s="239">
        <v>0</v>
      </c>
      <c r="AO1171" s="239">
        <v>0</v>
      </c>
      <c r="AP1171" s="239">
        <v>0</v>
      </c>
      <c r="AQ1171" s="239">
        <v>0</v>
      </c>
      <c r="AR1171" s="239">
        <v>0</v>
      </c>
      <c r="AS1171" s="239">
        <f t="shared" si="276"/>
        <v>0</v>
      </c>
      <c r="AT1171" s="239"/>
      <c r="AU1171" s="239">
        <v>0</v>
      </c>
      <c r="AV1171" s="239"/>
      <c r="AW1171" s="239"/>
      <c r="AX1171" s="239"/>
      <c r="AY1171" s="239"/>
      <c r="AZ1171" s="239">
        <v>0</v>
      </c>
      <c r="BA1171" s="239">
        <f t="shared" si="277"/>
        <v>0</v>
      </c>
      <c r="BB1171" s="239"/>
      <c r="BC1171" s="239"/>
      <c r="BD1171" s="239"/>
      <c r="BE1171" s="239"/>
      <c r="BF1171" s="239"/>
      <c r="BG1171" s="239"/>
      <c r="BH1171" s="239">
        <f t="shared" si="278"/>
        <v>0</v>
      </c>
      <c r="BI1171" s="239">
        <f t="shared" si="279"/>
        <v>2286235.2200000002</v>
      </c>
      <c r="BJ1171" s="239">
        <v>2286235.2200000002</v>
      </c>
      <c r="BK1171" s="240">
        <v>42979</v>
      </c>
      <c r="BL1171" s="253">
        <f>851923.99+384000+467115.9+28523+130000+424672.33</f>
        <v>2286235.2200000002</v>
      </c>
      <c r="BM1171" s="47">
        <v>0</v>
      </c>
      <c r="BN1171" s="9"/>
      <c r="BO1171" s="9"/>
      <c r="BP1171" s="9"/>
      <c r="BQ1171" s="9"/>
      <c r="BR1171" s="9"/>
      <c r="BS1171" s="9"/>
      <c r="BT1171" s="9"/>
      <c r="BU1171" s="9"/>
      <c r="BV1171" s="9"/>
      <c r="BW1171" s="9"/>
    </row>
    <row r="1172" spans="1:75" ht="18" hidden="1" customHeight="1" outlineLevel="2" x14ac:dyDescent="0.25">
      <c r="A1172" s="242" t="s">
        <v>1237</v>
      </c>
      <c r="B1172" s="243" t="s">
        <v>1238</v>
      </c>
      <c r="C1172" s="244">
        <v>2017</v>
      </c>
      <c r="D1172" s="245" t="s">
        <v>89</v>
      </c>
      <c r="E1172" s="246">
        <v>1711770.27</v>
      </c>
      <c r="F1172" s="246">
        <v>583195.32999999996</v>
      </c>
      <c r="G1172" s="246">
        <v>0</v>
      </c>
      <c r="H1172" s="246">
        <v>0</v>
      </c>
      <c r="I1172" s="246">
        <v>0</v>
      </c>
      <c r="J1172" s="246">
        <v>0</v>
      </c>
      <c r="K1172" s="246">
        <v>0</v>
      </c>
      <c r="L1172" s="246">
        <v>0</v>
      </c>
      <c r="M1172" s="246">
        <f t="shared" si="273"/>
        <v>0</v>
      </c>
      <c r="N1172" s="246">
        <v>0</v>
      </c>
      <c r="O1172" s="246">
        <v>0</v>
      </c>
      <c r="P1172" s="246">
        <v>0</v>
      </c>
      <c r="Q1172" s="246">
        <v>0</v>
      </c>
      <c r="R1172" s="246">
        <v>0</v>
      </c>
      <c r="S1172" s="246">
        <v>0</v>
      </c>
      <c r="T1172" s="246">
        <v>0</v>
      </c>
      <c r="U1172" s="246">
        <v>0</v>
      </c>
      <c r="V1172" s="246">
        <v>0</v>
      </c>
      <c r="W1172" s="246">
        <v>0</v>
      </c>
      <c r="X1172" s="246">
        <v>0</v>
      </c>
      <c r="Y1172" s="246">
        <f t="shared" si="274"/>
        <v>2294965.6</v>
      </c>
      <c r="Z1172" s="247"/>
      <c r="AA1172" s="248">
        <v>9459.4</v>
      </c>
      <c r="AB1172" s="249"/>
      <c r="AC1172" s="250">
        <v>0</v>
      </c>
      <c r="AD1172" s="248">
        <v>0</v>
      </c>
      <c r="AE1172" s="248">
        <v>0</v>
      </c>
      <c r="AF1172" s="251"/>
      <c r="AG1172" s="250">
        <f t="shared" si="275"/>
        <v>9459.4</v>
      </c>
      <c r="AH1172" s="252" t="s">
        <v>1248</v>
      </c>
      <c r="AI1172" s="252"/>
      <c r="AJ1172" s="239"/>
      <c r="AK1172" s="252"/>
      <c r="AL1172" s="252"/>
      <c r="AM1172" s="239"/>
      <c r="AN1172" s="239">
        <v>0</v>
      </c>
      <c r="AO1172" s="239">
        <v>0</v>
      </c>
      <c r="AP1172" s="239">
        <v>0</v>
      </c>
      <c r="AQ1172" s="239">
        <v>0</v>
      </c>
      <c r="AR1172" s="239">
        <v>0</v>
      </c>
      <c r="AS1172" s="239">
        <f t="shared" si="276"/>
        <v>0</v>
      </c>
      <c r="AT1172" s="239"/>
      <c r="AU1172" s="239">
        <v>0</v>
      </c>
      <c r="AV1172" s="239"/>
      <c r="AW1172" s="239"/>
      <c r="AX1172" s="239"/>
      <c r="AY1172" s="239"/>
      <c r="AZ1172" s="239">
        <v>0</v>
      </c>
      <c r="BA1172" s="239">
        <f t="shared" si="277"/>
        <v>0</v>
      </c>
      <c r="BB1172" s="239"/>
      <c r="BC1172" s="239"/>
      <c r="BD1172" s="239"/>
      <c r="BE1172" s="239"/>
      <c r="BF1172" s="239"/>
      <c r="BG1172" s="239"/>
      <c r="BH1172" s="239">
        <f t="shared" si="278"/>
        <v>0</v>
      </c>
      <c r="BI1172" s="239">
        <f t="shared" si="279"/>
        <v>2285506.2000000002</v>
      </c>
      <c r="BJ1172" s="239">
        <v>2285506.2000000002</v>
      </c>
      <c r="BK1172" s="240">
        <v>43009</v>
      </c>
      <c r="BL1172" s="253">
        <f>1125327.67+384000+43000+130000+19983.2+583195.33</f>
        <v>2285506.1999999997</v>
      </c>
      <c r="BM1172" s="47">
        <v>0</v>
      </c>
      <c r="BN1172" s="9"/>
      <c r="BO1172" s="9"/>
      <c r="BP1172" s="9"/>
      <c r="BQ1172" s="9"/>
      <c r="BR1172" s="9"/>
      <c r="BS1172" s="9"/>
      <c r="BT1172" s="9"/>
      <c r="BU1172" s="9"/>
      <c r="BV1172" s="9"/>
      <c r="BW1172" s="9"/>
    </row>
    <row r="1173" spans="1:75" ht="18" hidden="1" customHeight="1" outlineLevel="2" x14ac:dyDescent="0.25">
      <c r="A1173" s="242" t="s">
        <v>1237</v>
      </c>
      <c r="B1173" s="243" t="s">
        <v>1238</v>
      </c>
      <c r="C1173" s="244">
        <v>2017</v>
      </c>
      <c r="D1173" s="245" t="s">
        <v>90</v>
      </c>
      <c r="E1173" s="246">
        <v>1711770.27</v>
      </c>
      <c r="F1173" s="246">
        <v>583195.32999999996</v>
      </c>
      <c r="G1173" s="246">
        <v>0</v>
      </c>
      <c r="H1173" s="246">
        <v>0</v>
      </c>
      <c r="I1173" s="246">
        <v>0</v>
      </c>
      <c r="J1173" s="246">
        <v>0</v>
      </c>
      <c r="K1173" s="246">
        <v>0</v>
      </c>
      <c r="L1173" s="246">
        <v>0</v>
      </c>
      <c r="M1173" s="246">
        <f t="shared" si="273"/>
        <v>0</v>
      </c>
      <c r="N1173" s="246">
        <v>0</v>
      </c>
      <c r="O1173" s="246">
        <v>0</v>
      </c>
      <c r="P1173" s="246">
        <v>0</v>
      </c>
      <c r="Q1173" s="246">
        <v>0</v>
      </c>
      <c r="R1173" s="246">
        <v>0</v>
      </c>
      <c r="S1173" s="246">
        <v>0</v>
      </c>
      <c r="T1173" s="246">
        <v>0</v>
      </c>
      <c r="U1173" s="246">
        <v>0</v>
      </c>
      <c r="V1173" s="246">
        <v>0</v>
      </c>
      <c r="W1173" s="246">
        <v>0</v>
      </c>
      <c r="X1173" s="246">
        <v>0</v>
      </c>
      <c r="Y1173" s="246">
        <f t="shared" si="274"/>
        <v>2294965.6</v>
      </c>
      <c r="Z1173" s="247"/>
      <c r="AA1173" s="248">
        <v>10042</v>
      </c>
      <c r="AB1173" s="249"/>
      <c r="AC1173" s="250">
        <v>0</v>
      </c>
      <c r="AD1173" s="248">
        <v>26875.18</v>
      </c>
      <c r="AE1173" s="248">
        <v>0</v>
      </c>
      <c r="AF1173" s="251"/>
      <c r="AG1173" s="250">
        <f t="shared" ref="AG1173:AG1185" si="280">AA1173+AC1173+AD1173+AE1173</f>
        <v>36917.18</v>
      </c>
      <c r="AH1173" s="252" t="s">
        <v>1249</v>
      </c>
      <c r="AI1173" s="252"/>
      <c r="AJ1173" s="239"/>
      <c r="AK1173" s="252" t="s">
        <v>1250</v>
      </c>
      <c r="AL1173" s="252"/>
      <c r="AM1173" s="239"/>
      <c r="AN1173" s="239">
        <v>0</v>
      </c>
      <c r="AO1173" s="239">
        <v>0</v>
      </c>
      <c r="AP1173" s="239">
        <v>0</v>
      </c>
      <c r="AQ1173" s="239">
        <v>0</v>
      </c>
      <c r="AR1173" s="239">
        <v>0</v>
      </c>
      <c r="AS1173" s="239">
        <f t="shared" si="276"/>
        <v>0</v>
      </c>
      <c r="AT1173" s="239"/>
      <c r="AU1173" s="239">
        <v>0</v>
      </c>
      <c r="AV1173" s="239"/>
      <c r="AW1173" s="239"/>
      <c r="AX1173" s="239"/>
      <c r="AY1173" s="239"/>
      <c r="AZ1173" s="239">
        <v>0</v>
      </c>
      <c r="BA1173" s="239">
        <f t="shared" si="277"/>
        <v>0</v>
      </c>
      <c r="BB1173" s="239"/>
      <c r="BC1173" s="239"/>
      <c r="BD1173" s="239"/>
      <c r="BE1173" s="239"/>
      <c r="BF1173" s="239"/>
      <c r="BG1173" s="239"/>
      <c r="BH1173" s="239">
        <f t="shared" si="278"/>
        <v>0</v>
      </c>
      <c r="BI1173" s="239">
        <f t="shared" si="279"/>
        <v>2258048.42</v>
      </c>
      <c r="BJ1173" s="239">
        <v>2258048.42</v>
      </c>
      <c r="BK1173" s="240">
        <v>43040</v>
      </c>
      <c r="BL1173" s="253">
        <f>946821.47+140000+498000+90031.62+583195.33</f>
        <v>2258048.42</v>
      </c>
      <c r="BM1173" s="47">
        <v>0</v>
      </c>
      <c r="BN1173" s="9"/>
      <c r="BO1173" s="9"/>
      <c r="BP1173" s="9"/>
      <c r="BQ1173" s="9"/>
      <c r="BR1173" s="9"/>
      <c r="BS1173" s="9"/>
      <c r="BT1173" s="9"/>
      <c r="BU1173" s="9"/>
      <c r="BV1173" s="9"/>
      <c r="BW1173" s="9"/>
    </row>
    <row r="1174" spans="1:75" ht="18" hidden="1" customHeight="1" outlineLevel="2" x14ac:dyDescent="0.25">
      <c r="A1174" s="242" t="s">
        <v>1237</v>
      </c>
      <c r="B1174" s="243" t="s">
        <v>1238</v>
      </c>
      <c r="C1174" s="244">
        <v>2017</v>
      </c>
      <c r="D1174" s="245" t="s">
        <v>93</v>
      </c>
      <c r="E1174" s="246">
        <v>1711770.27</v>
      </c>
      <c r="F1174" s="246">
        <v>583195.32999999996</v>
      </c>
      <c r="G1174" s="246">
        <v>0</v>
      </c>
      <c r="H1174" s="246">
        <v>0</v>
      </c>
      <c r="I1174" s="246">
        <v>0</v>
      </c>
      <c r="J1174" s="246">
        <v>0</v>
      </c>
      <c r="K1174" s="246">
        <v>0</v>
      </c>
      <c r="L1174" s="246">
        <v>0</v>
      </c>
      <c r="M1174" s="246">
        <f t="shared" si="273"/>
        <v>0</v>
      </c>
      <c r="N1174" s="246">
        <v>0</v>
      </c>
      <c r="O1174" s="246">
        <v>0</v>
      </c>
      <c r="P1174" s="246">
        <v>0</v>
      </c>
      <c r="Q1174" s="246">
        <v>0</v>
      </c>
      <c r="R1174" s="246">
        <v>0</v>
      </c>
      <c r="S1174" s="246">
        <v>0</v>
      </c>
      <c r="T1174" s="246">
        <v>0</v>
      </c>
      <c r="U1174" s="246">
        <v>0</v>
      </c>
      <c r="V1174" s="246">
        <v>0</v>
      </c>
      <c r="W1174" s="246">
        <v>0</v>
      </c>
      <c r="X1174" s="246">
        <v>0</v>
      </c>
      <c r="Y1174" s="246">
        <f t="shared" si="274"/>
        <v>2294965.6</v>
      </c>
      <c r="Z1174" s="247"/>
      <c r="AA1174" s="248">
        <v>6006.9</v>
      </c>
      <c r="AB1174" s="249"/>
      <c r="AC1174" s="250">
        <v>0</v>
      </c>
      <c r="AD1174" s="248">
        <f>29326.57+35540.29</f>
        <v>64866.86</v>
      </c>
      <c r="AE1174" s="248">
        <v>0</v>
      </c>
      <c r="AF1174" s="251"/>
      <c r="AG1174" s="250">
        <f t="shared" si="280"/>
        <v>70873.759999999995</v>
      </c>
      <c r="AH1174" s="252" t="s">
        <v>1251</v>
      </c>
      <c r="AI1174" s="252"/>
      <c r="AJ1174" s="239"/>
      <c r="AK1174" s="252" t="s">
        <v>1252</v>
      </c>
      <c r="AL1174" s="252"/>
      <c r="AM1174" s="239"/>
      <c r="AN1174" s="239">
        <v>0</v>
      </c>
      <c r="AO1174" s="239">
        <v>0</v>
      </c>
      <c r="AP1174" s="239">
        <v>0</v>
      </c>
      <c r="AQ1174" s="239">
        <v>0</v>
      </c>
      <c r="AR1174" s="239">
        <v>0</v>
      </c>
      <c r="AS1174" s="239">
        <f t="shared" si="276"/>
        <v>0</v>
      </c>
      <c r="AT1174" s="239"/>
      <c r="AU1174" s="239">
        <v>0</v>
      </c>
      <c r="AV1174" s="239"/>
      <c r="AW1174" s="239"/>
      <c r="AX1174" s="239"/>
      <c r="AY1174" s="239"/>
      <c r="AZ1174" s="239">
        <v>0</v>
      </c>
      <c r="BA1174" s="239">
        <f t="shared" si="277"/>
        <v>0</v>
      </c>
      <c r="BB1174" s="239"/>
      <c r="BC1174" s="239"/>
      <c r="BD1174" s="239"/>
      <c r="BE1174" s="239"/>
      <c r="BF1174" s="239"/>
      <c r="BG1174" s="239"/>
      <c r="BH1174" s="239">
        <f t="shared" si="278"/>
        <v>0</v>
      </c>
      <c r="BI1174" s="239">
        <f t="shared" si="279"/>
        <v>2224091.8400000003</v>
      </c>
      <c r="BJ1174" s="239">
        <v>2224091.84</v>
      </c>
      <c r="BK1174" s="240">
        <v>43070</v>
      </c>
      <c r="BL1174" s="253">
        <f>1000000+826966+397125.84</f>
        <v>2224091.84</v>
      </c>
      <c r="BM1174" s="47">
        <v>0</v>
      </c>
      <c r="BN1174" s="9"/>
      <c r="BO1174" s="9"/>
      <c r="BP1174" s="9"/>
      <c r="BQ1174" s="9"/>
      <c r="BR1174" s="9"/>
      <c r="BS1174" s="9"/>
      <c r="BT1174" s="9"/>
      <c r="BU1174" s="9"/>
      <c r="BV1174" s="9"/>
      <c r="BW1174" s="9"/>
    </row>
    <row r="1175" spans="1:75" ht="18" hidden="1" customHeight="1" outlineLevel="2" x14ac:dyDescent="0.25">
      <c r="A1175" s="242" t="s">
        <v>1237</v>
      </c>
      <c r="B1175" s="243" t="s">
        <v>1238</v>
      </c>
      <c r="C1175" s="244">
        <v>2018</v>
      </c>
      <c r="D1175" s="245" t="s">
        <v>73</v>
      </c>
      <c r="E1175" s="246">
        <v>1711770.27</v>
      </c>
      <c r="F1175" s="246">
        <v>583195.32999999996</v>
      </c>
      <c r="G1175" s="246">
        <v>0</v>
      </c>
      <c r="H1175" s="246">
        <v>0</v>
      </c>
      <c r="I1175" s="246">
        <v>0</v>
      </c>
      <c r="J1175" s="246">
        <v>0</v>
      </c>
      <c r="K1175" s="246">
        <v>0</v>
      </c>
      <c r="L1175" s="246">
        <v>0</v>
      </c>
      <c r="M1175" s="246">
        <f t="shared" si="273"/>
        <v>0</v>
      </c>
      <c r="N1175" s="246">
        <v>0</v>
      </c>
      <c r="O1175" s="246">
        <v>0</v>
      </c>
      <c r="P1175" s="246">
        <v>0</v>
      </c>
      <c r="Q1175" s="246">
        <v>0</v>
      </c>
      <c r="R1175" s="246">
        <v>0</v>
      </c>
      <c r="S1175" s="246">
        <v>0</v>
      </c>
      <c r="T1175" s="246">
        <v>0</v>
      </c>
      <c r="U1175" s="246">
        <v>0</v>
      </c>
      <c r="V1175" s="246">
        <v>0</v>
      </c>
      <c r="W1175" s="246">
        <v>0</v>
      </c>
      <c r="X1175" s="246">
        <v>0</v>
      </c>
      <c r="Y1175" s="246">
        <f t="shared" si="274"/>
        <v>2294965.6</v>
      </c>
      <c r="Z1175" s="247"/>
      <c r="AA1175" s="248">
        <v>6976.31</v>
      </c>
      <c r="AB1175" s="249"/>
      <c r="AC1175" s="250">
        <v>0</v>
      </c>
      <c r="AD1175" s="248">
        <v>33948.230000000003</v>
      </c>
      <c r="AE1175" s="248">
        <v>0</v>
      </c>
      <c r="AF1175" s="251"/>
      <c r="AG1175" s="250">
        <f t="shared" si="280"/>
        <v>40924.54</v>
      </c>
      <c r="AH1175" s="252" t="s">
        <v>1253</v>
      </c>
      <c r="AI1175" s="252"/>
      <c r="AJ1175" s="239"/>
      <c r="AK1175" s="252" t="s">
        <v>1254</v>
      </c>
      <c r="AL1175" s="252"/>
      <c r="AM1175" s="239"/>
      <c r="AN1175" s="239">
        <v>0</v>
      </c>
      <c r="AO1175" s="239">
        <v>0</v>
      </c>
      <c r="AP1175" s="239">
        <v>0</v>
      </c>
      <c r="AQ1175" s="239">
        <v>0</v>
      </c>
      <c r="AR1175" s="239">
        <v>0</v>
      </c>
      <c r="AS1175" s="239">
        <f t="shared" si="276"/>
        <v>0</v>
      </c>
      <c r="AT1175" s="239"/>
      <c r="AU1175" s="239">
        <v>0</v>
      </c>
      <c r="AV1175" s="239"/>
      <c r="AW1175" s="239"/>
      <c r="AX1175" s="239"/>
      <c r="AY1175" s="239"/>
      <c r="AZ1175" s="239">
        <v>0</v>
      </c>
      <c r="BA1175" s="239">
        <f t="shared" si="277"/>
        <v>0</v>
      </c>
      <c r="BB1175" s="239"/>
      <c r="BC1175" s="239"/>
      <c r="BD1175" s="239"/>
      <c r="BE1175" s="239"/>
      <c r="BF1175" s="239"/>
      <c r="BG1175" s="239"/>
      <c r="BH1175" s="239">
        <f t="shared" si="278"/>
        <v>0</v>
      </c>
      <c r="BI1175" s="239">
        <f t="shared" si="279"/>
        <v>2254041.06</v>
      </c>
      <c r="BJ1175" s="239">
        <v>2254041.06</v>
      </c>
      <c r="BK1175" s="240">
        <v>43101</v>
      </c>
      <c r="BL1175" s="253">
        <f>130000+636200+574041.06+9154.27+904645.73</f>
        <v>2254041.06</v>
      </c>
      <c r="BM1175" s="47">
        <v>0</v>
      </c>
      <c r="BN1175" s="9"/>
      <c r="BO1175" s="9"/>
      <c r="BP1175" s="9"/>
      <c r="BQ1175" s="9"/>
      <c r="BR1175" s="9"/>
      <c r="BS1175" s="9"/>
      <c r="BT1175" s="9"/>
      <c r="BU1175" s="9"/>
      <c r="BV1175" s="9"/>
      <c r="BW1175" s="9"/>
    </row>
    <row r="1176" spans="1:75" ht="18" hidden="1" customHeight="1" outlineLevel="2" x14ac:dyDescent="0.25">
      <c r="A1176" s="242" t="s">
        <v>1237</v>
      </c>
      <c r="B1176" s="243" t="s">
        <v>1238</v>
      </c>
      <c r="C1176" s="244">
        <v>2018</v>
      </c>
      <c r="D1176" s="245" t="s">
        <v>75</v>
      </c>
      <c r="E1176" s="246">
        <v>1711770.27</v>
      </c>
      <c r="F1176" s="246">
        <v>583195.32999999996</v>
      </c>
      <c r="G1176" s="246">
        <v>0</v>
      </c>
      <c r="H1176" s="246">
        <v>0</v>
      </c>
      <c r="I1176" s="246">
        <v>0</v>
      </c>
      <c r="J1176" s="246">
        <v>0</v>
      </c>
      <c r="K1176" s="246">
        <v>0</v>
      </c>
      <c r="L1176" s="246">
        <v>0</v>
      </c>
      <c r="M1176" s="246">
        <f t="shared" si="273"/>
        <v>0</v>
      </c>
      <c r="N1176" s="246">
        <v>0</v>
      </c>
      <c r="O1176" s="246">
        <v>0</v>
      </c>
      <c r="P1176" s="246">
        <v>0</v>
      </c>
      <c r="Q1176" s="246">
        <v>0</v>
      </c>
      <c r="R1176" s="246">
        <v>0</v>
      </c>
      <c r="S1176" s="246">
        <v>0</v>
      </c>
      <c r="T1176" s="246">
        <v>0</v>
      </c>
      <c r="U1176" s="246">
        <v>0</v>
      </c>
      <c r="V1176" s="246">
        <v>0</v>
      </c>
      <c r="W1176" s="246">
        <v>0</v>
      </c>
      <c r="X1176" s="246">
        <v>0</v>
      </c>
      <c r="Y1176" s="246">
        <f t="shared" si="274"/>
        <v>2294965.6</v>
      </c>
      <c r="Z1176" s="247"/>
      <c r="AA1176" s="248">
        <v>7904.95</v>
      </c>
      <c r="AB1176" s="249"/>
      <c r="AC1176" s="250">
        <v>0</v>
      </c>
      <c r="AD1176" s="248">
        <v>33115.07</v>
      </c>
      <c r="AE1176" s="248">
        <v>0</v>
      </c>
      <c r="AF1176" s="251"/>
      <c r="AG1176" s="250">
        <f t="shared" si="280"/>
        <v>41020.019999999997</v>
      </c>
      <c r="AH1176" s="252" t="s">
        <v>1255</v>
      </c>
      <c r="AI1176" s="252"/>
      <c r="AJ1176" s="239"/>
      <c r="AK1176" s="252" t="s">
        <v>1256</v>
      </c>
      <c r="AL1176" s="252"/>
      <c r="AM1176" s="239"/>
      <c r="AN1176" s="239">
        <v>0</v>
      </c>
      <c r="AO1176" s="239">
        <v>0</v>
      </c>
      <c r="AP1176" s="239">
        <v>0</v>
      </c>
      <c r="AQ1176" s="239">
        <v>0</v>
      </c>
      <c r="AR1176" s="239">
        <v>0</v>
      </c>
      <c r="AS1176" s="239">
        <f t="shared" si="276"/>
        <v>0</v>
      </c>
      <c r="AT1176" s="239"/>
      <c r="AU1176" s="239">
        <v>0</v>
      </c>
      <c r="AV1176" s="239"/>
      <c r="AW1176" s="239"/>
      <c r="AX1176" s="239"/>
      <c r="AY1176" s="239"/>
      <c r="AZ1176" s="239">
        <v>0</v>
      </c>
      <c r="BA1176" s="239">
        <f t="shared" si="277"/>
        <v>0</v>
      </c>
      <c r="BB1176" s="239"/>
      <c r="BC1176" s="239"/>
      <c r="BD1176" s="239"/>
      <c r="BE1176" s="239"/>
      <c r="BF1176" s="239"/>
      <c r="BG1176" s="239"/>
      <c r="BH1176" s="239">
        <f t="shared" si="278"/>
        <v>0</v>
      </c>
      <c r="BI1176" s="239">
        <f t="shared" si="279"/>
        <v>2253945.58</v>
      </c>
      <c r="BJ1176" s="239">
        <v>2253945.58</v>
      </c>
      <c r="BK1176" s="240">
        <v>43132</v>
      </c>
      <c r="BL1176" s="253">
        <f>130000+546804.67+453195.33+636200+487745.58</f>
        <v>2253945.58</v>
      </c>
      <c r="BM1176" s="47">
        <v>0</v>
      </c>
      <c r="BN1176" s="9"/>
      <c r="BO1176" s="9"/>
      <c r="BP1176" s="9"/>
      <c r="BQ1176" s="9"/>
      <c r="BR1176" s="9"/>
      <c r="BS1176" s="9"/>
      <c r="BT1176" s="9"/>
      <c r="BU1176" s="9"/>
      <c r="BV1176" s="9"/>
      <c r="BW1176" s="9"/>
    </row>
    <row r="1177" spans="1:75" ht="18" hidden="1" customHeight="1" outlineLevel="2" x14ac:dyDescent="0.25">
      <c r="A1177" s="242" t="s">
        <v>1237</v>
      </c>
      <c r="B1177" s="243" t="s">
        <v>1238</v>
      </c>
      <c r="C1177" s="244">
        <v>2018</v>
      </c>
      <c r="D1177" s="245" t="s">
        <v>77</v>
      </c>
      <c r="E1177" s="246">
        <v>1540593.243</v>
      </c>
      <c r="F1177" s="246">
        <v>524875.80000000005</v>
      </c>
      <c r="G1177" s="246">
        <v>229496.56</v>
      </c>
      <c r="H1177" s="246">
        <v>0</v>
      </c>
      <c r="I1177" s="246">
        <v>0</v>
      </c>
      <c r="J1177" s="246">
        <v>0</v>
      </c>
      <c r="K1177" s="246">
        <v>0</v>
      </c>
      <c r="L1177" s="246">
        <v>0</v>
      </c>
      <c r="M1177" s="246">
        <f t="shared" si="273"/>
        <v>0</v>
      </c>
      <c r="N1177" s="246">
        <v>0</v>
      </c>
      <c r="O1177" s="246">
        <v>0</v>
      </c>
      <c r="P1177" s="246">
        <v>0</v>
      </c>
      <c r="Q1177" s="246">
        <v>0</v>
      </c>
      <c r="R1177" s="246">
        <v>0</v>
      </c>
      <c r="S1177" s="246">
        <v>0</v>
      </c>
      <c r="T1177" s="246">
        <v>0</v>
      </c>
      <c r="U1177" s="246">
        <v>0</v>
      </c>
      <c r="V1177" s="246">
        <v>0</v>
      </c>
      <c r="W1177" s="246">
        <v>0</v>
      </c>
      <c r="X1177" s="246">
        <v>0</v>
      </c>
      <c r="Y1177" s="246">
        <f t="shared" si="274"/>
        <v>2294965.6030000001</v>
      </c>
      <c r="Z1177" s="247"/>
      <c r="AA1177" s="248">
        <v>8679.7199999999993</v>
      </c>
      <c r="AB1177" s="249"/>
      <c r="AC1177" s="250">
        <v>0</v>
      </c>
      <c r="AD1177" s="248">
        <v>33445.08</v>
      </c>
      <c r="AE1177" s="248">
        <v>0</v>
      </c>
      <c r="AF1177" s="251"/>
      <c r="AG1177" s="250">
        <f t="shared" si="280"/>
        <v>42124.800000000003</v>
      </c>
      <c r="AH1177" s="252" t="s">
        <v>1257</v>
      </c>
      <c r="AI1177" s="252"/>
      <c r="AJ1177" s="239"/>
      <c r="AK1177" s="252" t="s">
        <v>1258</v>
      </c>
      <c r="AL1177" s="252"/>
      <c r="AM1177" s="239"/>
      <c r="AN1177" s="239">
        <v>0</v>
      </c>
      <c r="AO1177" s="239">
        <v>0</v>
      </c>
      <c r="AP1177" s="239">
        <v>0</v>
      </c>
      <c r="AQ1177" s="239">
        <v>0</v>
      </c>
      <c r="AR1177" s="239">
        <v>0</v>
      </c>
      <c r="AS1177" s="239">
        <f t="shared" si="276"/>
        <v>0</v>
      </c>
      <c r="AT1177" s="239"/>
      <c r="AU1177" s="239">
        <v>0</v>
      </c>
      <c r="AV1177" s="239"/>
      <c r="AW1177" s="239"/>
      <c r="AX1177" s="239"/>
      <c r="AY1177" s="239"/>
      <c r="AZ1177" s="239">
        <v>0</v>
      </c>
      <c r="BA1177" s="239">
        <f t="shared" si="277"/>
        <v>0</v>
      </c>
      <c r="BB1177" s="239"/>
      <c r="BC1177" s="239"/>
      <c r="BD1177" s="239"/>
      <c r="BE1177" s="239"/>
      <c r="BF1177" s="239"/>
      <c r="BG1177" s="239"/>
      <c r="BH1177" s="239">
        <f t="shared" si="278"/>
        <v>0</v>
      </c>
      <c r="BI1177" s="239">
        <f t="shared" si="279"/>
        <v>2252840.8030000003</v>
      </c>
      <c r="BJ1177" s="239">
        <v>2252840.8029999998</v>
      </c>
      <c r="BK1177" s="240">
        <v>43160</v>
      </c>
      <c r="BL1177" s="253">
        <f>62254.42+130000+489339.82+140446+495754+705550+229496.56</f>
        <v>2252840.7999999998</v>
      </c>
      <c r="BM1177" s="47">
        <v>0</v>
      </c>
      <c r="BN1177" s="9"/>
      <c r="BO1177" s="9"/>
      <c r="BP1177" s="9"/>
      <c r="BQ1177" s="9"/>
      <c r="BR1177" s="9"/>
      <c r="BS1177" s="9"/>
      <c r="BT1177" s="9"/>
      <c r="BU1177" s="9"/>
      <c r="BV1177" s="9"/>
      <c r="BW1177" s="9"/>
    </row>
    <row r="1178" spans="1:75" ht="18" hidden="1" customHeight="1" outlineLevel="2" x14ac:dyDescent="0.25">
      <c r="A1178" s="242" t="s">
        <v>1237</v>
      </c>
      <c r="B1178" s="243" t="s">
        <v>1238</v>
      </c>
      <c r="C1178" s="244">
        <v>2018</v>
      </c>
      <c r="D1178" s="245" t="s">
        <v>79</v>
      </c>
      <c r="E1178" s="246">
        <v>0</v>
      </c>
      <c r="F1178" s="246">
        <v>0</v>
      </c>
      <c r="G1178" s="246">
        <v>2294965.6</v>
      </c>
      <c r="H1178" s="246">
        <v>0</v>
      </c>
      <c r="I1178" s="246">
        <v>0</v>
      </c>
      <c r="J1178" s="246">
        <v>0</v>
      </c>
      <c r="K1178" s="246">
        <v>0</v>
      </c>
      <c r="L1178" s="246">
        <v>0</v>
      </c>
      <c r="M1178" s="246">
        <f t="shared" si="273"/>
        <v>0</v>
      </c>
      <c r="N1178" s="246">
        <v>0</v>
      </c>
      <c r="O1178" s="246">
        <v>0</v>
      </c>
      <c r="P1178" s="246">
        <v>0</v>
      </c>
      <c r="Q1178" s="246">
        <v>0</v>
      </c>
      <c r="R1178" s="246">
        <v>0</v>
      </c>
      <c r="S1178" s="246">
        <v>0</v>
      </c>
      <c r="T1178" s="246">
        <v>0</v>
      </c>
      <c r="U1178" s="246">
        <v>0</v>
      </c>
      <c r="V1178" s="246">
        <v>0</v>
      </c>
      <c r="W1178" s="246">
        <v>0</v>
      </c>
      <c r="X1178" s="246">
        <v>0</v>
      </c>
      <c r="Y1178" s="246">
        <f t="shared" si="274"/>
        <v>2294965.6</v>
      </c>
      <c r="Z1178" s="247"/>
      <c r="AA1178" s="248">
        <v>7478.82</v>
      </c>
      <c r="AB1178" s="249"/>
      <c r="AC1178" s="250"/>
      <c r="AD1178" s="248">
        <f>204634.35+34464.16</f>
        <v>239098.51</v>
      </c>
      <c r="AE1178" s="248"/>
      <c r="AF1178" s="251"/>
      <c r="AG1178" s="250">
        <f t="shared" si="280"/>
        <v>246577.33000000002</v>
      </c>
      <c r="AH1178" s="252" t="s">
        <v>1259</v>
      </c>
      <c r="AI1178" s="252"/>
      <c r="AJ1178" s="239"/>
      <c r="AK1178" s="252" t="s">
        <v>1260</v>
      </c>
      <c r="AL1178" s="252"/>
      <c r="AM1178" s="239"/>
      <c r="AN1178" s="239"/>
      <c r="AO1178" s="239"/>
      <c r="AP1178" s="239"/>
      <c r="AQ1178" s="239"/>
      <c r="AR1178" s="239"/>
      <c r="AS1178" s="239">
        <f t="shared" si="276"/>
        <v>0</v>
      </c>
      <c r="AT1178" s="239"/>
      <c r="AU1178" s="239"/>
      <c r="AV1178" s="239"/>
      <c r="AW1178" s="239"/>
      <c r="AX1178" s="239"/>
      <c r="AY1178" s="239"/>
      <c r="AZ1178" s="239"/>
      <c r="BA1178" s="239">
        <f t="shared" si="277"/>
        <v>0</v>
      </c>
      <c r="BB1178" s="239"/>
      <c r="BC1178" s="239"/>
      <c r="BD1178" s="239"/>
      <c r="BE1178" s="239"/>
      <c r="BF1178" s="239"/>
      <c r="BG1178" s="239"/>
      <c r="BH1178" s="239">
        <f t="shared" si="278"/>
        <v>0</v>
      </c>
      <c r="BI1178" s="239">
        <f t="shared" si="279"/>
        <v>2048388.27</v>
      </c>
      <c r="BJ1178" s="239">
        <v>2048388.27</v>
      </c>
      <c r="BK1178" s="240">
        <v>43191</v>
      </c>
      <c r="BL1178" s="253">
        <f>130000+299898.66+7890.96+641289.6+770503.44+130000+68805.61</f>
        <v>2048388.27</v>
      </c>
      <c r="BM1178" s="47">
        <v>0</v>
      </c>
      <c r="BN1178" s="9"/>
      <c r="BO1178" s="9"/>
      <c r="BP1178" s="9"/>
      <c r="BQ1178" s="9"/>
      <c r="BR1178" s="9"/>
      <c r="BS1178" s="9"/>
      <c r="BT1178" s="9"/>
      <c r="BU1178" s="9"/>
      <c r="BV1178" s="9"/>
      <c r="BW1178" s="9"/>
    </row>
    <row r="1179" spans="1:75" ht="18" hidden="1" customHeight="1" outlineLevel="2" x14ac:dyDescent="0.25">
      <c r="A1179" s="242" t="s">
        <v>1237</v>
      </c>
      <c r="B1179" s="243" t="s">
        <v>1238</v>
      </c>
      <c r="C1179" s="244">
        <v>2018</v>
      </c>
      <c r="D1179" s="245" t="s">
        <v>81</v>
      </c>
      <c r="E1179" s="246">
        <v>0</v>
      </c>
      <c r="F1179" s="246">
        <v>0</v>
      </c>
      <c r="G1179" s="246">
        <v>2294965.6</v>
      </c>
      <c r="H1179" s="246">
        <v>0</v>
      </c>
      <c r="I1179" s="246">
        <v>0</v>
      </c>
      <c r="J1179" s="246">
        <v>0</v>
      </c>
      <c r="K1179" s="246">
        <v>0</v>
      </c>
      <c r="L1179" s="246">
        <v>0</v>
      </c>
      <c r="M1179" s="246">
        <f t="shared" si="273"/>
        <v>0</v>
      </c>
      <c r="N1179" s="246">
        <v>0</v>
      </c>
      <c r="O1179" s="246">
        <v>0</v>
      </c>
      <c r="P1179" s="246">
        <v>0</v>
      </c>
      <c r="Q1179" s="246">
        <v>0</v>
      </c>
      <c r="R1179" s="246">
        <v>0</v>
      </c>
      <c r="S1179" s="246">
        <v>0</v>
      </c>
      <c r="T1179" s="246">
        <v>0</v>
      </c>
      <c r="U1179" s="246">
        <v>0</v>
      </c>
      <c r="V1179" s="246">
        <v>0</v>
      </c>
      <c r="W1179" s="246">
        <v>0</v>
      </c>
      <c r="X1179" s="246">
        <v>0</v>
      </c>
      <c r="Y1179" s="246">
        <f t="shared" si="274"/>
        <v>2294965.6</v>
      </c>
      <c r="Z1179" s="247"/>
      <c r="AA1179" s="248">
        <v>12524.21</v>
      </c>
      <c r="AB1179" s="249"/>
      <c r="AC1179" s="250"/>
      <c r="AD1179" s="248">
        <v>34286.94</v>
      </c>
      <c r="AE1179" s="248"/>
      <c r="AF1179" s="251"/>
      <c r="AG1179" s="250">
        <f t="shared" si="280"/>
        <v>46811.15</v>
      </c>
      <c r="AH1179" s="252" t="s">
        <v>1261</v>
      </c>
      <c r="AI1179" s="252"/>
      <c r="AJ1179" s="239"/>
      <c r="AK1179" s="252" t="s">
        <v>1262</v>
      </c>
      <c r="AL1179" s="252"/>
      <c r="AM1179" s="239"/>
      <c r="AN1179" s="239"/>
      <c r="AO1179" s="239"/>
      <c r="AP1179" s="239"/>
      <c r="AQ1179" s="239"/>
      <c r="AR1179" s="239"/>
      <c r="AS1179" s="239">
        <f t="shared" si="276"/>
        <v>0</v>
      </c>
      <c r="AT1179" s="239"/>
      <c r="AU1179" s="239"/>
      <c r="AV1179" s="239"/>
      <c r="AW1179" s="239"/>
      <c r="AX1179" s="239"/>
      <c r="AY1179" s="239"/>
      <c r="AZ1179" s="239"/>
      <c r="BA1179" s="239">
        <f t="shared" si="277"/>
        <v>0</v>
      </c>
      <c r="BB1179" s="239"/>
      <c r="BC1179" s="239"/>
      <c r="BD1179" s="239"/>
      <c r="BE1179" s="239"/>
      <c r="BF1179" s="239"/>
      <c r="BG1179" s="239"/>
      <c r="BH1179" s="239">
        <f t="shared" si="278"/>
        <v>0</v>
      </c>
      <c r="BI1179" s="239">
        <f t="shared" si="279"/>
        <v>2248154.4500000002</v>
      </c>
      <c r="BJ1179" s="239">
        <v>2248154.4500000002</v>
      </c>
      <c r="BK1179" s="240">
        <v>43221</v>
      </c>
      <c r="BL1179" s="253">
        <f>180000+431194.39+200000+636200+130000+500000+170760.06</f>
        <v>2248154.4500000002</v>
      </c>
      <c r="BM1179" s="47">
        <v>0</v>
      </c>
      <c r="BN1179" s="9"/>
      <c r="BO1179" s="9"/>
      <c r="BP1179" s="9"/>
      <c r="BQ1179" s="9"/>
      <c r="BR1179" s="9"/>
      <c r="BS1179" s="9"/>
      <c r="BT1179" s="9"/>
      <c r="BU1179" s="9"/>
      <c r="BV1179" s="9"/>
      <c r="BW1179" s="9"/>
    </row>
    <row r="1180" spans="1:75" ht="18" hidden="1" customHeight="1" outlineLevel="2" x14ac:dyDescent="0.25">
      <c r="A1180" s="242" t="s">
        <v>1237</v>
      </c>
      <c r="B1180" s="243" t="s">
        <v>1238</v>
      </c>
      <c r="C1180" s="244">
        <v>2018</v>
      </c>
      <c r="D1180" s="245" t="s">
        <v>83</v>
      </c>
      <c r="E1180" s="246">
        <v>0</v>
      </c>
      <c r="F1180" s="246">
        <v>0</v>
      </c>
      <c r="G1180" s="246">
        <v>2294965.6</v>
      </c>
      <c r="H1180" s="246">
        <v>0</v>
      </c>
      <c r="I1180" s="246">
        <v>0</v>
      </c>
      <c r="J1180" s="246">
        <v>0</v>
      </c>
      <c r="K1180" s="246">
        <v>0</v>
      </c>
      <c r="L1180" s="246">
        <v>0</v>
      </c>
      <c r="M1180" s="246">
        <f t="shared" si="273"/>
        <v>0</v>
      </c>
      <c r="N1180" s="246">
        <v>0</v>
      </c>
      <c r="O1180" s="246">
        <v>0</v>
      </c>
      <c r="P1180" s="246">
        <v>0</v>
      </c>
      <c r="Q1180" s="246">
        <v>0</v>
      </c>
      <c r="R1180" s="246">
        <v>0</v>
      </c>
      <c r="S1180" s="246">
        <v>0</v>
      </c>
      <c r="T1180" s="246">
        <v>0</v>
      </c>
      <c r="U1180" s="246">
        <v>0</v>
      </c>
      <c r="V1180" s="246">
        <v>0</v>
      </c>
      <c r="W1180" s="246">
        <v>0</v>
      </c>
      <c r="X1180" s="246">
        <v>0</v>
      </c>
      <c r="Y1180" s="246">
        <f t="shared" si="274"/>
        <v>2294965.6</v>
      </c>
      <c r="Z1180" s="247"/>
      <c r="AA1180" s="248">
        <v>7576.11</v>
      </c>
      <c r="AB1180" s="249"/>
      <c r="AC1180" s="250"/>
      <c r="AD1180" s="248">
        <v>58791.45</v>
      </c>
      <c r="AE1180" s="248"/>
      <c r="AF1180" s="251"/>
      <c r="AG1180" s="250">
        <f t="shared" si="280"/>
        <v>66367.56</v>
      </c>
      <c r="AH1180" s="252" t="s">
        <v>1263</v>
      </c>
      <c r="AI1180" s="252"/>
      <c r="AJ1180" s="239"/>
      <c r="AK1180" s="252" t="s">
        <v>1264</v>
      </c>
      <c r="AL1180" s="252"/>
      <c r="AM1180" s="239"/>
      <c r="AN1180" s="239"/>
      <c r="AO1180" s="239"/>
      <c r="AP1180" s="239"/>
      <c r="AQ1180" s="239"/>
      <c r="AR1180" s="239"/>
      <c r="AS1180" s="239">
        <f t="shared" si="276"/>
        <v>0</v>
      </c>
      <c r="AT1180" s="239"/>
      <c r="AU1180" s="239"/>
      <c r="AV1180" s="239"/>
      <c r="AW1180" s="239"/>
      <c r="AX1180" s="239"/>
      <c r="AY1180" s="239"/>
      <c r="AZ1180" s="239"/>
      <c r="BA1180" s="239">
        <f t="shared" si="277"/>
        <v>0</v>
      </c>
      <c r="BB1180" s="239"/>
      <c r="BC1180" s="239"/>
      <c r="BD1180" s="239"/>
      <c r="BE1180" s="239"/>
      <c r="BF1180" s="239"/>
      <c r="BG1180" s="239"/>
      <c r="BH1180" s="239">
        <f t="shared" si="278"/>
        <v>0</v>
      </c>
      <c r="BI1180" s="239">
        <f t="shared" si="279"/>
        <v>2228598.04</v>
      </c>
      <c r="BJ1180" s="239">
        <v>2228598.04</v>
      </c>
      <c r="BK1180" s="240">
        <v>43252</v>
      </c>
      <c r="BL1180" s="253">
        <f>500000+465439.94+500000+130000+633158.1</f>
        <v>2228598.04</v>
      </c>
      <c r="BM1180" s="47">
        <v>0</v>
      </c>
      <c r="BN1180" s="9"/>
      <c r="BO1180" s="9"/>
      <c r="BP1180" s="9"/>
      <c r="BQ1180" s="9"/>
      <c r="BR1180" s="9"/>
      <c r="BS1180" s="9"/>
      <c r="BT1180" s="9"/>
      <c r="BU1180" s="9"/>
      <c r="BV1180" s="9"/>
      <c r="BW1180" s="9"/>
    </row>
    <row r="1181" spans="1:75" ht="18" hidden="1" customHeight="1" outlineLevel="2" x14ac:dyDescent="0.25">
      <c r="A1181" s="242" t="s">
        <v>1237</v>
      </c>
      <c r="B1181" s="243" t="s">
        <v>1238</v>
      </c>
      <c r="C1181" s="244">
        <v>2018</v>
      </c>
      <c r="D1181" s="245" t="s">
        <v>84</v>
      </c>
      <c r="E1181" s="246">
        <v>0</v>
      </c>
      <c r="F1181" s="246">
        <v>0</v>
      </c>
      <c r="G1181" s="246">
        <v>2294965.6</v>
      </c>
      <c r="H1181" s="246">
        <v>0</v>
      </c>
      <c r="I1181" s="246">
        <v>0</v>
      </c>
      <c r="J1181" s="246">
        <v>0</v>
      </c>
      <c r="K1181" s="246">
        <v>0</v>
      </c>
      <c r="L1181" s="246">
        <v>0</v>
      </c>
      <c r="M1181" s="246">
        <f t="shared" si="273"/>
        <v>0</v>
      </c>
      <c r="N1181" s="246">
        <v>0</v>
      </c>
      <c r="O1181" s="246">
        <v>0</v>
      </c>
      <c r="P1181" s="246">
        <v>0</v>
      </c>
      <c r="Q1181" s="246">
        <v>0</v>
      </c>
      <c r="R1181" s="246">
        <v>0</v>
      </c>
      <c r="S1181" s="246">
        <v>0</v>
      </c>
      <c r="T1181" s="246">
        <v>0</v>
      </c>
      <c r="U1181" s="246">
        <v>0</v>
      </c>
      <c r="V1181" s="246">
        <v>0</v>
      </c>
      <c r="W1181" s="246">
        <v>0</v>
      </c>
      <c r="X1181" s="246">
        <v>0</v>
      </c>
      <c r="Y1181" s="246">
        <f>E1181+F1181+G1181+H1181+M1181+N1181+O1181+P1181+Q1181+R1181+S1181</f>
        <v>2294965.6</v>
      </c>
      <c r="Z1181" s="247"/>
      <c r="AA1181" s="248">
        <v>7573.14</v>
      </c>
      <c r="AB1181" s="249"/>
      <c r="AC1181" s="250"/>
      <c r="AD1181" s="248">
        <v>32411.71</v>
      </c>
      <c r="AE1181" s="248">
        <v>144582.82999999999</v>
      </c>
      <c r="AF1181" s="251"/>
      <c r="AG1181" s="250">
        <f t="shared" si="280"/>
        <v>184567.67999999999</v>
      </c>
      <c r="AH1181" s="252" t="s">
        <v>1265</v>
      </c>
      <c r="AI1181" s="252"/>
      <c r="AJ1181" s="239"/>
      <c r="AK1181" s="252" t="s">
        <v>1266</v>
      </c>
      <c r="AL1181" s="252" t="s">
        <v>1267</v>
      </c>
      <c r="AM1181" s="239"/>
      <c r="AN1181" s="239"/>
      <c r="AO1181" s="239"/>
      <c r="AP1181" s="239"/>
      <c r="AQ1181" s="239"/>
      <c r="AR1181" s="239"/>
      <c r="AS1181" s="239">
        <f t="shared" si="276"/>
        <v>0</v>
      </c>
      <c r="AT1181" s="239"/>
      <c r="AU1181" s="239"/>
      <c r="AV1181" s="239"/>
      <c r="AW1181" s="239"/>
      <c r="AX1181" s="239"/>
      <c r="AY1181" s="239"/>
      <c r="AZ1181" s="239"/>
      <c r="BA1181" s="239">
        <f t="shared" si="277"/>
        <v>0</v>
      </c>
      <c r="BB1181" s="239"/>
      <c r="BC1181" s="239"/>
      <c r="BD1181" s="239"/>
      <c r="BE1181" s="239"/>
      <c r="BF1181" s="239"/>
      <c r="BG1181" s="239"/>
      <c r="BH1181" s="239">
        <f t="shared" si="278"/>
        <v>0</v>
      </c>
      <c r="BI1181" s="239">
        <f t="shared" si="279"/>
        <v>2110397.92</v>
      </c>
      <c r="BJ1181" s="239">
        <v>2110397.92</v>
      </c>
      <c r="BK1181" s="240">
        <v>43282</v>
      </c>
      <c r="BL1181" s="253">
        <f>366841.9+300000+500000+500000+160990.32+100000+182565.7</f>
        <v>2110397.92</v>
      </c>
      <c r="BM1181" s="47">
        <v>0</v>
      </c>
      <c r="BN1181" s="9"/>
      <c r="BO1181" s="9"/>
      <c r="BP1181" s="9"/>
      <c r="BQ1181" s="9"/>
      <c r="BR1181" s="9"/>
      <c r="BS1181" s="9"/>
      <c r="BT1181" s="9"/>
      <c r="BU1181" s="9"/>
      <c r="BV1181" s="9"/>
      <c r="BW1181" s="9"/>
    </row>
    <row r="1182" spans="1:75" ht="18" hidden="1" customHeight="1" outlineLevel="2" x14ac:dyDescent="0.25">
      <c r="A1182" s="242" t="s">
        <v>1237</v>
      </c>
      <c r="B1182" s="243" t="s">
        <v>1238</v>
      </c>
      <c r="C1182" s="244">
        <v>2018</v>
      </c>
      <c r="D1182" s="245" t="s">
        <v>86</v>
      </c>
      <c r="E1182" s="246">
        <v>0</v>
      </c>
      <c r="F1182" s="246">
        <v>0</v>
      </c>
      <c r="G1182" s="246">
        <v>2294965.6</v>
      </c>
      <c r="H1182" s="246">
        <v>0</v>
      </c>
      <c r="I1182" s="246">
        <v>0</v>
      </c>
      <c r="J1182" s="246">
        <v>0</v>
      </c>
      <c r="K1182" s="246">
        <v>0</v>
      </c>
      <c r="L1182" s="246">
        <v>0</v>
      </c>
      <c r="M1182" s="246">
        <f t="shared" si="273"/>
        <v>0</v>
      </c>
      <c r="N1182" s="246">
        <v>0</v>
      </c>
      <c r="O1182" s="246">
        <v>0</v>
      </c>
      <c r="P1182" s="246">
        <v>0</v>
      </c>
      <c r="Q1182" s="246">
        <v>0</v>
      </c>
      <c r="R1182" s="246">
        <v>0</v>
      </c>
      <c r="S1182" s="246">
        <v>0</v>
      </c>
      <c r="T1182" s="246">
        <v>0</v>
      </c>
      <c r="U1182" s="246">
        <v>0</v>
      </c>
      <c r="V1182" s="246">
        <v>0</v>
      </c>
      <c r="W1182" s="246">
        <v>0</v>
      </c>
      <c r="X1182" s="246">
        <v>0</v>
      </c>
      <c r="Y1182" s="246">
        <f>E1182+F1182+G1182+H1182+M1182</f>
        <v>2294965.6</v>
      </c>
      <c r="Z1182" s="247"/>
      <c r="AA1182" s="248">
        <v>7746.23</v>
      </c>
      <c r="AB1182" s="249"/>
      <c r="AC1182" s="250"/>
      <c r="AD1182" s="248">
        <v>32586.29</v>
      </c>
      <c r="AE1182" s="248">
        <v>144582.82999999999</v>
      </c>
      <c r="AF1182" s="251"/>
      <c r="AG1182" s="250">
        <f t="shared" si="280"/>
        <v>184915.34999999998</v>
      </c>
      <c r="AH1182" s="252" t="s">
        <v>1268</v>
      </c>
      <c r="AI1182" s="252"/>
      <c r="AJ1182" s="239"/>
      <c r="AK1182" s="252" t="s">
        <v>1269</v>
      </c>
      <c r="AL1182" s="252" t="s">
        <v>1267</v>
      </c>
      <c r="AM1182" s="239"/>
      <c r="AN1182" s="239"/>
      <c r="AO1182" s="239"/>
      <c r="AP1182" s="239"/>
      <c r="AQ1182" s="239"/>
      <c r="AR1182" s="239"/>
      <c r="AS1182" s="239">
        <f t="shared" si="276"/>
        <v>0</v>
      </c>
      <c r="AT1182" s="239"/>
      <c r="AU1182" s="239"/>
      <c r="AV1182" s="239"/>
      <c r="AW1182" s="239"/>
      <c r="AX1182" s="239"/>
      <c r="AY1182" s="239"/>
      <c r="AZ1182" s="239"/>
      <c r="BA1182" s="239">
        <f t="shared" si="277"/>
        <v>0</v>
      </c>
      <c r="BB1182" s="239"/>
      <c r="BC1182" s="239"/>
      <c r="BD1182" s="239"/>
      <c r="BE1182" s="239"/>
      <c r="BF1182" s="239"/>
      <c r="BG1182" s="239"/>
      <c r="BH1182" s="239">
        <f t="shared" si="278"/>
        <v>0</v>
      </c>
      <c r="BI1182" s="239">
        <f t="shared" si="279"/>
        <v>2110050.25</v>
      </c>
      <c r="BJ1182" s="239">
        <v>2110050.25</v>
      </c>
      <c r="BK1182" s="240">
        <v>43313</v>
      </c>
      <c r="BL1182" s="253">
        <f>239009.68+817434.3+800000+253606.27</f>
        <v>2110050.25</v>
      </c>
      <c r="BM1182" s="47">
        <v>0</v>
      </c>
      <c r="BN1182" s="9"/>
      <c r="BO1182" s="9"/>
      <c r="BP1182" s="9"/>
      <c r="BQ1182" s="9"/>
      <c r="BR1182" s="9"/>
      <c r="BS1182" s="9"/>
      <c r="BT1182" s="9"/>
      <c r="BU1182" s="9"/>
      <c r="BV1182" s="9"/>
      <c r="BW1182" s="9"/>
    </row>
    <row r="1183" spans="1:75" ht="18" hidden="1" customHeight="1" outlineLevel="2" x14ac:dyDescent="0.25">
      <c r="A1183" s="242" t="s">
        <v>1237</v>
      </c>
      <c r="B1183" s="243" t="s">
        <v>1238</v>
      </c>
      <c r="C1183" s="244">
        <v>2018</v>
      </c>
      <c r="D1183" s="245" t="s">
        <v>88</v>
      </c>
      <c r="E1183" s="246">
        <v>0</v>
      </c>
      <c r="F1183" s="246">
        <v>0</v>
      </c>
      <c r="G1183" s="246">
        <v>2294965.6</v>
      </c>
      <c r="H1183" s="246">
        <v>0</v>
      </c>
      <c r="I1183" s="246">
        <v>0</v>
      </c>
      <c r="J1183" s="246">
        <v>0</v>
      </c>
      <c r="K1183" s="246">
        <v>0</v>
      </c>
      <c r="L1183" s="246">
        <v>0</v>
      </c>
      <c r="M1183" s="246">
        <f t="shared" si="273"/>
        <v>0</v>
      </c>
      <c r="N1183" s="246">
        <v>0</v>
      </c>
      <c r="O1183" s="246">
        <v>0</v>
      </c>
      <c r="P1183" s="246">
        <v>0</v>
      </c>
      <c r="Q1183" s="246">
        <v>0</v>
      </c>
      <c r="R1183" s="246">
        <v>0</v>
      </c>
      <c r="S1183" s="246">
        <v>0</v>
      </c>
      <c r="T1183" s="246">
        <v>0</v>
      </c>
      <c r="U1183" s="246">
        <v>0</v>
      </c>
      <c r="V1183" s="246">
        <v>0</v>
      </c>
      <c r="W1183" s="246">
        <v>0</v>
      </c>
      <c r="X1183" s="246">
        <v>0</v>
      </c>
      <c r="Y1183" s="246">
        <f>E1183+F1183+G1183+H1183+M1183</f>
        <v>2294965.6</v>
      </c>
      <c r="Z1183" s="247"/>
      <c r="AA1183" s="248">
        <v>8149.25</v>
      </c>
      <c r="AB1183" s="249"/>
      <c r="AC1183" s="250"/>
      <c r="AD1183" s="248">
        <v>32612.07</v>
      </c>
      <c r="AE1183" s="248">
        <f>144582.83+363227.72</f>
        <v>507810.54999999993</v>
      </c>
      <c r="AF1183" s="251"/>
      <c r="AG1183" s="250">
        <f t="shared" si="280"/>
        <v>548571.86999999988</v>
      </c>
      <c r="AH1183" s="252" t="s">
        <v>1270</v>
      </c>
      <c r="AI1183" s="252"/>
      <c r="AJ1183" s="239"/>
      <c r="AK1183" s="252" t="s">
        <v>1271</v>
      </c>
      <c r="AL1183" s="252" t="s">
        <v>1272</v>
      </c>
      <c r="AM1183" s="239"/>
      <c r="AN1183" s="239"/>
      <c r="AO1183" s="239"/>
      <c r="AP1183" s="239"/>
      <c r="AQ1183" s="239"/>
      <c r="AR1183" s="239"/>
      <c r="AS1183" s="239">
        <f t="shared" si="276"/>
        <v>0</v>
      </c>
      <c r="AT1183" s="239"/>
      <c r="AU1183" s="239"/>
      <c r="AV1183" s="239"/>
      <c r="AW1183" s="239"/>
      <c r="AX1183" s="239"/>
      <c r="AY1183" s="239"/>
      <c r="AZ1183" s="239"/>
      <c r="BA1183" s="239">
        <f t="shared" si="277"/>
        <v>0</v>
      </c>
      <c r="BB1183" s="239"/>
      <c r="BC1183" s="239"/>
      <c r="BD1183" s="239"/>
      <c r="BE1183" s="239"/>
      <c r="BF1183" s="239"/>
      <c r="BG1183" s="239"/>
      <c r="BH1183" s="239">
        <f t="shared" si="278"/>
        <v>0</v>
      </c>
      <c r="BI1183" s="239">
        <f t="shared" si="279"/>
        <v>1746393.7300000002</v>
      </c>
      <c r="BJ1183" s="239">
        <v>1746393.73</v>
      </c>
      <c r="BK1183" s="240">
        <v>43344</v>
      </c>
      <c r="BL1183" s="253">
        <f>246393.73+1500000</f>
        <v>1746393.73</v>
      </c>
      <c r="BM1183" s="47">
        <v>0</v>
      </c>
      <c r="BN1183" s="9"/>
      <c r="BO1183" s="9"/>
      <c r="BP1183" s="9"/>
      <c r="BQ1183" s="9"/>
      <c r="BR1183" s="9"/>
      <c r="BS1183" s="9"/>
      <c r="BT1183" s="9"/>
      <c r="BU1183" s="9"/>
      <c r="BV1183" s="9"/>
      <c r="BW1183" s="9"/>
    </row>
    <row r="1184" spans="1:75" ht="18" hidden="1" customHeight="1" outlineLevel="2" x14ac:dyDescent="0.25">
      <c r="A1184" s="242" t="s">
        <v>1237</v>
      </c>
      <c r="B1184" s="243" t="s">
        <v>1238</v>
      </c>
      <c r="C1184" s="244">
        <v>2018</v>
      </c>
      <c r="D1184" s="245" t="s">
        <v>89</v>
      </c>
      <c r="E1184" s="246">
        <v>0</v>
      </c>
      <c r="F1184" s="246">
        <v>0</v>
      </c>
      <c r="G1184" s="246">
        <v>2294965.6</v>
      </c>
      <c r="H1184" s="246">
        <v>0</v>
      </c>
      <c r="I1184" s="246">
        <v>0</v>
      </c>
      <c r="J1184" s="246">
        <v>0</v>
      </c>
      <c r="K1184" s="246">
        <v>0</v>
      </c>
      <c r="L1184" s="246">
        <v>0</v>
      </c>
      <c r="M1184" s="246">
        <f t="shared" si="273"/>
        <v>0</v>
      </c>
      <c r="N1184" s="246">
        <v>0</v>
      </c>
      <c r="O1184" s="246">
        <v>0</v>
      </c>
      <c r="P1184" s="246">
        <v>0</v>
      </c>
      <c r="Q1184" s="246">
        <v>0</v>
      </c>
      <c r="R1184" s="246">
        <v>0</v>
      </c>
      <c r="S1184" s="246">
        <v>0</v>
      </c>
      <c r="T1184" s="246">
        <v>0</v>
      </c>
      <c r="U1184" s="246">
        <v>0</v>
      </c>
      <c r="V1184" s="246">
        <v>0</v>
      </c>
      <c r="W1184" s="246">
        <v>0</v>
      </c>
      <c r="X1184" s="246">
        <v>0</v>
      </c>
      <c r="Y1184" s="246">
        <f>E1184+F1184+G1184+H1184+M1184</f>
        <v>2294965.6</v>
      </c>
      <c r="Z1184" s="247"/>
      <c r="AA1184" s="248">
        <v>13665.01</v>
      </c>
      <c r="AB1184" s="249"/>
      <c r="AC1184" s="250"/>
      <c r="AD1184" s="248">
        <v>25959.33</v>
      </c>
      <c r="AE1184" s="248">
        <f>144582.83+2110758.43</f>
        <v>2255341.2600000002</v>
      </c>
      <c r="AF1184" s="251"/>
      <c r="AG1184" s="250">
        <f t="shared" si="280"/>
        <v>2294965.6</v>
      </c>
      <c r="AH1184" s="252" t="s">
        <v>1273</v>
      </c>
      <c r="AI1184" s="252"/>
      <c r="AJ1184" s="239"/>
      <c r="AK1184" s="252" t="s">
        <v>1274</v>
      </c>
      <c r="AL1184" s="252" t="s">
        <v>1275</v>
      </c>
      <c r="AM1184" s="239"/>
      <c r="AN1184" s="239"/>
      <c r="AO1184" s="239"/>
      <c r="AP1184" s="239"/>
      <c r="AQ1184" s="239"/>
      <c r="AR1184" s="239"/>
      <c r="AS1184" s="239">
        <f t="shared" si="276"/>
        <v>0</v>
      </c>
      <c r="AT1184" s="239"/>
      <c r="AU1184" s="239"/>
      <c r="AV1184" s="239"/>
      <c r="AW1184" s="239"/>
      <c r="AX1184" s="239"/>
      <c r="AY1184" s="239"/>
      <c r="AZ1184" s="239"/>
      <c r="BA1184" s="239">
        <f t="shared" si="277"/>
        <v>0</v>
      </c>
      <c r="BB1184" s="239"/>
      <c r="BC1184" s="239"/>
      <c r="BD1184" s="239"/>
      <c r="BE1184" s="239"/>
      <c r="BF1184" s="239"/>
      <c r="BG1184" s="239"/>
      <c r="BH1184" s="239">
        <f t="shared" si="278"/>
        <v>0</v>
      </c>
      <c r="BI1184" s="239">
        <f t="shared" si="279"/>
        <v>0</v>
      </c>
      <c r="BJ1184" s="239">
        <v>0</v>
      </c>
      <c r="BK1184" s="240">
        <v>43374</v>
      </c>
      <c r="BL1184" s="253"/>
      <c r="BM1184" s="47">
        <v>0</v>
      </c>
      <c r="BN1184" s="9"/>
      <c r="BO1184" s="9"/>
      <c r="BP1184" s="9"/>
      <c r="BQ1184" s="9"/>
      <c r="BR1184" s="9"/>
      <c r="BS1184" s="9"/>
      <c r="BT1184" s="9"/>
      <c r="BU1184" s="9"/>
      <c r="BV1184" s="9"/>
      <c r="BW1184" s="9"/>
    </row>
    <row r="1185" spans="1:75" ht="18" hidden="1" customHeight="1" outlineLevel="2" x14ac:dyDescent="0.25">
      <c r="A1185" s="254" t="s">
        <v>1237</v>
      </c>
      <c r="B1185" s="255" t="s">
        <v>1238</v>
      </c>
      <c r="C1185" s="256">
        <v>2018</v>
      </c>
      <c r="D1185" s="257" t="s">
        <v>90</v>
      </c>
      <c r="E1185" s="258">
        <v>0</v>
      </c>
      <c r="F1185" s="258">
        <v>0</v>
      </c>
      <c r="G1185" s="258">
        <v>1988970.19</v>
      </c>
      <c r="H1185" s="258">
        <v>0</v>
      </c>
      <c r="I1185" s="258">
        <v>0</v>
      </c>
      <c r="J1185" s="258">
        <v>0</v>
      </c>
      <c r="K1185" s="258">
        <v>0</v>
      </c>
      <c r="L1185" s="258">
        <v>0</v>
      </c>
      <c r="M1185" s="258">
        <f t="shared" si="273"/>
        <v>0</v>
      </c>
      <c r="N1185" s="258">
        <v>0</v>
      </c>
      <c r="O1185" s="258">
        <v>0</v>
      </c>
      <c r="P1185" s="258">
        <v>0</v>
      </c>
      <c r="Q1185" s="258">
        <v>0</v>
      </c>
      <c r="R1185" s="258">
        <v>0</v>
      </c>
      <c r="S1185" s="258">
        <v>0</v>
      </c>
      <c r="T1185" s="258">
        <v>0</v>
      </c>
      <c r="U1185" s="258">
        <v>0</v>
      </c>
      <c r="V1185" s="258">
        <v>0</v>
      </c>
      <c r="W1185" s="258">
        <v>0</v>
      </c>
      <c r="X1185" s="258">
        <v>0</v>
      </c>
      <c r="Y1185" s="258">
        <f>E1185+F1185+G1185+H1185+M1185+N1185+O1185+P1185+Q1185+R1185+S1185</f>
        <v>1988970.19</v>
      </c>
      <c r="Z1185" s="259"/>
      <c r="AA1185" s="260">
        <f>16917.43+11536.35+1196.43</f>
        <v>29650.21</v>
      </c>
      <c r="AB1185" s="261"/>
      <c r="AC1185" s="262"/>
      <c r="AD1185" s="260">
        <f>34538.64+26898.46+1196.43+266654.96</f>
        <v>329288.49</v>
      </c>
      <c r="AE1185" s="260">
        <f>144582.83+144582.85+314397.05+965220.86+23686.51+37561.39</f>
        <v>1630031.4899999998</v>
      </c>
      <c r="AF1185" s="263"/>
      <c r="AG1185" s="262">
        <f t="shared" si="280"/>
        <v>1988970.1899999997</v>
      </c>
      <c r="AH1185" s="264" t="s">
        <v>1276</v>
      </c>
      <c r="AI1185" s="264"/>
      <c r="AJ1185" s="265"/>
      <c r="AK1185" s="264" t="s">
        <v>1277</v>
      </c>
      <c r="AL1185" s="264" t="s">
        <v>1278</v>
      </c>
      <c r="AM1185" s="265"/>
      <c r="AN1185" s="265"/>
      <c r="AO1185" s="265"/>
      <c r="AP1185" s="265"/>
      <c r="AQ1185" s="265"/>
      <c r="AR1185" s="265"/>
      <c r="AS1185" s="265">
        <f t="shared" si="276"/>
        <v>0</v>
      </c>
      <c r="AT1185" s="265"/>
      <c r="AU1185" s="265"/>
      <c r="AV1185" s="265"/>
      <c r="AW1185" s="265"/>
      <c r="AX1185" s="265"/>
      <c r="AY1185" s="265"/>
      <c r="AZ1185" s="265"/>
      <c r="BA1185" s="265">
        <f t="shared" si="277"/>
        <v>0</v>
      </c>
      <c r="BB1185" s="265"/>
      <c r="BC1185" s="265"/>
      <c r="BD1185" s="265"/>
      <c r="BE1185" s="265"/>
      <c r="BF1185" s="265"/>
      <c r="BG1185" s="265"/>
      <c r="BH1185" s="265">
        <f t="shared" si="278"/>
        <v>0</v>
      </c>
      <c r="BI1185" s="265">
        <f t="shared" si="279"/>
        <v>2.3283064365386963E-10</v>
      </c>
      <c r="BJ1185" s="239">
        <v>2.3283064365386999E-10</v>
      </c>
      <c r="BK1185" s="240">
        <v>43405</v>
      </c>
      <c r="BL1185" s="266"/>
      <c r="BM1185" s="75">
        <v>0</v>
      </c>
      <c r="BN1185" s="9"/>
      <c r="BO1185" s="9"/>
      <c r="BP1185" s="9"/>
      <c r="BQ1185" s="9"/>
      <c r="BR1185" s="9"/>
      <c r="BS1185" s="9"/>
      <c r="BT1185" s="9"/>
      <c r="BU1185" s="9"/>
      <c r="BV1185" s="9"/>
      <c r="BW1185" s="9"/>
    </row>
    <row r="1186" spans="1:75" ht="18" hidden="1" customHeight="1" outlineLevel="1" collapsed="1" x14ac:dyDescent="0.25">
      <c r="A1186" s="267"/>
      <c r="B1186" s="268" t="s">
        <v>1279</v>
      </c>
      <c r="C1186" s="269"/>
      <c r="D1186" s="270"/>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f t="shared" ref="Y1186:AG1186" si="281">SUBTOTAL(9,Y1163:Y1185)</f>
        <v>0</v>
      </c>
      <c r="Z1186" s="272">
        <f t="shared" si="281"/>
        <v>0</v>
      </c>
      <c r="AA1186" s="273">
        <f t="shared" si="281"/>
        <v>0</v>
      </c>
      <c r="AB1186" s="273">
        <f t="shared" si="281"/>
        <v>0</v>
      </c>
      <c r="AC1186" s="273">
        <f t="shared" si="281"/>
        <v>0</v>
      </c>
      <c r="AD1186" s="273">
        <f t="shared" si="281"/>
        <v>0</v>
      </c>
      <c r="AE1186" s="273">
        <f t="shared" si="281"/>
        <v>0</v>
      </c>
      <c r="AF1186" s="273">
        <f t="shared" si="281"/>
        <v>0</v>
      </c>
      <c r="AG1186" s="273">
        <f t="shared" si="281"/>
        <v>0</v>
      </c>
      <c r="AH1186" s="274"/>
      <c r="AI1186" s="274"/>
      <c r="AJ1186" s="275"/>
      <c r="AK1186" s="274"/>
      <c r="AL1186" s="274"/>
      <c r="AM1186" s="275"/>
      <c r="AN1186" s="275">
        <f t="shared" ref="AN1186:AS1186" si="282">SUBTOTAL(9,AN1163:AN1185)</f>
        <v>0</v>
      </c>
      <c r="AO1186" s="275">
        <f t="shared" si="282"/>
        <v>0</v>
      </c>
      <c r="AP1186" s="275">
        <f t="shared" si="282"/>
        <v>0</v>
      </c>
      <c r="AQ1186" s="275">
        <f t="shared" si="282"/>
        <v>0</v>
      </c>
      <c r="AR1186" s="275">
        <f t="shared" si="282"/>
        <v>0</v>
      </c>
      <c r="AS1186" s="275">
        <f t="shared" si="282"/>
        <v>0</v>
      </c>
      <c r="AT1186" s="275"/>
      <c r="AU1186" s="275">
        <f t="shared" ref="AU1186:BA1186" si="283">SUBTOTAL(9,AU1163:AU1185)</f>
        <v>0</v>
      </c>
      <c r="AV1186" s="275">
        <f t="shared" si="283"/>
        <v>0</v>
      </c>
      <c r="AW1186" s="275">
        <f t="shared" si="283"/>
        <v>0</v>
      </c>
      <c r="AX1186" s="275">
        <f t="shared" si="283"/>
        <v>0</v>
      </c>
      <c r="AY1186" s="275">
        <f t="shared" si="283"/>
        <v>0</v>
      </c>
      <c r="AZ1186" s="275">
        <f t="shared" si="283"/>
        <v>0</v>
      </c>
      <c r="BA1186" s="275">
        <f t="shared" si="283"/>
        <v>0</v>
      </c>
      <c r="BB1186" s="275"/>
      <c r="BC1186" s="275"/>
      <c r="BD1186" s="275"/>
      <c r="BE1186" s="275"/>
      <c r="BF1186" s="275"/>
      <c r="BG1186" s="275"/>
      <c r="BH1186" s="275">
        <f>SUBTOTAL(9,BH1163:BH1185)</f>
        <v>0</v>
      </c>
      <c r="BI1186" s="275">
        <f>SUBTOTAL(9,BI1163:BI1185)</f>
        <v>0</v>
      </c>
      <c r="BJ1186" s="276"/>
      <c r="BK1186" s="277"/>
      <c r="BL1186" s="278">
        <f>SUBTOTAL(9,BL1163:BL1185)</f>
        <v>0</v>
      </c>
      <c r="BM1186" s="88">
        <f>SUBTOTAL(9,BM1163:BM1185)</f>
        <v>0</v>
      </c>
      <c r="BN1186" s="9"/>
      <c r="BO1186" s="9"/>
      <c r="BP1186" s="9"/>
      <c r="BQ1186" s="9"/>
      <c r="BR1186" s="9"/>
      <c r="BS1186" s="9"/>
      <c r="BT1186" s="9"/>
      <c r="BU1186" s="9"/>
      <c r="BV1186" s="9"/>
      <c r="BW1186" s="9"/>
    </row>
    <row r="1187" spans="1:75" ht="18" hidden="1" customHeight="1" outlineLevel="2" x14ac:dyDescent="0.25">
      <c r="A1187" s="227" t="s">
        <v>1237</v>
      </c>
      <c r="B1187" s="228" t="s">
        <v>1280</v>
      </c>
      <c r="C1187" s="229">
        <v>2017</v>
      </c>
      <c r="D1187" s="230" t="s">
        <v>73</v>
      </c>
      <c r="E1187" s="231">
        <v>0</v>
      </c>
      <c r="F1187" s="231">
        <v>0</v>
      </c>
      <c r="G1187" s="231">
        <v>0</v>
      </c>
      <c r="H1187" s="231">
        <v>0</v>
      </c>
      <c r="I1187" s="231">
        <v>0</v>
      </c>
      <c r="J1187" s="231">
        <v>0</v>
      </c>
      <c r="K1187" s="231">
        <v>0</v>
      </c>
      <c r="L1187" s="231">
        <v>0</v>
      </c>
      <c r="M1187" s="231">
        <v>0</v>
      </c>
      <c r="N1187" s="231">
        <v>0</v>
      </c>
      <c r="O1187" s="231">
        <v>14689752.85</v>
      </c>
      <c r="P1187" s="231">
        <v>0</v>
      </c>
      <c r="Q1187" s="231">
        <v>0</v>
      </c>
      <c r="R1187" s="231">
        <v>0</v>
      </c>
      <c r="S1187" s="231">
        <v>0</v>
      </c>
      <c r="T1187" s="231">
        <v>0</v>
      </c>
      <c r="U1187" s="231">
        <v>0</v>
      </c>
      <c r="V1187" s="231">
        <v>0</v>
      </c>
      <c r="W1187" s="231">
        <v>0</v>
      </c>
      <c r="X1187" s="231">
        <v>0</v>
      </c>
      <c r="Y1187" s="231">
        <f>O1187</f>
        <v>14689752.85</v>
      </c>
      <c r="Z1187" s="279"/>
      <c r="AA1187" s="233">
        <v>2140940.2999999998</v>
      </c>
      <c r="AB1187" s="233"/>
      <c r="AC1187" s="233">
        <v>0</v>
      </c>
      <c r="AD1187" s="233">
        <v>0</v>
      </c>
      <c r="AE1187" s="233">
        <v>0</v>
      </c>
      <c r="AF1187" s="233"/>
      <c r="AG1187" s="235">
        <f t="shared" ref="AG1187:AG1192" si="284">AA1187+AC1187+AE1187</f>
        <v>2140940.2999999998</v>
      </c>
      <c r="AH1187" s="280" t="s">
        <v>1281</v>
      </c>
      <c r="AI1187" s="280"/>
      <c r="AJ1187" s="280"/>
      <c r="AK1187" s="280"/>
      <c r="AL1187" s="237"/>
      <c r="AM1187" s="237"/>
      <c r="AN1187" s="238">
        <v>0</v>
      </c>
      <c r="AO1187" s="238">
        <v>0</v>
      </c>
      <c r="AP1187" s="238">
        <v>0</v>
      </c>
      <c r="AQ1187" s="238">
        <v>0</v>
      </c>
      <c r="AR1187" s="238">
        <v>0</v>
      </c>
      <c r="AS1187" s="238">
        <f t="shared" ref="AS1187:AS1209" si="285">AN1187+AO1187+AP1187+AQ1187+AR1187</f>
        <v>0</v>
      </c>
      <c r="AT1187" s="238"/>
      <c r="AU1187" s="238">
        <v>0</v>
      </c>
      <c r="AV1187" s="238"/>
      <c r="AW1187" s="238"/>
      <c r="AX1187" s="238"/>
      <c r="AY1187" s="238"/>
      <c r="AZ1187" s="238">
        <v>0</v>
      </c>
      <c r="BA1187" s="238">
        <f t="shared" ref="BA1187:BA1209" si="286">AU1187+AW1187+AZ1187</f>
        <v>0</v>
      </c>
      <c r="BB1187" s="238"/>
      <c r="BC1187" s="238"/>
      <c r="BD1187" s="238"/>
      <c r="BE1187" s="238"/>
      <c r="BF1187" s="238"/>
      <c r="BG1187" s="238"/>
      <c r="BH1187" s="238">
        <f t="shared" ref="BH1187:BH1209" si="287">AS1187+BA1187</f>
        <v>0</v>
      </c>
      <c r="BI1187" s="238">
        <f t="shared" ref="BI1187:BI1209" si="288">Y1187-AG1187+BH1187</f>
        <v>12548812.550000001</v>
      </c>
      <c r="BJ1187" s="239">
        <v>12548812.550000001</v>
      </c>
      <c r="BK1187" s="240">
        <v>42736</v>
      </c>
      <c r="BL1187" s="241">
        <f>701785+6912413.73+2845357.94+709548.47+1379707.41</f>
        <v>12548812.550000001</v>
      </c>
      <c r="BM1187" s="100">
        <v>0</v>
      </c>
      <c r="BN1187" s="9"/>
      <c r="BO1187" s="9"/>
      <c r="BP1187" s="9"/>
      <c r="BQ1187" s="9"/>
      <c r="BR1187" s="9"/>
      <c r="BS1187" s="9"/>
      <c r="BT1187" s="9"/>
      <c r="BU1187" s="9"/>
      <c r="BV1187" s="9"/>
      <c r="BW1187" s="9"/>
    </row>
    <row r="1188" spans="1:75" ht="39" hidden="1" outlineLevel="2" x14ac:dyDescent="0.25">
      <c r="A1188" s="242" t="s">
        <v>1237</v>
      </c>
      <c r="B1188" s="243" t="s">
        <v>1280</v>
      </c>
      <c r="C1188" s="244">
        <v>2017</v>
      </c>
      <c r="D1188" s="245" t="s">
        <v>75</v>
      </c>
      <c r="E1188" s="246">
        <v>0</v>
      </c>
      <c r="F1188" s="246">
        <v>0</v>
      </c>
      <c r="G1188" s="246">
        <v>0</v>
      </c>
      <c r="H1188" s="246">
        <v>0</v>
      </c>
      <c r="I1188" s="246">
        <v>0</v>
      </c>
      <c r="J1188" s="246">
        <v>0</v>
      </c>
      <c r="K1188" s="246">
        <v>0</v>
      </c>
      <c r="L1188" s="246">
        <v>0</v>
      </c>
      <c r="M1188" s="246">
        <v>0</v>
      </c>
      <c r="N1188" s="246">
        <v>0</v>
      </c>
      <c r="O1188" s="246">
        <v>14689752.85</v>
      </c>
      <c r="P1188" s="246">
        <v>0</v>
      </c>
      <c r="Q1188" s="246">
        <v>0</v>
      </c>
      <c r="R1188" s="246">
        <v>0</v>
      </c>
      <c r="S1188" s="246">
        <v>0</v>
      </c>
      <c r="T1188" s="246">
        <v>0</v>
      </c>
      <c r="U1188" s="246">
        <v>0</v>
      </c>
      <c r="V1188" s="246">
        <v>0</v>
      </c>
      <c r="W1188" s="246">
        <v>0</v>
      </c>
      <c r="X1188" s="246">
        <v>0</v>
      </c>
      <c r="Y1188" s="246">
        <f>O1188</f>
        <v>14689752.85</v>
      </c>
      <c r="Z1188" s="281"/>
      <c r="AA1188" s="248">
        <v>1832901.73</v>
      </c>
      <c r="AB1188" s="248"/>
      <c r="AC1188" s="248">
        <f>10607.17+11324.2</f>
        <v>21931.370000000003</v>
      </c>
      <c r="AD1188" s="248">
        <v>0</v>
      </c>
      <c r="AE1188" s="248">
        <v>87876.6</v>
      </c>
      <c r="AF1188" s="248"/>
      <c r="AG1188" s="250">
        <f t="shared" si="284"/>
        <v>1942709.7000000002</v>
      </c>
      <c r="AH1188" s="282" t="s">
        <v>1282</v>
      </c>
      <c r="AI1188" s="282"/>
      <c r="AJ1188" s="282" t="s">
        <v>1283</v>
      </c>
      <c r="AK1188" s="282"/>
      <c r="AL1188" s="252" t="s">
        <v>1284</v>
      </c>
      <c r="AM1188" s="252"/>
      <c r="AN1188" s="239">
        <v>0</v>
      </c>
      <c r="AO1188" s="239">
        <v>0</v>
      </c>
      <c r="AP1188" s="239">
        <v>0</v>
      </c>
      <c r="AQ1188" s="239">
        <v>0</v>
      </c>
      <c r="AR1188" s="239">
        <v>0</v>
      </c>
      <c r="AS1188" s="239">
        <f t="shared" si="285"/>
        <v>0</v>
      </c>
      <c r="AT1188" s="239"/>
      <c r="AU1188" s="239">
        <v>0</v>
      </c>
      <c r="AV1188" s="239"/>
      <c r="AW1188" s="239"/>
      <c r="AX1188" s="239"/>
      <c r="AY1188" s="239"/>
      <c r="AZ1188" s="239">
        <v>0</v>
      </c>
      <c r="BA1188" s="239">
        <f t="shared" si="286"/>
        <v>0</v>
      </c>
      <c r="BB1188" s="239"/>
      <c r="BC1188" s="239"/>
      <c r="BD1188" s="239"/>
      <c r="BE1188" s="239"/>
      <c r="BF1188" s="239"/>
      <c r="BG1188" s="239"/>
      <c r="BH1188" s="239">
        <f t="shared" si="287"/>
        <v>0</v>
      </c>
      <c r="BI1188" s="239">
        <f t="shared" si="288"/>
        <v>12747043.149999999</v>
      </c>
      <c r="BJ1188" s="239">
        <v>12747043.15</v>
      </c>
      <c r="BK1188" s="240">
        <v>42767</v>
      </c>
      <c r="BL1188" s="253">
        <f>720000+7000000+2860000+1968812.55+198230.6</f>
        <v>12747043.15</v>
      </c>
      <c r="BM1188" s="47">
        <v>0</v>
      </c>
      <c r="BN1188" s="9"/>
      <c r="BO1188" s="9"/>
      <c r="BP1188" s="9"/>
      <c r="BQ1188" s="9"/>
      <c r="BR1188" s="9"/>
      <c r="BS1188" s="9"/>
      <c r="BT1188" s="9"/>
      <c r="BU1188" s="9"/>
      <c r="BV1188" s="9"/>
      <c r="BW1188" s="9"/>
    </row>
    <row r="1189" spans="1:75" hidden="1" outlineLevel="2" x14ac:dyDescent="0.25">
      <c r="A1189" s="242" t="s">
        <v>1237</v>
      </c>
      <c r="B1189" s="243" t="s">
        <v>1280</v>
      </c>
      <c r="C1189" s="244">
        <v>2017</v>
      </c>
      <c r="D1189" s="245" t="s">
        <v>77</v>
      </c>
      <c r="E1189" s="246">
        <v>0</v>
      </c>
      <c r="F1189" s="246">
        <v>0</v>
      </c>
      <c r="G1189" s="246">
        <v>0</v>
      </c>
      <c r="H1189" s="246">
        <v>0</v>
      </c>
      <c r="I1189" s="246">
        <v>0</v>
      </c>
      <c r="J1189" s="246">
        <v>0</v>
      </c>
      <c r="K1189" s="246">
        <v>0</v>
      </c>
      <c r="L1189" s="246">
        <v>0</v>
      </c>
      <c r="M1189" s="246">
        <v>0</v>
      </c>
      <c r="N1189" s="246">
        <v>0</v>
      </c>
      <c r="O1189" s="246">
        <v>14689752.85</v>
      </c>
      <c r="P1189" s="246">
        <v>0</v>
      </c>
      <c r="Q1189" s="246">
        <v>0</v>
      </c>
      <c r="R1189" s="246">
        <v>0</v>
      </c>
      <c r="S1189" s="246">
        <v>0</v>
      </c>
      <c r="T1189" s="246">
        <v>0</v>
      </c>
      <c r="U1189" s="246">
        <v>0</v>
      </c>
      <c r="V1189" s="246">
        <v>0</v>
      </c>
      <c r="W1189" s="246">
        <v>0</v>
      </c>
      <c r="X1189" s="246">
        <v>0</v>
      </c>
      <c r="Y1189" s="246">
        <f>O1189</f>
        <v>14689752.85</v>
      </c>
      <c r="Z1189" s="281"/>
      <c r="AA1189" s="248">
        <v>1659660.76</v>
      </c>
      <c r="AB1189" s="248"/>
      <c r="AC1189" s="248">
        <v>10682.14</v>
      </c>
      <c r="AD1189" s="248">
        <v>0</v>
      </c>
      <c r="AE1189" s="248">
        <v>0</v>
      </c>
      <c r="AF1189" s="248"/>
      <c r="AG1189" s="250">
        <f t="shared" si="284"/>
        <v>1670342.9</v>
      </c>
      <c r="AH1189" s="282" t="s">
        <v>1285</v>
      </c>
      <c r="AI1189" s="282"/>
      <c r="AJ1189" s="282" t="s">
        <v>1286</v>
      </c>
      <c r="AK1189" s="282"/>
      <c r="AL1189" s="252"/>
      <c r="AM1189" s="252"/>
      <c r="AN1189" s="239">
        <v>0</v>
      </c>
      <c r="AO1189" s="239">
        <v>0</v>
      </c>
      <c r="AP1189" s="239">
        <v>0</v>
      </c>
      <c r="AQ1189" s="239">
        <v>0</v>
      </c>
      <c r="AR1189" s="239">
        <v>0</v>
      </c>
      <c r="AS1189" s="239">
        <f t="shared" si="285"/>
        <v>0</v>
      </c>
      <c r="AT1189" s="239"/>
      <c r="AU1189" s="239">
        <v>0</v>
      </c>
      <c r="AV1189" s="239"/>
      <c r="AW1189" s="239"/>
      <c r="AX1189" s="239"/>
      <c r="AY1189" s="239"/>
      <c r="AZ1189" s="239">
        <v>0</v>
      </c>
      <c r="BA1189" s="239">
        <f t="shared" si="286"/>
        <v>0</v>
      </c>
      <c r="BB1189" s="239"/>
      <c r="BC1189" s="239"/>
      <c r="BD1189" s="239"/>
      <c r="BE1189" s="239"/>
      <c r="BF1189" s="239"/>
      <c r="BG1189" s="239"/>
      <c r="BH1189" s="239">
        <f t="shared" si="287"/>
        <v>0</v>
      </c>
      <c r="BI1189" s="239">
        <f t="shared" si="288"/>
        <v>13019409.949999999</v>
      </c>
      <c r="BJ1189" s="239">
        <v>13019409.949999999</v>
      </c>
      <c r="BK1189" s="240">
        <v>42795</v>
      </c>
      <c r="BL1189" s="253">
        <f>601769.4+7200000+3205007.64+1000000+800000+212632.91</f>
        <v>13019409.950000001</v>
      </c>
      <c r="BM1189" s="47">
        <v>0</v>
      </c>
      <c r="BN1189" s="9"/>
      <c r="BO1189" s="9"/>
      <c r="BP1189" s="9"/>
      <c r="BQ1189" s="9"/>
      <c r="BR1189" s="9"/>
      <c r="BS1189" s="9"/>
      <c r="BT1189" s="9"/>
      <c r="BU1189" s="9"/>
      <c r="BV1189" s="9"/>
      <c r="BW1189" s="9"/>
    </row>
    <row r="1190" spans="1:75" ht="51.75" hidden="1" outlineLevel="2" x14ac:dyDescent="0.25">
      <c r="A1190" s="242" t="s">
        <v>1237</v>
      </c>
      <c r="B1190" s="243" t="s">
        <v>1280</v>
      </c>
      <c r="C1190" s="244">
        <v>2017</v>
      </c>
      <c r="D1190" s="245" t="s">
        <v>79</v>
      </c>
      <c r="E1190" s="246">
        <v>0</v>
      </c>
      <c r="F1190" s="246">
        <v>0</v>
      </c>
      <c r="G1190" s="246">
        <v>0</v>
      </c>
      <c r="H1190" s="246">
        <v>0</v>
      </c>
      <c r="I1190" s="246">
        <v>0</v>
      </c>
      <c r="J1190" s="246">
        <v>0</v>
      </c>
      <c r="K1190" s="246">
        <v>0</v>
      </c>
      <c r="L1190" s="246">
        <v>0</v>
      </c>
      <c r="M1190" s="246">
        <v>0</v>
      </c>
      <c r="N1190" s="246">
        <v>0</v>
      </c>
      <c r="O1190" s="246">
        <v>14689752.85</v>
      </c>
      <c r="P1190" s="246">
        <v>0</v>
      </c>
      <c r="Q1190" s="246">
        <v>0</v>
      </c>
      <c r="R1190" s="246">
        <v>0</v>
      </c>
      <c r="S1190" s="246">
        <v>0</v>
      </c>
      <c r="T1190" s="246">
        <v>0</v>
      </c>
      <c r="U1190" s="246">
        <v>0</v>
      </c>
      <c r="V1190" s="246">
        <v>0</v>
      </c>
      <c r="W1190" s="246">
        <v>0</v>
      </c>
      <c r="X1190" s="246">
        <v>0</v>
      </c>
      <c r="Y1190" s="246">
        <f>O1190</f>
        <v>14689752.85</v>
      </c>
      <c r="Z1190" s="281"/>
      <c r="AA1190" s="248">
        <v>1709222.82</v>
      </c>
      <c r="AB1190" s="248"/>
      <c r="AC1190" s="248">
        <v>10338.950000000001</v>
      </c>
      <c r="AD1190" s="248">
        <v>0</v>
      </c>
      <c r="AE1190" s="248">
        <v>0</v>
      </c>
      <c r="AF1190" s="248"/>
      <c r="AG1190" s="250">
        <f t="shared" si="284"/>
        <v>1719561.77</v>
      </c>
      <c r="AH1190" s="282" t="s">
        <v>1287</v>
      </c>
      <c r="AI1190" s="282"/>
      <c r="AJ1190" s="282" t="s">
        <v>1288</v>
      </c>
      <c r="AK1190" s="282"/>
      <c r="AL1190" s="252"/>
      <c r="AM1190" s="252"/>
      <c r="AN1190" s="239">
        <v>87876.6</v>
      </c>
      <c r="AO1190" s="239">
        <v>0</v>
      </c>
      <c r="AP1190" s="239">
        <v>0</v>
      </c>
      <c r="AQ1190" s="239">
        <v>0</v>
      </c>
      <c r="AR1190" s="239">
        <v>0</v>
      </c>
      <c r="AS1190" s="239">
        <f t="shared" si="285"/>
        <v>87876.6</v>
      </c>
      <c r="AT1190" s="283" t="s">
        <v>1289</v>
      </c>
      <c r="AU1190" s="239">
        <v>0</v>
      </c>
      <c r="AV1190" s="239"/>
      <c r="AW1190" s="239"/>
      <c r="AX1190" s="239"/>
      <c r="AY1190" s="239"/>
      <c r="AZ1190" s="239">
        <v>0</v>
      </c>
      <c r="BA1190" s="239">
        <f t="shared" si="286"/>
        <v>0</v>
      </c>
      <c r="BB1190" s="239"/>
      <c r="BC1190" s="239"/>
      <c r="BD1190" s="239"/>
      <c r="BE1190" s="239"/>
      <c r="BF1190" s="239"/>
      <c r="BG1190" s="239"/>
      <c r="BH1190" s="239">
        <f t="shared" si="287"/>
        <v>87876.6</v>
      </c>
      <c r="BI1190" s="239">
        <f t="shared" si="288"/>
        <v>13058067.68</v>
      </c>
      <c r="BJ1190" s="239">
        <v>13058067.68</v>
      </c>
      <c r="BK1190" s="240">
        <v>42826</v>
      </c>
      <c r="BL1190" s="253">
        <f>1000000+6987367.09+2860000+2210700.59</f>
        <v>13058067.68</v>
      </c>
      <c r="BM1190" s="47">
        <v>0</v>
      </c>
      <c r="BN1190" s="9"/>
      <c r="BO1190" s="9"/>
      <c r="BP1190" s="9"/>
      <c r="BQ1190" s="9"/>
      <c r="BR1190" s="9"/>
      <c r="BS1190" s="9"/>
      <c r="BT1190" s="9"/>
      <c r="BU1190" s="9"/>
      <c r="BV1190" s="9"/>
      <c r="BW1190" s="9"/>
    </row>
    <row r="1191" spans="1:75" hidden="1" outlineLevel="2" x14ac:dyDescent="0.25">
      <c r="A1191" s="242" t="s">
        <v>1237</v>
      </c>
      <c r="B1191" s="243" t="s">
        <v>1280</v>
      </c>
      <c r="C1191" s="244">
        <v>2017</v>
      </c>
      <c r="D1191" s="245" t="s">
        <v>81</v>
      </c>
      <c r="E1191" s="246">
        <v>0</v>
      </c>
      <c r="F1191" s="246">
        <v>0</v>
      </c>
      <c r="G1191" s="246">
        <v>0</v>
      </c>
      <c r="H1191" s="246">
        <v>0</v>
      </c>
      <c r="I1191" s="246">
        <v>0</v>
      </c>
      <c r="J1191" s="246">
        <v>0</v>
      </c>
      <c r="K1191" s="246">
        <v>0</v>
      </c>
      <c r="L1191" s="246">
        <v>0</v>
      </c>
      <c r="M1191" s="246">
        <v>0</v>
      </c>
      <c r="N1191" s="246">
        <v>0</v>
      </c>
      <c r="O1191" s="246">
        <v>3917267.43</v>
      </c>
      <c r="P1191" s="246">
        <v>13188362.528000001</v>
      </c>
      <c r="Q1191" s="246">
        <v>0</v>
      </c>
      <c r="R1191" s="246">
        <v>0</v>
      </c>
      <c r="S1191" s="246">
        <v>0</v>
      </c>
      <c r="T1191" s="246">
        <v>0</v>
      </c>
      <c r="U1191" s="246">
        <v>0</v>
      </c>
      <c r="V1191" s="246">
        <v>0</v>
      </c>
      <c r="W1191" s="246">
        <v>0</v>
      </c>
      <c r="X1191" s="246">
        <v>0</v>
      </c>
      <c r="Y1191" s="246">
        <f t="shared" ref="Y1191:Y1202" si="289">O1191+P1191</f>
        <v>17105629.958000001</v>
      </c>
      <c r="Z1191" s="281"/>
      <c r="AA1191" s="248">
        <v>3935506.38</v>
      </c>
      <c r="AB1191" s="248"/>
      <c r="AC1191" s="248">
        <v>10212.59</v>
      </c>
      <c r="AD1191" s="248">
        <v>0</v>
      </c>
      <c r="AE1191" s="248">
        <v>0</v>
      </c>
      <c r="AF1191" s="248"/>
      <c r="AG1191" s="250">
        <f t="shared" si="284"/>
        <v>3945718.9699999997</v>
      </c>
      <c r="AH1191" s="282" t="s">
        <v>1243</v>
      </c>
      <c r="AI1191" s="282"/>
      <c r="AJ1191" s="282" t="s">
        <v>1290</v>
      </c>
      <c r="AK1191" s="282"/>
      <c r="AL1191" s="252"/>
      <c r="AM1191" s="252"/>
      <c r="AN1191" s="239">
        <v>0</v>
      </c>
      <c r="AO1191" s="239">
        <v>0</v>
      </c>
      <c r="AP1191" s="239">
        <v>0</v>
      </c>
      <c r="AQ1191" s="239">
        <v>0</v>
      </c>
      <c r="AR1191" s="239">
        <v>0</v>
      </c>
      <c r="AS1191" s="239">
        <f t="shared" si="285"/>
        <v>0</v>
      </c>
      <c r="AT1191" s="239"/>
      <c r="AU1191" s="239">
        <v>0</v>
      </c>
      <c r="AV1191" s="239"/>
      <c r="AW1191" s="239"/>
      <c r="AX1191" s="239"/>
      <c r="AY1191" s="239"/>
      <c r="AZ1191" s="239">
        <v>0</v>
      </c>
      <c r="BA1191" s="239">
        <f t="shared" si="286"/>
        <v>0</v>
      </c>
      <c r="BB1191" s="239"/>
      <c r="BC1191" s="239"/>
      <c r="BD1191" s="239"/>
      <c r="BE1191" s="239"/>
      <c r="BF1191" s="239"/>
      <c r="BG1191" s="239"/>
      <c r="BH1191" s="239">
        <f t="shared" si="287"/>
        <v>0</v>
      </c>
      <c r="BI1191" s="239">
        <f t="shared" si="288"/>
        <v>13159910.988000002</v>
      </c>
      <c r="BJ1191" s="239">
        <v>13159910.988</v>
      </c>
      <c r="BK1191" s="240">
        <v>42856</v>
      </c>
      <c r="BL1191" s="253">
        <f>800000+2673044.23+4526955.77+2860000+1000000+850000+291216.26+158694.73</f>
        <v>13159910.99</v>
      </c>
      <c r="BM1191" s="47">
        <v>0</v>
      </c>
      <c r="BN1191" s="9"/>
      <c r="BO1191" s="9"/>
      <c r="BP1191" s="9"/>
      <c r="BQ1191" s="9"/>
      <c r="BR1191" s="9"/>
      <c r="BS1191" s="9"/>
      <c r="BT1191" s="9"/>
      <c r="BU1191" s="9"/>
      <c r="BV1191" s="9"/>
      <c r="BW1191" s="9"/>
    </row>
    <row r="1192" spans="1:75" ht="64.5" hidden="1" outlineLevel="2" x14ac:dyDescent="0.25">
      <c r="A1192" s="242" t="s">
        <v>1237</v>
      </c>
      <c r="B1192" s="243" t="s">
        <v>1280</v>
      </c>
      <c r="C1192" s="244">
        <v>2017</v>
      </c>
      <c r="D1192" s="243" t="s">
        <v>83</v>
      </c>
      <c r="E1192" s="246">
        <v>0</v>
      </c>
      <c r="F1192" s="246">
        <v>0</v>
      </c>
      <c r="G1192" s="246">
        <v>0</v>
      </c>
      <c r="H1192" s="246">
        <v>0</v>
      </c>
      <c r="I1192" s="246">
        <v>0</v>
      </c>
      <c r="J1192" s="246">
        <v>0</v>
      </c>
      <c r="K1192" s="246">
        <v>0</v>
      </c>
      <c r="L1192" s="246">
        <v>0</v>
      </c>
      <c r="M1192" s="246">
        <v>0</v>
      </c>
      <c r="N1192" s="246">
        <v>0</v>
      </c>
      <c r="O1192" s="246">
        <v>0</v>
      </c>
      <c r="P1192" s="246">
        <v>17984130.719999999</v>
      </c>
      <c r="Q1192" s="246">
        <v>0</v>
      </c>
      <c r="R1192" s="246">
        <v>0</v>
      </c>
      <c r="S1192" s="246">
        <v>0</v>
      </c>
      <c r="T1192" s="246">
        <v>0</v>
      </c>
      <c r="U1192" s="246">
        <v>0</v>
      </c>
      <c r="V1192" s="246">
        <v>0</v>
      </c>
      <c r="W1192" s="246">
        <v>0</v>
      </c>
      <c r="X1192" s="246">
        <v>0</v>
      </c>
      <c r="Y1192" s="246">
        <f t="shared" si="289"/>
        <v>17984130.719999999</v>
      </c>
      <c r="Z1192" s="281"/>
      <c r="AA1192" s="248">
        <v>4760840.76</v>
      </c>
      <c r="AB1192" s="248"/>
      <c r="AC1192" s="248">
        <v>10212.69</v>
      </c>
      <c r="AD1192" s="248">
        <v>0</v>
      </c>
      <c r="AE1192" s="248">
        <v>0</v>
      </c>
      <c r="AF1192" s="248"/>
      <c r="AG1192" s="250">
        <f t="shared" si="284"/>
        <v>4771053.45</v>
      </c>
      <c r="AH1192" s="252" t="s">
        <v>1291</v>
      </c>
      <c r="AI1192" s="252"/>
      <c r="AJ1192" s="282" t="s">
        <v>1292</v>
      </c>
      <c r="AK1192" s="282"/>
      <c r="AL1192" s="252"/>
      <c r="AM1192" s="252"/>
      <c r="AN1192" s="239">
        <v>0</v>
      </c>
      <c r="AO1192" s="239">
        <v>0</v>
      </c>
      <c r="AP1192" s="239">
        <v>0</v>
      </c>
      <c r="AQ1192" s="239">
        <v>0</v>
      </c>
      <c r="AR1192" s="239">
        <v>0</v>
      </c>
      <c r="AS1192" s="239">
        <f t="shared" si="285"/>
        <v>0</v>
      </c>
      <c r="AT1192" s="239"/>
      <c r="AU1192" s="239">
        <v>0</v>
      </c>
      <c r="AV1192" s="239"/>
      <c r="AW1192" s="239"/>
      <c r="AX1192" s="239"/>
      <c r="AY1192" s="239"/>
      <c r="AZ1192" s="239">
        <v>0</v>
      </c>
      <c r="BA1192" s="239">
        <f t="shared" si="286"/>
        <v>0</v>
      </c>
      <c r="BB1192" s="239"/>
      <c r="BC1192" s="239"/>
      <c r="BD1192" s="239"/>
      <c r="BE1192" s="239"/>
      <c r="BF1192" s="239"/>
      <c r="BG1192" s="239"/>
      <c r="BH1192" s="239">
        <f t="shared" si="287"/>
        <v>0</v>
      </c>
      <c r="BI1192" s="239">
        <f t="shared" si="288"/>
        <v>13213077.27</v>
      </c>
      <c r="BJ1192" s="239">
        <v>13213077.27</v>
      </c>
      <c r="BK1192" s="240">
        <v>42887</v>
      </c>
      <c r="BL1192" s="253">
        <f>3250089.01+3700000+2960000+2000000+1302988.26</f>
        <v>13213077.27</v>
      </c>
      <c r="BM1192" s="47">
        <v>0</v>
      </c>
      <c r="BN1192" s="9"/>
      <c r="BO1192" s="9"/>
      <c r="BP1192" s="9"/>
      <c r="BQ1192" s="9"/>
      <c r="BR1192" s="9"/>
      <c r="BS1192" s="9"/>
      <c r="BT1192" s="9"/>
      <c r="BU1192" s="9"/>
      <c r="BV1192" s="9"/>
      <c r="BW1192" s="9"/>
    </row>
    <row r="1193" spans="1:75" ht="179.25" hidden="1" outlineLevel="2" x14ac:dyDescent="0.25">
      <c r="A1193" s="242" t="s">
        <v>1237</v>
      </c>
      <c r="B1193" s="243" t="s">
        <v>1280</v>
      </c>
      <c r="C1193" s="244">
        <v>2017</v>
      </c>
      <c r="D1193" s="243" t="s">
        <v>84</v>
      </c>
      <c r="E1193" s="246">
        <v>0</v>
      </c>
      <c r="F1193" s="246">
        <v>0</v>
      </c>
      <c r="G1193" s="246">
        <v>0</v>
      </c>
      <c r="H1193" s="246">
        <v>0</v>
      </c>
      <c r="I1193" s="246">
        <v>0</v>
      </c>
      <c r="J1193" s="246">
        <v>0</v>
      </c>
      <c r="K1193" s="246">
        <v>0</v>
      </c>
      <c r="L1193" s="246">
        <v>0</v>
      </c>
      <c r="M1193" s="246">
        <v>0</v>
      </c>
      <c r="N1193" s="246">
        <v>0</v>
      </c>
      <c r="O1193" s="246">
        <v>0</v>
      </c>
      <c r="P1193" s="246">
        <v>17984130.719999999</v>
      </c>
      <c r="Q1193" s="246">
        <v>0</v>
      </c>
      <c r="R1193" s="246">
        <v>0</v>
      </c>
      <c r="S1193" s="246">
        <v>0</v>
      </c>
      <c r="T1193" s="246">
        <v>0</v>
      </c>
      <c r="U1193" s="246">
        <v>0</v>
      </c>
      <c r="V1193" s="246">
        <v>0</v>
      </c>
      <c r="W1193" s="246">
        <v>0</v>
      </c>
      <c r="X1193" s="246">
        <v>0</v>
      </c>
      <c r="Y1193" s="246">
        <f t="shared" si="289"/>
        <v>17984130.719999999</v>
      </c>
      <c r="Z1193" s="281"/>
      <c r="AA1193" s="248">
        <v>4738095.53</v>
      </c>
      <c r="AB1193" s="248"/>
      <c r="AC1193" s="248">
        <v>10151.49</v>
      </c>
      <c r="AD1193" s="248">
        <v>0</v>
      </c>
      <c r="AE1193" s="248">
        <v>0</v>
      </c>
      <c r="AF1193" s="248">
        <v>22806.43</v>
      </c>
      <c r="AG1193" s="250">
        <f>AA1193+AC1193+AF1193+AE1193</f>
        <v>4771053.45</v>
      </c>
      <c r="AH1193" s="282" t="s">
        <v>1245</v>
      </c>
      <c r="AI1193" s="282"/>
      <c r="AJ1193" s="282" t="s">
        <v>1293</v>
      </c>
      <c r="AK1193" s="282"/>
      <c r="AL1193" s="252"/>
      <c r="AM1193" s="252" t="s">
        <v>1294</v>
      </c>
      <c r="AN1193" s="239">
        <v>0</v>
      </c>
      <c r="AO1193" s="239">
        <v>0</v>
      </c>
      <c r="AP1193" s="239">
        <v>0</v>
      </c>
      <c r="AQ1193" s="239">
        <v>0</v>
      </c>
      <c r="AR1193" s="239">
        <v>0</v>
      </c>
      <c r="AS1193" s="239">
        <f t="shared" si="285"/>
        <v>0</v>
      </c>
      <c r="AT1193" s="239"/>
      <c r="AU1193" s="239">
        <v>0</v>
      </c>
      <c r="AV1193" s="239"/>
      <c r="AW1193" s="239"/>
      <c r="AX1193" s="239"/>
      <c r="AY1193" s="239"/>
      <c r="AZ1193" s="239">
        <v>0</v>
      </c>
      <c r="BA1193" s="239">
        <f t="shared" si="286"/>
        <v>0</v>
      </c>
      <c r="BB1193" s="239"/>
      <c r="BC1193" s="239"/>
      <c r="BD1193" s="239"/>
      <c r="BE1193" s="239"/>
      <c r="BF1193" s="239"/>
      <c r="BG1193" s="239"/>
      <c r="BH1193" s="239">
        <f t="shared" si="287"/>
        <v>0</v>
      </c>
      <c r="BI1193" s="239">
        <f t="shared" si="288"/>
        <v>13213077.27</v>
      </c>
      <c r="BJ1193" s="239">
        <v>13213077.27</v>
      </c>
      <c r="BK1193" s="240">
        <v>42917</v>
      </c>
      <c r="BL1193" s="253">
        <f>197011.74+900000+5830000+3070000+3070000+146065.53</f>
        <v>13213077.27</v>
      </c>
      <c r="BM1193" s="47">
        <v>0</v>
      </c>
      <c r="BN1193" s="9"/>
      <c r="BO1193" s="9"/>
      <c r="BP1193" s="9"/>
      <c r="BQ1193" s="9"/>
      <c r="BR1193" s="9"/>
      <c r="BS1193" s="9"/>
      <c r="BT1193" s="9"/>
      <c r="BU1193" s="9"/>
      <c r="BV1193" s="9"/>
      <c r="BW1193" s="9"/>
    </row>
    <row r="1194" spans="1:75" ht="64.5" hidden="1" outlineLevel="2" x14ac:dyDescent="0.25">
      <c r="A1194" s="242" t="s">
        <v>1237</v>
      </c>
      <c r="B1194" s="243" t="s">
        <v>1280</v>
      </c>
      <c r="C1194" s="244">
        <v>2017</v>
      </c>
      <c r="D1194" s="243" t="s">
        <v>86</v>
      </c>
      <c r="E1194" s="246">
        <v>0</v>
      </c>
      <c r="F1194" s="246">
        <v>0</v>
      </c>
      <c r="G1194" s="246">
        <v>0</v>
      </c>
      <c r="H1194" s="246">
        <v>0</v>
      </c>
      <c r="I1194" s="246">
        <v>0</v>
      </c>
      <c r="J1194" s="246">
        <v>0</v>
      </c>
      <c r="K1194" s="246">
        <v>0</v>
      </c>
      <c r="L1194" s="246">
        <v>0</v>
      </c>
      <c r="M1194" s="246">
        <v>0</v>
      </c>
      <c r="N1194" s="246">
        <v>0</v>
      </c>
      <c r="O1194" s="246">
        <v>0</v>
      </c>
      <c r="P1194" s="246">
        <v>17984130.719999999</v>
      </c>
      <c r="Q1194" s="246">
        <v>0</v>
      </c>
      <c r="R1194" s="246">
        <v>0</v>
      </c>
      <c r="S1194" s="246">
        <v>0</v>
      </c>
      <c r="T1194" s="246">
        <v>0</v>
      </c>
      <c r="U1194" s="246">
        <v>0</v>
      </c>
      <c r="V1194" s="246">
        <v>0</v>
      </c>
      <c r="W1194" s="246">
        <v>0</v>
      </c>
      <c r="X1194" s="246">
        <v>0</v>
      </c>
      <c r="Y1194" s="246">
        <f t="shared" si="289"/>
        <v>17984130.719999999</v>
      </c>
      <c r="Z1194" s="281"/>
      <c r="AA1194" s="248">
        <v>4866074.46</v>
      </c>
      <c r="AB1194" s="248"/>
      <c r="AC1194" s="248">
        <v>10151.49</v>
      </c>
      <c r="AD1194" s="248">
        <v>0</v>
      </c>
      <c r="AE1194" s="248">
        <v>0</v>
      </c>
      <c r="AF1194" s="248"/>
      <c r="AG1194" s="250">
        <f>AA1194+AC1194+AE1194</f>
        <v>4876225.95</v>
      </c>
      <c r="AH1194" s="282" t="s">
        <v>1295</v>
      </c>
      <c r="AI1194" s="282"/>
      <c r="AJ1194" s="282" t="s">
        <v>1296</v>
      </c>
      <c r="AK1194" s="282"/>
      <c r="AL1194" s="252"/>
      <c r="AM1194" s="252"/>
      <c r="AN1194" s="239">
        <v>0</v>
      </c>
      <c r="AO1194" s="239">
        <v>0</v>
      </c>
      <c r="AP1194" s="239"/>
      <c r="AQ1194" s="239">
        <v>0</v>
      </c>
      <c r="AR1194" s="239">
        <v>105172.5</v>
      </c>
      <c r="AS1194" s="239">
        <f t="shared" si="285"/>
        <v>105172.5</v>
      </c>
      <c r="AT1194" s="283" t="s">
        <v>1297</v>
      </c>
      <c r="AU1194" s="239">
        <f>2390</f>
        <v>2390</v>
      </c>
      <c r="AV1194" s="239"/>
      <c r="AW1194" s="239"/>
      <c r="AX1194" s="239"/>
      <c r="AY1194" s="239"/>
      <c r="AZ1194" s="239">
        <v>0</v>
      </c>
      <c r="BA1194" s="239">
        <f t="shared" si="286"/>
        <v>2390</v>
      </c>
      <c r="BB1194" s="283" t="s">
        <v>1298</v>
      </c>
      <c r="BC1194" s="283"/>
      <c r="BD1194" s="283"/>
      <c r="BE1194" s="283"/>
      <c r="BF1194" s="283"/>
      <c r="BG1194" s="239"/>
      <c r="BH1194" s="239">
        <f t="shared" si="287"/>
        <v>107562.5</v>
      </c>
      <c r="BI1194" s="239">
        <f t="shared" si="288"/>
        <v>13215467.27</v>
      </c>
      <c r="BJ1194" s="239">
        <v>13213077.27</v>
      </c>
      <c r="BK1194" s="240">
        <v>42948</v>
      </c>
      <c r="BL1194" s="253">
        <f>853934.47+1000000+900000+7900000+1713062.29+846080.51+2390</f>
        <v>13215467.269999998</v>
      </c>
      <c r="BM1194" s="47">
        <v>0</v>
      </c>
      <c r="BN1194" s="9"/>
      <c r="BO1194" s="9"/>
      <c r="BP1194" s="9"/>
      <c r="BQ1194" s="9"/>
      <c r="BR1194" s="9"/>
      <c r="BS1194" s="9"/>
      <c r="BT1194" s="9"/>
      <c r="BU1194" s="9"/>
      <c r="BV1194" s="9"/>
      <c r="BW1194" s="9"/>
    </row>
    <row r="1195" spans="1:75" ht="141" hidden="1" outlineLevel="2" x14ac:dyDescent="0.25">
      <c r="A1195" s="242" t="s">
        <v>1237</v>
      </c>
      <c r="B1195" s="243" t="s">
        <v>1280</v>
      </c>
      <c r="C1195" s="244">
        <v>2017</v>
      </c>
      <c r="D1195" s="243" t="s">
        <v>88</v>
      </c>
      <c r="E1195" s="246">
        <v>0</v>
      </c>
      <c r="F1195" s="246">
        <v>0</v>
      </c>
      <c r="G1195" s="246">
        <v>0</v>
      </c>
      <c r="H1195" s="246">
        <v>0</v>
      </c>
      <c r="I1195" s="246">
        <v>0</v>
      </c>
      <c r="J1195" s="246">
        <v>0</v>
      </c>
      <c r="K1195" s="246">
        <v>0</v>
      </c>
      <c r="L1195" s="246">
        <v>0</v>
      </c>
      <c r="M1195" s="246">
        <v>0</v>
      </c>
      <c r="N1195" s="246">
        <v>0</v>
      </c>
      <c r="O1195" s="246">
        <v>0</v>
      </c>
      <c r="P1195" s="246">
        <v>17984130.719999999</v>
      </c>
      <c r="Q1195" s="246">
        <v>0</v>
      </c>
      <c r="R1195" s="246">
        <v>0</v>
      </c>
      <c r="S1195" s="246">
        <v>0</v>
      </c>
      <c r="T1195" s="246">
        <v>0</v>
      </c>
      <c r="U1195" s="246">
        <v>0</v>
      </c>
      <c r="V1195" s="246">
        <v>0</v>
      </c>
      <c r="W1195" s="246">
        <v>0</v>
      </c>
      <c r="X1195" s="246">
        <v>0</v>
      </c>
      <c r="Y1195" s="246">
        <f t="shared" si="289"/>
        <v>17984130.719999999</v>
      </c>
      <c r="Z1195" s="281"/>
      <c r="AA1195" s="248">
        <v>4866074.46</v>
      </c>
      <c r="AB1195" s="248"/>
      <c r="AC1195" s="248">
        <v>10151.49</v>
      </c>
      <c r="AD1195" s="248">
        <v>0</v>
      </c>
      <c r="AE1195" s="248">
        <v>105172.5</v>
      </c>
      <c r="AF1195" s="248"/>
      <c r="AG1195" s="250">
        <f t="shared" ref="AG1195:AG1206" si="290">AA1195+AC1195+AD1195+AE1195</f>
        <v>4981398.45</v>
      </c>
      <c r="AH1195" s="252" t="s">
        <v>1299</v>
      </c>
      <c r="AI1195" s="252"/>
      <c r="AJ1195" s="282" t="s">
        <v>1300</v>
      </c>
      <c r="AK1195" s="282"/>
      <c r="AL1195" s="252" t="s">
        <v>1301</v>
      </c>
      <c r="AM1195" s="252"/>
      <c r="AN1195" s="239">
        <v>0</v>
      </c>
      <c r="AO1195" s="239">
        <v>0</v>
      </c>
      <c r="AP1195" s="239"/>
      <c r="AQ1195" s="239">
        <v>0</v>
      </c>
      <c r="AR1195" s="239">
        <v>0</v>
      </c>
      <c r="AS1195" s="239">
        <f t="shared" si="285"/>
        <v>0</v>
      </c>
      <c r="AT1195" s="239"/>
      <c r="AU1195" s="239">
        <f>2390+17922+2390</f>
        <v>22702</v>
      </c>
      <c r="AV1195" s="239"/>
      <c r="AW1195" s="239"/>
      <c r="AX1195" s="239"/>
      <c r="AY1195" s="239"/>
      <c r="AZ1195" s="239">
        <v>0</v>
      </c>
      <c r="BA1195" s="239">
        <f t="shared" si="286"/>
        <v>22702</v>
      </c>
      <c r="BB1195" s="283" t="s">
        <v>1302</v>
      </c>
      <c r="BC1195" s="283"/>
      <c r="BD1195" s="283"/>
      <c r="BE1195" s="283"/>
      <c r="BF1195" s="283"/>
      <c r="BG1195" s="239"/>
      <c r="BH1195" s="239">
        <f t="shared" si="287"/>
        <v>22702</v>
      </c>
      <c r="BI1195" s="239">
        <f t="shared" si="288"/>
        <v>13025434.27</v>
      </c>
      <c r="BJ1195" s="239">
        <v>13002732.27</v>
      </c>
      <c r="BK1195" s="240">
        <v>42979</v>
      </c>
      <c r="BL1195" s="253">
        <f>2500000+53919.49+7900000+2548812.78+22702</f>
        <v>13025434.27</v>
      </c>
      <c r="BM1195" s="47">
        <v>0</v>
      </c>
      <c r="BN1195" s="9"/>
      <c r="BO1195" s="9"/>
      <c r="BP1195" s="9"/>
      <c r="BQ1195" s="9"/>
      <c r="BR1195" s="9"/>
      <c r="BS1195" s="9"/>
      <c r="BT1195" s="9"/>
      <c r="BU1195" s="9"/>
      <c r="BV1195" s="9"/>
      <c r="BW1195" s="9"/>
    </row>
    <row r="1196" spans="1:75" ht="64.5" hidden="1" outlineLevel="2" x14ac:dyDescent="0.25">
      <c r="A1196" s="242" t="s">
        <v>1237</v>
      </c>
      <c r="B1196" s="243" t="s">
        <v>1280</v>
      </c>
      <c r="C1196" s="244">
        <v>2017</v>
      </c>
      <c r="D1196" s="243" t="s">
        <v>89</v>
      </c>
      <c r="E1196" s="246">
        <v>0</v>
      </c>
      <c r="F1196" s="246">
        <v>0</v>
      </c>
      <c r="G1196" s="246">
        <v>0</v>
      </c>
      <c r="H1196" s="246">
        <v>0</v>
      </c>
      <c r="I1196" s="246">
        <v>0</v>
      </c>
      <c r="J1196" s="246">
        <v>0</v>
      </c>
      <c r="K1196" s="246">
        <v>0</v>
      </c>
      <c r="L1196" s="246">
        <v>0</v>
      </c>
      <c r="M1196" s="246">
        <v>0</v>
      </c>
      <c r="N1196" s="246">
        <v>0</v>
      </c>
      <c r="O1196" s="246">
        <v>0</v>
      </c>
      <c r="P1196" s="246">
        <v>17984130.719999999</v>
      </c>
      <c r="Q1196" s="246">
        <v>0</v>
      </c>
      <c r="R1196" s="246">
        <v>0</v>
      </c>
      <c r="S1196" s="246">
        <v>0</v>
      </c>
      <c r="T1196" s="246">
        <v>0</v>
      </c>
      <c r="U1196" s="246">
        <v>0</v>
      </c>
      <c r="V1196" s="246">
        <v>0</v>
      </c>
      <c r="W1196" s="246">
        <v>0</v>
      </c>
      <c r="X1196" s="246">
        <v>0</v>
      </c>
      <c r="Y1196" s="246">
        <f t="shared" si="289"/>
        <v>17984130.719999999</v>
      </c>
      <c r="Z1196" s="281"/>
      <c r="AA1196" s="248">
        <v>4791061.17</v>
      </c>
      <c r="AB1196" s="248"/>
      <c r="AC1196" s="248">
        <v>9504.48</v>
      </c>
      <c r="AD1196" s="248">
        <v>0</v>
      </c>
      <c r="AE1196" s="248">
        <v>0</v>
      </c>
      <c r="AF1196" s="248"/>
      <c r="AG1196" s="250">
        <f t="shared" si="290"/>
        <v>4800565.6500000004</v>
      </c>
      <c r="AH1196" s="282" t="s">
        <v>1248</v>
      </c>
      <c r="AI1196" s="282"/>
      <c r="AJ1196" s="282" t="s">
        <v>1303</v>
      </c>
      <c r="AK1196" s="282"/>
      <c r="AL1196" s="252"/>
      <c r="AM1196" s="252"/>
      <c r="AN1196" s="239">
        <v>0</v>
      </c>
      <c r="AO1196" s="239">
        <v>0</v>
      </c>
      <c r="AP1196" s="239">
        <v>0</v>
      </c>
      <c r="AQ1196" s="239">
        <v>0</v>
      </c>
      <c r="AR1196" s="239">
        <v>0</v>
      </c>
      <c r="AS1196" s="239">
        <f t="shared" si="285"/>
        <v>0</v>
      </c>
      <c r="AT1196" s="239"/>
      <c r="AU1196" s="239">
        <v>0</v>
      </c>
      <c r="AV1196" s="239"/>
      <c r="AW1196" s="239"/>
      <c r="AX1196" s="239"/>
      <c r="AY1196" s="239"/>
      <c r="AZ1196" s="239">
        <v>0</v>
      </c>
      <c r="BA1196" s="239">
        <f t="shared" si="286"/>
        <v>0</v>
      </c>
      <c r="BB1196" s="239"/>
      <c r="BC1196" s="239"/>
      <c r="BD1196" s="239"/>
      <c r="BE1196" s="239"/>
      <c r="BF1196" s="239"/>
      <c r="BG1196" s="239"/>
      <c r="BH1196" s="239">
        <f t="shared" si="287"/>
        <v>0</v>
      </c>
      <c r="BI1196" s="239">
        <f t="shared" si="288"/>
        <v>13183565.069999998</v>
      </c>
      <c r="BJ1196" s="239">
        <v>13183565.07</v>
      </c>
      <c r="BK1196" s="240">
        <v>43009</v>
      </c>
      <c r="BL1196" s="253">
        <f>900000+2000000+7900000+2000000+307904.77+75660.3</f>
        <v>13183565.07</v>
      </c>
      <c r="BM1196" s="47">
        <v>0</v>
      </c>
      <c r="BN1196" s="9"/>
      <c r="BO1196" s="9"/>
      <c r="BP1196" s="9"/>
      <c r="BQ1196" s="9"/>
      <c r="BR1196" s="9"/>
      <c r="BS1196" s="9"/>
      <c r="BT1196" s="9"/>
      <c r="BU1196" s="9"/>
      <c r="BV1196" s="9"/>
      <c r="BW1196" s="9"/>
    </row>
    <row r="1197" spans="1:75" ht="179.25" hidden="1" outlineLevel="2" x14ac:dyDescent="0.25">
      <c r="A1197" s="242" t="s">
        <v>1237</v>
      </c>
      <c r="B1197" s="243" t="s">
        <v>1280</v>
      </c>
      <c r="C1197" s="244">
        <v>2017</v>
      </c>
      <c r="D1197" s="243" t="s">
        <v>90</v>
      </c>
      <c r="E1197" s="246">
        <v>0</v>
      </c>
      <c r="F1197" s="246">
        <v>0</v>
      </c>
      <c r="G1197" s="246">
        <v>0</v>
      </c>
      <c r="H1197" s="246">
        <v>0</v>
      </c>
      <c r="I1197" s="246">
        <v>0</v>
      </c>
      <c r="J1197" s="246">
        <v>0</v>
      </c>
      <c r="K1197" s="246">
        <v>0</v>
      </c>
      <c r="L1197" s="246">
        <v>0</v>
      </c>
      <c r="M1197" s="246">
        <v>0</v>
      </c>
      <c r="N1197" s="246">
        <v>0</v>
      </c>
      <c r="O1197" s="246">
        <v>0</v>
      </c>
      <c r="P1197" s="246">
        <v>17984130.719999999</v>
      </c>
      <c r="Q1197" s="246">
        <v>0</v>
      </c>
      <c r="R1197" s="246">
        <v>0</v>
      </c>
      <c r="S1197" s="246">
        <v>0</v>
      </c>
      <c r="T1197" s="246">
        <v>0</v>
      </c>
      <c r="U1197" s="246">
        <v>0</v>
      </c>
      <c r="V1197" s="246">
        <v>0</v>
      </c>
      <c r="W1197" s="246">
        <v>0</v>
      </c>
      <c r="X1197" s="246">
        <v>0</v>
      </c>
      <c r="Y1197" s="246">
        <f t="shared" si="289"/>
        <v>17984130.719999999</v>
      </c>
      <c r="Z1197" s="281"/>
      <c r="AA1197" s="248">
        <v>4760840.76</v>
      </c>
      <c r="AB1197" s="248"/>
      <c r="AC1197" s="248">
        <v>0</v>
      </c>
      <c r="AD1197" s="248">
        <v>101017.25</v>
      </c>
      <c r="AE1197" s="248">
        <v>0</v>
      </c>
      <c r="AF1197" s="248"/>
      <c r="AG1197" s="250">
        <f t="shared" si="290"/>
        <v>4861858.01</v>
      </c>
      <c r="AH1197" s="282" t="s">
        <v>1304</v>
      </c>
      <c r="AI1197" s="282"/>
      <c r="AJ1197" s="282"/>
      <c r="AK1197" s="282" t="s">
        <v>1305</v>
      </c>
      <c r="AL1197" s="252"/>
      <c r="AM1197" s="252"/>
      <c r="AN1197" s="239">
        <v>0</v>
      </c>
      <c r="AO1197" s="239">
        <v>0</v>
      </c>
      <c r="AP1197" s="239"/>
      <c r="AQ1197" s="239">
        <v>0</v>
      </c>
      <c r="AR1197" s="239">
        <v>0</v>
      </c>
      <c r="AS1197" s="239">
        <f t="shared" si="285"/>
        <v>0</v>
      </c>
      <c r="AT1197" s="239"/>
      <c r="AU1197" s="239">
        <f>2390+2390+2600+17922</f>
        <v>25302</v>
      </c>
      <c r="AV1197" s="239"/>
      <c r="AW1197" s="239"/>
      <c r="AX1197" s="239"/>
      <c r="AY1197" s="239"/>
      <c r="AZ1197" s="239">
        <v>0</v>
      </c>
      <c r="BA1197" s="239">
        <f t="shared" si="286"/>
        <v>25302</v>
      </c>
      <c r="BB1197" s="283" t="s">
        <v>1306</v>
      </c>
      <c r="BC1197" s="283"/>
      <c r="BD1197" s="283"/>
      <c r="BE1197" s="283"/>
      <c r="BF1197" s="283"/>
      <c r="BG1197" s="239"/>
      <c r="BH1197" s="239">
        <f t="shared" si="287"/>
        <v>25302</v>
      </c>
      <c r="BI1197" s="239">
        <f t="shared" si="288"/>
        <v>13147574.709999999</v>
      </c>
      <c r="BJ1197" s="239">
        <v>13122272.710000001</v>
      </c>
      <c r="BK1197" s="240">
        <v>43040</v>
      </c>
      <c r="BL1197" s="253">
        <f>900000+3256527.53+8000000+25302+965745.18</f>
        <v>13147574.709999999</v>
      </c>
      <c r="BM1197" s="47">
        <v>0</v>
      </c>
      <c r="BN1197" s="9"/>
      <c r="BO1197" s="9"/>
      <c r="BP1197" s="9"/>
      <c r="BQ1197" s="9"/>
      <c r="BR1197" s="9"/>
      <c r="BS1197" s="9"/>
      <c r="BT1197" s="9"/>
      <c r="BU1197" s="9"/>
      <c r="BV1197" s="9"/>
      <c r="BW1197" s="9"/>
    </row>
    <row r="1198" spans="1:75" ht="77.25" hidden="1" outlineLevel="2" x14ac:dyDescent="0.25">
      <c r="A1198" s="242" t="s">
        <v>1237</v>
      </c>
      <c r="B1198" s="243" t="s">
        <v>1280</v>
      </c>
      <c r="C1198" s="244">
        <v>2017</v>
      </c>
      <c r="D1198" s="243" t="s">
        <v>93</v>
      </c>
      <c r="E1198" s="246">
        <v>0</v>
      </c>
      <c r="F1198" s="246">
        <v>0</v>
      </c>
      <c r="G1198" s="246">
        <v>0</v>
      </c>
      <c r="H1198" s="246">
        <v>0</v>
      </c>
      <c r="I1198" s="246">
        <v>0</v>
      </c>
      <c r="J1198" s="246">
        <v>0</v>
      </c>
      <c r="K1198" s="246">
        <v>0</v>
      </c>
      <c r="L1198" s="246">
        <v>0</v>
      </c>
      <c r="M1198" s="246">
        <v>0</v>
      </c>
      <c r="N1198" s="246">
        <v>0</v>
      </c>
      <c r="O1198" s="246">
        <v>0</v>
      </c>
      <c r="P1198" s="246">
        <v>17984130.719999999</v>
      </c>
      <c r="Q1198" s="246">
        <v>0</v>
      </c>
      <c r="R1198" s="246">
        <v>0</v>
      </c>
      <c r="S1198" s="246">
        <v>0</v>
      </c>
      <c r="T1198" s="246">
        <v>0</v>
      </c>
      <c r="U1198" s="246">
        <v>0</v>
      </c>
      <c r="V1198" s="246">
        <v>0</v>
      </c>
      <c r="W1198" s="246">
        <v>0</v>
      </c>
      <c r="X1198" s="246">
        <v>0</v>
      </c>
      <c r="Y1198" s="246">
        <f t="shared" si="289"/>
        <v>17984130.719999999</v>
      </c>
      <c r="Z1198" s="281"/>
      <c r="AA1198" s="248">
        <v>4738242.67</v>
      </c>
      <c r="AB1198" s="248"/>
      <c r="AC1198" s="248">
        <f>9351.09+9695.88</f>
        <v>19046.97</v>
      </c>
      <c r="AD1198" s="248">
        <v>119652.88</v>
      </c>
      <c r="AE1198" s="248">
        <v>0</v>
      </c>
      <c r="AF1198" s="248"/>
      <c r="AG1198" s="250">
        <f t="shared" si="290"/>
        <v>4876942.5199999996</v>
      </c>
      <c r="AH1198" s="282" t="s">
        <v>1307</v>
      </c>
      <c r="AI1198" s="282"/>
      <c r="AJ1198" s="282" t="s">
        <v>1308</v>
      </c>
      <c r="AK1198" s="282" t="s">
        <v>1309</v>
      </c>
      <c r="AL1198" s="252"/>
      <c r="AM1198" s="252"/>
      <c r="AN1198" s="239">
        <v>0</v>
      </c>
      <c r="AO1198" s="239">
        <v>0</v>
      </c>
      <c r="AP1198" s="239"/>
      <c r="AQ1198" s="239">
        <v>0</v>
      </c>
      <c r="AR1198" s="239">
        <v>0</v>
      </c>
      <c r="AS1198" s="239">
        <f t="shared" si="285"/>
        <v>0</v>
      </c>
      <c r="AT1198" s="239"/>
      <c r="AU1198" s="239">
        <v>8604.5</v>
      </c>
      <c r="AV1198" s="239"/>
      <c r="AW1198" s="239"/>
      <c r="AX1198" s="239"/>
      <c r="AY1198" s="239"/>
      <c r="AZ1198" s="239">
        <v>0</v>
      </c>
      <c r="BA1198" s="239">
        <f t="shared" si="286"/>
        <v>8604.5</v>
      </c>
      <c r="BB1198" s="283" t="s">
        <v>1310</v>
      </c>
      <c r="BC1198" s="283"/>
      <c r="BD1198" s="283"/>
      <c r="BE1198" s="283"/>
      <c r="BF1198" s="283"/>
      <c r="BG1198" s="239"/>
      <c r="BH1198" s="239">
        <f t="shared" si="287"/>
        <v>8604.5</v>
      </c>
      <c r="BI1198" s="239">
        <f t="shared" si="288"/>
        <v>13115792.699999999</v>
      </c>
      <c r="BJ1198" s="239">
        <v>13115792.699999999</v>
      </c>
      <c r="BK1198" s="240">
        <v>43070</v>
      </c>
      <c r="BL1198" s="253">
        <f>10607188.2+2500000+8604.5</f>
        <v>13115792.699999999</v>
      </c>
      <c r="BM1198" s="47">
        <v>0</v>
      </c>
      <c r="BN1198" s="9"/>
      <c r="BO1198" s="9"/>
      <c r="BP1198" s="9"/>
      <c r="BQ1198" s="9"/>
      <c r="BR1198" s="9"/>
      <c r="BS1198" s="9"/>
      <c r="BT1198" s="9"/>
      <c r="BU1198" s="9"/>
      <c r="BV1198" s="9"/>
      <c r="BW1198" s="9"/>
    </row>
    <row r="1199" spans="1:75" hidden="1" outlineLevel="2" x14ac:dyDescent="0.25">
      <c r="A1199" s="242" t="s">
        <v>1237</v>
      </c>
      <c r="B1199" s="243" t="s">
        <v>1280</v>
      </c>
      <c r="C1199" s="244">
        <v>2018</v>
      </c>
      <c r="D1199" s="243" t="s">
        <v>73</v>
      </c>
      <c r="E1199" s="246">
        <v>0</v>
      </c>
      <c r="F1199" s="246">
        <v>0</v>
      </c>
      <c r="G1199" s="246">
        <v>0</v>
      </c>
      <c r="H1199" s="246">
        <v>0</v>
      </c>
      <c r="I1199" s="246">
        <v>0</v>
      </c>
      <c r="J1199" s="246">
        <v>0</v>
      </c>
      <c r="K1199" s="246">
        <v>0</v>
      </c>
      <c r="L1199" s="246">
        <v>0</v>
      </c>
      <c r="M1199" s="246">
        <v>0</v>
      </c>
      <c r="N1199" s="246">
        <v>0</v>
      </c>
      <c r="O1199" s="246">
        <v>0</v>
      </c>
      <c r="P1199" s="246">
        <v>17984130.719999999</v>
      </c>
      <c r="Q1199" s="246">
        <v>0</v>
      </c>
      <c r="R1199" s="246">
        <v>0</v>
      </c>
      <c r="S1199" s="246">
        <v>0</v>
      </c>
      <c r="T1199" s="246">
        <v>0</v>
      </c>
      <c r="U1199" s="246">
        <v>0</v>
      </c>
      <c r="V1199" s="246">
        <v>0</v>
      </c>
      <c r="W1199" s="246">
        <v>0</v>
      </c>
      <c r="X1199" s="246">
        <v>0</v>
      </c>
      <c r="Y1199" s="246">
        <f t="shared" si="289"/>
        <v>17984130.719999999</v>
      </c>
      <c r="Z1199" s="281"/>
      <c r="AA1199" s="248">
        <v>4930453.1500000004</v>
      </c>
      <c r="AB1199" s="248"/>
      <c r="AC1199" s="248">
        <v>9666.1</v>
      </c>
      <c r="AD1199" s="248">
        <v>126408.26</v>
      </c>
      <c r="AE1199" s="248">
        <v>0</v>
      </c>
      <c r="AF1199" s="248"/>
      <c r="AG1199" s="250">
        <f t="shared" si="290"/>
        <v>5066527.51</v>
      </c>
      <c r="AH1199" s="282" t="s">
        <v>1311</v>
      </c>
      <c r="AI1199" s="282"/>
      <c r="AJ1199" s="282" t="s">
        <v>1312</v>
      </c>
      <c r="AK1199" s="282" t="s">
        <v>1313</v>
      </c>
      <c r="AL1199" s="252"/>
      <c r="AM1199" s="252"/>
      <c r="AN1199" s="239">
        <v>0</v>
      </c>
      <c r="AO1199" s="239">
        <v>0</v>
      </c>
      <c r="AP1199" s="239">
        <v>0</v>
      </c>
      <c r="AQ1199" s="239">
        <v>0</v>
      </c>
      <c r="AR1199" s="239">
        <v>0</v>
      </c>
      <c r="AS1199" s="239">
        <f t="shared" si="285"/>
        <v>0</v>
      </c>
      <c r="AT1199" s="239"/>
      <c r="AU1199" s="239">
        <v>0</v>
      </c>
      <c r="AV1199" s="239"/>
      <c r="AW1199" s="239"/>
      <c r="AX1199" s="239"/>
      <c r="AY1199" s="239"/>
      <c r="AZ1199" s="239">
        <v>0</v>
      </c>
      <c r="BA1199" s="239">
        <f t="shared" si="286"/>
        <v>0</v>
      </c>
      <c r="BB1199" s="239"/>
      <c r="BC1199" s="239"/>
      <c r="BD1199" s="239"/>
      <c r="BE1199" s="239"/>
      <c r="BF1199" s="239"/>
      <c r="BG1199" s="239"/>
      <c r="BH1199" s="239">
        <f t="shared" si="287"/>
        <v>0</v>
      </c>
      <c r="BI1199" s="239">
        <f t="shared" si="288"/>
        <v>12917603.209999999</v>
      </c>
      <c r="BJ1199" s="239">
        <v>12917603.210000001</v>
      </c>
      <c r="BK1199" s="240">
        <v>43101</v>
      </c>
      <c r="BL1199" s="253">
        <f>999143.82+1000000+570000+2000000+8348459.39</f>
        <v>12917603.210000001</v>
      </c>
      <c r="BM1199" s="47">
        <v>0</v>
      </c>
      <c r="BN1199" s="9"/>
      <c r="BO1199" s="9"/>
      <c r="BP1199" s="9"/>
      <c r="BQ1199" s="9"/>
      <c r="BR1199" s="9"/>
      <c r="BS1199" s="9"/>
      <c r="BT1199" s="9"/>
      <c r="BU1199" s="9"/>
      <c r="BV1199" s="9"/>
      <c r="BW1199" s="9"/>
    </row>
    <row r="1200" spans="1:75" hidden="1" outlineLevel="2" x14ac:dyDescent="0.25">
      <c r="A1200" s="242" t="s">
        <v>1237</v>
      </c>
      <c r="B1200" s="243" t="s">
        <v>1280</v>
      </c>
      <c r="C1200" s="244">
        <v>2018</v>
      </c>
      <c r="D1200" s="243" t="s">
        <v>75</v>
      </c>
      <c r="E1200" s="246">
        <v>0</v>
      </c>
      <c r="F1200" s="246">
        <v>0</v>
      </c>
      <c r="G1200" s="246">
        <v>0</v>
      </c>
      <c r="H1200" s="246">
        <v>0</v>
      </c>
      <c r="I1200" s="246">
        <v>0</v>
      </c>
      <c r="J1200" s="246">
        <v>0</v>
      </c>
      <c r="K1200" s="246">
        <v>0</v>
      </c>
      <c r="L1200" s="246">
        <v>0</v>
      </c>
      <c r="M1200" s="246">
        <v>0</v>
      </c>
      <c r="N1200" s="246">
        <v>0</v>
      </c>
      <c r="O1200" s="246">
        <v>0</v>
      </c>
      <c r="P1200" s="246">
        <v>17984130.719999999</v>
      </c>
      <c r="Q1200" s="246">
        <v>0</v>
      </c>
      <c r="R1200" s="246">
        <v>0</v>
      </c>
      <c r="S1200" s="246">
        <v>0</v>
      </c>
      <c r="T1200" s="246">
        <v>0</v>
      </c>
      <c r="U1200" s="246">
        <v>0</v>
      </c>
      <c r="V1200" s="246">
        <v>0</v>
      </c>
      <c r="W1200" s="246">
        <v>0</v>
      </c>
      <c r="X1200" s="246">
        <v>0</v>
      </c>
      <c r="Y1200" s="246">
        <f t="shared" si="289"/>
        <v>17984130.719999999</v>
      </c>
      <c r="Z1200" s="281"/>
      <c r="AA1200" s="248">
        <v>4940504.79</v>
      </c>
      <c r="AB1200" s="248"/>
      <c r="AC1200" s="248">
        <v>8948.15</v>
      </c>
      <c r="AD1200" s="248">
        <v>116143.09</v>
      </c>
      <c r="AE1200" s="248">
        <v>0</v>
      </c>
      <c r="AF1200" s="248"/>
      <c r="AG1200" s="250">
        <f t="shared" si="290"/>
        <v>5065596.03</v>
      </c>
      <c r="AH1200" s="282" t="s">
        <v>1314</v>
      </c>
      <c r="AI1200" s="282"/>
      <c r="AJ1200" s="282" t="s">
        <v>1315</v>
      </c>
      <c r="AK1200" s="282" t="s">
        <v>1316</v>
      </c>
      <c r="AL1200" s="252"/>
      <c r="AM1200" s="252"/>
      <c r="AN1200" s="239">
        <v>0</v>
      </c>
      <c r="AO1200" s="239">
        <v>0</v>
      </c>
      <c r="AP1200" s="239">
        <v>0</v>
      </c>
      <c r="AQ1200" s="239">
        <v>0</v>
      </c>
      <c r="AR1200" s="239">
        <v>0</v>
      </c>
      <c r="AS1200" s="239">
        <f t="shared" si="285"/>
        <v>0</v>
      </c>
      <c r="AT1200" s="239"/>
      <c r="AU1200" s="239">
        <v>0</v>
      </c>
      <c r="AV1200" s="239"/>
      <c r="AW1200" s="239"/>
      <c r="AX1200" s="239"/>
      <c r="AY1200" s="239"/>
      <c r="AZ1200" s="239">
        <v>0</v>
      </c>
      <c r="BA1200" s="239">
        <f t="shared" si="286"/>
        <v>0</v>
      </c>
      <c r="BB1200" s="239"/>
      <c r="BC1200" s="239"/>
      <c r="BD1200" s="239"/>
      <c r="BE1200" s="239"/>
      <c r="BF1200" s="239"/>
      <c r="BG1200" s="239"/>
      <c r="BH1200" s="239">
        <f t="shared" si="287"/>
        <v>0</v>
      </c>
      <c r="BI1200" s="239">
        <f t="shared" si="288"/>
        <v>12918534.689999998</v>
      </c>
      <c r="BJ1200" s="239">
        <v>12918534.689999999</v>
      </c>
      <c r="BK1200" s="240">
        <v>43132</v>
      </c>
      <c r="BL1200" s="253">
        <f>151540.61+570000+1500000+5000000+4127650+1069344.08+500000</f>
        <v>12918534.689999999</v>
      </c>
      <c r="BM1200" s="47">
        <v>0</v>
      </c>
      <c r="BN1200" s="9"/>
      <c r="BO1200" s="9"/>
      <c r="BP1200" s="9"/>
      <c r="BQ1200" s="9"/>
      <c r="BR1200" s="9"/>
      <c r="BS1200" s="9"/>
      <c r="BT1200" s="9"/>
      <c r="BU1200" s="9"/>
      <c r="BV1200" s="9"/>
      <c r="BW1200" s="9"/>
    </row>
    <row r="1201" spans="1:75" ht="204.75" hidden="1" outlineLevel="2" x14ac:dyDescent="0.25">
      <c r="A1201" s="242" t="s">
        <v>1237</v>
      </c>
      <c r="B1201" s="243" t="s">
        <v>1280</v>
      </c>
      <c r="C1201" s="244">
        <v>2018</v>
      </c>
      <c r="D1201" s="243" t="s">
        <v>77</v>
      </c>
      <c r="E1201" s="246">
        <v>0</v>
      </c>
      <c r="F1201" s="246">
        <v>0</v>
      </c>
      <c r="G1201" s="246">
        <v>0</v>
      </c>
      <c r="H1201" s="246">
        <v>0</v>
      </c>
      <c r="I1201" s="246">
        <v>0</v>
      </c>
      <c r="J1201" s="246">
        <v>0</v>
      </c>
      <c r="K1201" s="246">
        <v>0</v>
      </c>
      <c r="L1201" s="246">
        <v>0</v>
      </c>
      <c r="M1201" s="246">
        <v>0</v>
      </c>
      <c r="N1201" s="246">
        <v>0</v>
      </c>
      <c r="O1201" s="246">
        <v>0</v>
      </c>
      <c r="P1201" s="246">
        <v>17984130.719999999</v>
      </c>
      <c r="Q1201" s="246">
        <v>0</v>
      </c>
      <c r="R1201" s="246">
        <v>0</v>
      </c>
      <c r="S1201" s="246">
        <v>0</v>
      </c>
      <c r="T1201" s="246">
        <v>0</v>
      </c>
      <c r="U1201" s="246">
        <v>0</v>
      </c>
      <c r="V1201" s="246">
        <v>0</v>
      </c>
      <c r="W1201" s="246">
        <v>0</v>
      </c>
      <c r="X1201" s="246">
        <v>0</v>
      </c>
      <c r="Y1201" s="246">
        <f t="shared" si="289"/>
        <v>17984130.719999999</v>
      </c>
      <c r="Z1201" s="281"/>
      <c r="AA1201" s="248">
        <v>4957176.54</v>
      </c>
      <c r="AB1201" s="248"/>
      <c r="AC1201" s="248">
        <v>9157.92</v>
      </c>
      <c r="AD1201" s="248">
        <f>140998.69+112318.85</f>
        <v>253317.54</v>
      </c>
      <c r="AE1201" s="248">
        <v>0</v>
      </c>
      <c r="AF1201" s="248"/>
      <c r="AG1201" s="250">
        <f t="shared" si="290"/>
        <v>5219652</v>
      </c>
      <c r="AH1201" s="282" t="s">
        <v>1317</v>
      </c>
      <c r="AI1201" s="282"/>
      <c r="AJ1201" s="282" t="s">
        <v>1318</v>
      </c>
      <c r="AK1201" s="282" t="s">
        <v>1319</v>
      </c>
      <c r="AL1201" s="252"/>
      <c r="AM1201" s="252"/>
      <c r="AN1201" s="239">
        <v>0</v>
      </c>
      <c r="AO1201" s="239">
        <v>0</v>
      </c>
      <c r="AP1201" s="239"/>
      <c r="AQ1201" s="239">
        <v>0</v>
      </c>
      <c r="AR1201" s="239"/>
      <c r="AS1201" s="239">
        <f t="shared" si="285"/>
        <v>0</v>
      </c>
      <c r="AT1201" s="239"/>
      <c r="AU1201" s="239">
        <f>2380.15+4008.32+8604.5+2380+2340</f>
        <v>19712.97</v>
      </c>
      <c r="AV1201" s="239"/>
      <c r="AW1201" s="239"/>
      <c r="AX1201" s="239"/>
      <c r="AY1201" s="239"/>
      <c r="AZ1201" s="239">
        <v>0</v>
      </c>
      <c r="BA1201" s="239">
        <f t="shared" si="286"/>
        <v>19712.97</v>
      </c>
      <c r="BB1201" s="283" t="s">
        <v>1320</v>
      </c>
      <c r="BC1201" s="283"/>
      <c r="BD1201" s="283"/>
      <c r="BE1201" s="283"/>
      <c r="BF1201" s="283"/>
      <c r="BG1201" s="239"/>
      <c r="BH1201" s="239">
        <f t="shared" si="287"/>
        <v>19712.97</v>
      </c>
      <c r="BI1201" s="239">
        <f t="shared" si="288"/>
        <v>12784191.689999999</v>
      </c>
      <c r="BJ1201" s="239">
        <v>12764478.720000001</v>
      </c>
      <c r="BK1201" s="240">
        <v>43160</v>
      </c>
      <c r="BL1201" s="253">
        <f>2430655.92+70000+3458670.38+2000000+4127650+677502.42+19712.97</f>
        <v>12784191.690000001</v>
      </c>
      <c r="BM1201" s="47">
        <v>0</v>
      </c>
      <c r="BN1201" s="9"/>
      <c r="BO1201" s="9"/>
      <c r="BP1201" s="9"/>
      <c r="BQ1201" s="9"/>
      <c r="BR1201" s="9"/>
      <c r="BS1201" s="9"/>
      <c r="BT1201" s="9"/>
      <c r="BU1201" s="9"/>
      <c r="BV1201" s="9"/>
      <c r="BW1201" s="9"/>
    </row>
    <row r="1202" spans="1:75" ht="39" hidden="1" outlineLevel="2" x14ac:dyDescent="0.25">
      <c r="A1202" s="242" t="s">
        <v>1237</v>
      </c>
      <c r="B1202" s="243" t="s">
        <v>1280</v>
      </c>
      <c r="C1202" s="244">
        <v>2018</v>
      </c>
      <c r="D1202" s="243" t="s">
        <v>79</v>
      </c>
      <c r="E1202" s="246">
        <v>0</v>
      </c>
      <c r="F1202" s="246">
        <v>0</v>
      </c>
      <c r="G1202" s="246">
        <v>0</v>
      </c>
      <c r="H1202" s="246">
        <v>0</v>
      </c>
      <c r="I1202" s="246">
        <v>0</v>
      </c>
      <c r="J1202" s="246">
        <v>0</v>
      </c>
      <c r="K1202" s="246">
        <v>0</v>
      </c>
      <c r="L1202" s="246">
        <v>0</v>
      </c>
      <c r="M1202" s="246">
        <v>0</v>
      </c>
      <c r="N1202" s="246">
        <v>0</v>
      </c>
      <c r="O1202" s="246">
        <v>0</v>
      </c>
      <c r="P1202" s="246">
        <v>17984130.719999999</v>
      </c>
      <c r="Q1202" s="246">
        <v>0</v>
      </c>
      <c r="R1202" s="246">
        <v>0</v>
      </c>
      <c r="S1202" s="246">
        <v>0</v>
      </c>
      <c r="T1202" s="246">
        <v>0</v>
      </c>
      <c r="U1202" s="246">
        <v>0</v>
      </c>
      <c r="V1202" s="246">
        <v>0</v>
      </c>
      <c r="W1202" s="246">
        <v>0</v>
      </c>
      <c r="X1202" s="246">
        <v>0</v>
      </c>
      <c r="Y1202" s="246">
        <f t="shared" si="289"/>
        <v>17984130.719999999</v>
      </c>
      <c r="Z1202" s="281"/>
      <c r="AA1202" s="248">
        <v>4954193.32</v>
      </c>
      <c r="AB1202" s="248"/>
      <c r="AC1202" s="248">
        <v>9399.1299999999992</v>
      </c>
      <c r="AD1202" s="248">
        <f>292929.29+130845.54</f>
        <v>423774.82999999996</v>
      </c>
      <c r="AE1202" s="248">
        <v>0</v>
      </c>
      <c r="AF1202" s="248"/>
      <c r="AG1202" s="250">
        <f t="shared" si="290"/>
        <v>5387367.2800000003</v>
      </c>
      <c r="AH1202" s="282" t="s">
        <v>1321</v>
      </c>
      <c r="AI1202" s="282"/>
      <c r="AJ1202" s="282" t="s">
        <v>1322</v>
      </c>
      <c r="AK1202" s="282" t="s">
        <v>1323</v>
      </c>
      <c r="AL1202" s="252"/>
      <c r="AM1202" s="252"/>
      <c r="AN1202" s="239">
        <v>0</v>
      </c>
      <c r="AO1202" s="239">
        <v>0</v>
      </c>
      <c r="AP1202" s="239">
        <v>0</v>
      </c>
      <c r="AQ1202" s="239">
        <v>0</v>
      </c>
      <c r="AR1202" s="239">
        <v>0</v>
      </c>
      <c r="AS1202" s="239">
        <f t="shared" si="285"/>
        <v>0</v>
      </c>
      <c r="AT1202" s="239"/>
      <c r="AU1202" s="239">
        <v>0</v>
      </c>
      <c r="AV1202" s="239"/>
      <c r="AW1202" s="239"/>
      <c r="AX1202" s="239"/>
      <c r="AY1202" s="239"/>
      <c r="AZ1202" s="239">
        <v>0</v>
      </c>
      <c r="BA1202" s="239">
        <f t="shared" si="286"/>
        <v>0</v>
      </c>
      <c r="BB1202" s="239"/>
      <c r="BC1202" s="239"/>
      <c r="BD1202" s="239"/>
      <c r="BE1202" s="239"/>
      <c r="BF1202" s="239"/>
      <c r="BG1202" s="239"/>
      <c r="BH1202" s="239">
        <f t="shared" si="287"/>
        <v>0</v>
      </c>
      <c r="BI1202" s="239">
        <f t="shared" si="288"/>
        <v>12596763.439999998</v>
      </c>
      <c r="BJ1202" s="239">
        <v>12596763.439999999</v>
      </c>
      <c r="BK1202" s="240">
        <v>43191</v>
      </c>
      <c r="BL1202" s="253">
        <f>322497.58+600000+3000000+570000+38402.33+1459493.56+4094628.8+2511741.17</f>
        <v>12596763.439999999</v>
      </c>
      <c r="BM1202" s="47">
        <v>0</v>
      </c>
      <c r="BN1202" s="9"/>
      <c r="BO1202" s="9"/>
      <c r="BP1202" s="9"/>
      <c r="BQ1202" s="9"/>
      <c r="BR1202" s="9"/>
      <c r="BS1202" s="9"/>
      <c r="BT1202" s="9"/>
      <c r="BU1202" s="9"/>
      <c r="BV1202" s="9"/>
      <c r="BW1202" s="9"/>
    </row>
    <row r="1203" spans="1:75" hidden="1" outlineLevel="2" x14ac:dyDescent="0.25">
      <c r="A1203" s="242" t="s">
        <v>1237</v>
      </c>
      <c r="B1203" s="243" t="s">
        <v>1280</v>
      </c>
      <c r="C1203" s="244">
        <v>2018</v>
      </c>
      <c r="D1203" s="243" t="s">
        <v>81</v>
      </c>
      <c r="E1203" s="246">
        <v>0</v>
      </c>
      <c r="F1203" s="246">
        <v>0</v>
      </c>
      <c r="G1203" s="246">
        <v>0</v>
      </c>
      <c r="H1203" s="246">
        <v>0</v>
      </c>
      <c r="I1203" s="246">
        <v>0</v>
      </c>
      <c r="J1203" s="246">
        <v>0</v>
      </c>
      <c r="K1203" s="246">
        <v>0</v>
      </c>
      <c r="L1203" s="246">
        <v>0</v>
      </c>
      <c r="M1203" s="246">
        <v>0</v>
      </c>
      <c r="N1203" s="246">
        <v>0</v>
      </c>
      <c r="O1203" s="246">
        <v>0</v>
      </c>
      <c r="P1203" s="246">
        <v>4795768.1919999998</v>
      </c>
      <c r="Q1203" s="246">
        <f>15051910.98+149512.01</f>
        <v>15201422.99</v>
      </c>
      <c r="R1203" s="246"/>
      <c r="S1203" s="246"/>
      <c r="T1203" s="246"/>
      <c r="U1203" s="246"/>
      <c r="V1203" s="246"/>
      <c r="W1203" s="246"/>
      <c r="X1203" s="246"/>
      <c r="Y1203" s="246">
        <f>O1203+P1203+Q1203</f>
        <v>19997191.182</v>
      </c>
      <c r="Z1203" s="281"/>
      <c r="AA1203" s="248">
        <v>4989759.3899999997</v>
      </c>
      <c r="AB1203" s="248"/>
      <c r="AC1203" s="248">
        <v>10094.08</v>
      </c>
      <c r="AD1203" s="248">
        <v>121192.55</v>
      </c>
      <c r="AE1203" s="248">
        <v>0</v>
      </c>
      <c r="AF1203" s="248"/>
      <c r="AG1203" s="250">
        <f t="shared" si="290"/>
        <v>5121046.0199999996</v>
      </c>
      <c r="AH1203" s="282" t="s">
        <v>1324</v>
      </c>
      <c r="AI1203" s="282"/>
      <c r="AJ1203" s="282" t="s">
        <v>1325</v>
      </c>
      <c r="AK1203" s="282" t="s">
        <v>1326</v>
      </c>
      <c r="AL1203" s="252"/>
      <c r="AM1203" s="252"/>
      <c r="AN1203" s="239">
        <v>0</v>
      </c>
      <c r="AO1203" s="239">
        <v>0</v>
      </c>
      <c r="AP1203" s="239">
        <v>0</v>
      </c>
      <c r="AQ1203" s="239">
        <v>0</v>
      </c>
      <c r="AR1203" s="239">
        <v>0</v>
      </c>
      <c r="AS1203" s="239">
        <f t="shared" si="285"/>
        <v>0</v>
      </c>
      <c r="AT1203" s="239"/>
      <c r="AU1203" s="239">
        <v>0</v>
      </c>
      <c r="AV1203" s="239"/>
      <c r="AW1203" s="239"/>
      <c r="AX1203" s="239"/>
      <c r="AY1203" s="239"/>
      <c r="AZ1203" s="239">
        <v>0</v>
      </c>
      <c r="BA1203" s="239">
        <f t="shared" si="286"/>
        <v>0</v>
      </c>
      <c r="BB1203" s="239"/>
      <c r="BC1203" s="239"/>
      <c r="BD1203" s="239"/>
      <c r="BE1203" s="239"/>
      <c r="BF1203" s="239"/>
      <c r="BG1203" s="239"/>
      <c r="BH1203" s="239">
        <f t="shared" si="287"/>
        <v>0</v>
      </c>
      <c r="BI1203" s="239">
        <f t="shared" si="288"/>
        <v>14876145.162</v>
      </c>
      <c r="BJ1203" s="239">
        <v>14876145.162</v>
      </c>
      <c r="BK1203" s="240">
        <v>43221</v>
      </c>
      <c r="BL1203" s="253">
        <f>488258.83+3000000+570000+1000000+500000+149512.01+1350487.99+500000+2500000+737509.36+4080376.97</f>
        <v>14876145.16</v>
      </c>
      <c r="BM1203" s="47">
        <v>0</v>
      </c>
      <c r="BN1203" s="9"/>
      <c r="BO1203" s="9"/>
      <c r="BP1203" s="9"/>
      <c r="BQ1203" s="9"/>
      <c r="BR1203" s="9"/>
      <c r="BS1203" s="9"/>
      <c r="BT1203" s="9"/>
      <c r="BU1203" s="9"/>
      <c r="BV1203" s="9"/>
      <c r="BW1203" s="9"/>
    </row>
    <row r="1204" spans="1:75" ht="192" hidden="1" outlineLevel="2" x14ac:dyDescent="0.25">
      <c r="A1204" s="242" t="s">
        <v>1237</v>
      </c>
      <c r="B1204" s="243" t="s">
        <v>1280</v>
      </c>
      <c r="C1204" s="244">
        <v>2018</v>
      </c>
      <c r="D1204" s="243" t="s">
        <v>83</v>
      </c>
      <c r="E1204" s="246">
        <v>0</v>
      </c>
      <c r="F1204" s="246">
        <v>0</v>
      </c>
      <c r="G1204" s="246">
        <v>0</v>
      </c>
      <c r="H1204" s="246">
        <v>0</v>
      </c>
      <c r="I1204" s="246">
        <v>0</v>
      </c>
      <c r="J1204" s="246">
        <v>0</v>
      </c>
      <c r="K1204" s="246">
        <v>0</v>
      </c>
      <c r="L1204" s="246">
        <v>0</v>
      </c>
      <c r="M1204" s="246">
        <v>0</v>
      </c>
      <c r="N1204" s="246">
        <v>0</v>
      </c>
      <c r="O1204" s="246">
        <v>0</v>
      </c>
      <c r="P1204" s="246">
        <v>0</v>
      </c>
      <c r="Q1204" s="246">
        <f>20525333.15+203880.01+21104406.57</f>
        <v>41833619.730000004</v>
      </c>
      <c r="R1204" s="246"/>
      <c r="S1204" s="246"/>
      <c r="T1204" s="246"/>
      <c r="U1204" s="246"/>
      <c r="V1204" s="246"/>
      <c r="W1204" s="246"/>
      <c r="X1204" s="246"/>
      <c r="Y1204" s="246">
        <f>O1204+P1204+Q1204</f>
        <v>41833619.730000004</v>
      </c>
      <c r="Z1204" s="281"/>
      <c r="AA1204" s="248">
        <v>4944432.6900000004</v>
      </c>
      <c r="AB1204" s="248"/>
      <c r="AC1204" s="248">
        <v>9971.74</v>
      </c>
      <c r="AD1204" s="248">
        <v>153396.84</v>
      </c>
      <c r="AE1204" s="248">
        <f>17095456.88+4008949.69</f>
        <v>21104406.57</v>
      </c>
      <c r="AF1204" s="248"/>
      <c r="AG1204" s="250">
        <f t="shared" si="290"/>
        <v>26212207.84</v>
      </c>
      <c r="AH1204" s="282" t="s">
        <v>1327</v>
      </c>
      <c r="AI1204" s="282"/>
      <c r="AJ1204" s="282" t="s">
        <v>1328</v>
      </c>
      <c r="AK1204" s="282" t="s">
        <v>1329</v>
      </c>
      <c r="AL1204" s="252" t="s">
        <v>1330</v>
      </c>
      <c r="AM1204" s="252"/>
      <c r="AN1204" s="239"/>
      <c r="AO1204" s="239"/>
      <c r="AP1204" s="239"/>
      <c r="AQ1204" s="239"/>
      <c r="AR1204" s="239"/>
      <c r="AS1204" s="239">
        <f t="shared" si="285"/>
        <v>0</v>
      </c>
      <c r="AT1204" s="239"/>
      <c r="AU1204" s="239"/>
      <c r="AV1204" s="239"/>
      <c r="AW1204" s="239"/>
      <c r="AX1204" s="239"/>
      <c r="AY1204" s="239"/>
      <c r="AZ1204" s="239"/>
      <c r="BA1204" s="239">
        <f t="shared" si="286"/>
        <v>0</v>
      </c>
      <c r="BB1204" s="239"/>
      <c r="BC1204" s="239"/>
      <c r="BD1204" s="239"/>
      <c r="BE1204" s="239"/>
      <c r="BF1204" s="239"/>
      <c r="BG1204" s="239"/>
      <c r="BH1204" s="239">
        <f t="shared" si="287"/>
        <v>0</v>
      </c>
      <c r="BI1204" s="239">
        <f t="shared" si="288"/>
        <v>15621411.890000004</v>
      </c>
      <c r="BJ1204" s="239">
        <v>15621411.890000001</v>
      </c>
      <c r="BK1204" s="240">
        <v>43252</v>
      </c>
      <c r="BL1204" s="253">
        <f>600000+3000000+366119.99+203880.01+1522129.72+877870.28+600000+2000000+4127650+2323761.89</f>
        <v>15621411.890000001</v>
      </c>
      <c r="BM1204" s="47">
        <v>0</v>
      </c>
      <c r="BN1204" s="9"/>
      <c r="BO1204" s="9"/>
      <c r="BP1204" s="9"/>
      <c r="BQ1204" s="9"/>
      <c r="BR1204" s="9"/>
      <c r="BS1204" s="9"/>
      <c r="BT1204" s="9"/>
      <c r="BU1204" s="9"/>
      <c r="BV1204" s="9"/>
      <c r="BW1204" s="9"/>
    </row>
    <row r="1205" spans="1:75" ht="26.25" hidden="1" outlineLevel="2" x14ac:dyDescent="0.25">
      <c r="A1205" s="242" t="s">
        <v>1237</v>
      </c>
      <c r="B1205" s="243" t="s">
        <v>1280</v>
      </c>
      <c r="C1205" s="244">
        <v>2018</v>
      </c>
      <c r="D1205" s="243" t="s">
        <v>84</v>
      </c>
      <c r="E1205" s="246">
        <v>0</v>
      </c>
      <c r="F1205" s="246">
        <v>0</v>
      </c>
      <c r="G1205" s="246">
        <v>0</v>
      </c>
      <c r="H1205" s="246">
        <v>0</v>
      </c>
      <c r="I1205" s="246">
        <v>0</v>
      </c>
      <c r="J1205" s="246">
        <v>0</v>
      </c>
      <c r="K1205" s="246">
        <v>0</v>
      </c>
      <c r="L1205" s="246">
        <v>0</v>
      </c>
      <c r="M1205" s="246">
        <v>0</v>
      </c>
      <c r="N1205" s="246">
        <v>0</v>
      </c>
      <c r="O1205" s="246">
        <v>0</v>
      </c>
      <c r="P1205" s="246">
        <v>0</v>
      </c>
      <c r="Q1205" s="246">
        <f>20525333.15+203880.01</f>
        <v>20729213.16</v>
      </c>
      <c r="R1205" s="246"/>
      <c r="S1205" s="246"/>
      <c r="T1205" s="246"/>
      <c r="U1205" s="246"/>
      <c r="V1205" s="246"/>
      <c r="W1205" s="246"/>
      <c r="X1205" s="246"/>
      <c r="Y1205" s="246">
        <f>E1205+F1205+G1205+H1205+M1205+N1205+O1205+P1205+Q1205+R1205+S1205</f>
        <v>20729213.16</v>
      </c>
      <c r="Z1205" s="281"/>
      <c r="AA1205" s="248">
        <v>5017473.88</v>
      </c>
      <c r="AB1205" s="248"/>
      <c r="AC1205" s="248">
        <v>9569.35</v>
      </c>
      <c r="AD1205" s="248">
        <v>112772.83</v>
      </c>
      <c r="AE1205" s="248"/>
      <c r="AF1205" s="248"/>
      <c r="AG1205" s="250">
        <f t="shared" si="290"/>
        <v>5139816.0599999996</v>
      </c>
      <c r="AH1205" s="282" t="s">
        <v>1331</v>
      </c>
      <c r="AI1205" s="282"/>
      <c r="AJ1205" s="282" t="s">
        <v>1332</v>
      </c>
      <c r="AK1205" s="282" t="s">
        <v>1266</v>
      </c>
      <c r="AL1205" s="252"/>
      <c r="AM1205" s="252"/>
      <c r="AN1205" s="239"/>
      <c r="AO1205" s="239"/>
      <c r="AP1205" s="239"/>
      <c r="AQ1205" s="239"/>
      <c r="AR1205" s="239"/>
      <c r="AS1205" s="239">
        <f t="shared" si="285"/>
        <v>0</v>
      </c>
      <c r="AT1205" s="239"/>
      <c r="AU1205" s="239"/>
      <c r="AV1205" s="239"/>
      <c r="AW1205" s="239"/>
      <c r="AX1205" s="239"/>
      <c r="AY1205" s="239"/>
      <c r="AZ1205" s="239"/>
      <c r="BA1205" s="239">
        <f t="shared" si="286"/>
        <v>0</v>
      </c>
      <c r="BB1205" s="239"/>
      <c r="BC1205" s="239"/>
      <c r="BD1205" s="239"/>
      <c r="BE1205" s="239"/>
      <c r="BF1205" s="239"/>
      <c r="BG1205" s="239"/>
      <c r="BH1205" s="239">
        <f t="shared" si="287"/>
        <v>0</v>
      </c>
      <c r="BI1205" s="239">
        <f t="shared" si="288"/>
        <v>15589397.100000001</v>
      </c>
      <c r="BJ1205" s="239">
        <v>15589397.1</v>
      </c>
      <c r="BK1205" s="240">
        <v>43282</v>
      </c>
      <c r="BL1205" s="253">
        <f>1000000+2000000+580000+500000+4000000+3000000+1000000+1000000+440502.12+559497.88+500000+1009397.1</f>
        <v>15589397.1</v>
      </c>
      <c r="BM1205" s="47">
        <v>0</v>
      </c>
      <c r="BN1205" s="9"/>
      <c r="BO1205" s="9"/>
      <c r="BP1205" s="9"/>
      <c r="BQ1205" s="9"/>
      <c r="BR1205" s="9"/>
      <c r="BS1205" s="9"/>
      <c r="BT1205" s="9"/>
      <c r="BU1205" s="9"/>
      <c r="BV1205" s="9"/>
      <c r="BW1205" s="9"/>
    </row>
    <row r="1206" spans="1:75" ht="39" hidden="1" outlineLevel="2" x14ac:dyDescent="0.25">
      <c r="A1206" s="242" t="s">
        <v>1237</v>
      </c>
      <c r="B1206" s="243" t="s">
        <v>1280</v>
      </c>
      <c r="C1206" s="244">
        <v>2018</v>
      </c>
      <c r="D1206" s="243" t="s">
        <v>86</v>
      </c>
      <c r="E1206" s="246">
        <v>0</v>
      </c>
      <c r="F1206" s="246">
        <v>0</v>
      </c>
      <c r="G1206" s="246">
        <v>0</v>
      </c>
      <c r="H1206" s="246">
        <v>0</v>
      </c>
      <c r="I1206" s="246">
        <v>0</v>
      </c>
      <c r="J1206" s="246">
        <v>0</v>
      </c>
      <c r="K1206" s="246">
        <v>0</v>
      </c>
      <c r="L1206" s="246">
        <v>0</v>
      </c>
      <c r="M1206" s="246">
        <v>0</v>
      </c>
      <c r="N1206" s="246">
        <v>0</v>
      </c>
      <c r="O1206" s="246">
        <v>0</v>
      </c>
      <c r="P1206" s="246">
        <v>0</v>
      </c>
      <c r="Q1206" s="246">
        <f>20525333.15+203880.01</f>
        <v>20729213.16</v>
      </c>
      <c r="R1206" s="246">
        <f>Q1209/30</f>
        <v>598843.93566666672</v>
      </c>
      <c r="S1206" s="246"/>
      <c r="T1206" s="246"/>
      <c r="U1206" s="246"/>
      <c r="V1206" s="246"/>
      <c r="W1206" s="246"/>
      <c r="X1206" s="246"/>
      <c r="Y1206" s="246">
        <f>O1206+P1206+Q1206</f>
        <v>20729213.16</v>
      </c>
      <c r="Z1206" s="281"/>
      <c r="AA1206" s="248">
        <v>5032552.5999999996</v>
      </c>
      <c r="AB1206" s="248"/>
      <c r="AC1206" s="248">
        <v>10006.56</v>
      </c>
      <c r="AD1206" s="248">
        <f>601207.41+110250.46</f>
        <v>711457.87</v>
      </c>
      <c r="AE1206" s="248"/>
      <c r="AF1206" s="248"/>
      <c r="AG1206" s="250">
        <f t="shared" si="290"/>
        <v>5754017.0299999993</v>
      </c>
      <c r="AH1206" s="282" t="s">
        <v>1333</v>
      </c>
      <c r="AI1206" s="282"/>
      <c r="AJ1206" s="282" t="s">
        <v>1334</v>
      </c>
      <c r="AK1206" s="282" t="s">
        <v>1335</v>
      </c>
      <c r="AL1206" s="252"/>
      <c r="AM1206" s="252"/>
      <c r="AN1206" s="239"/>
      <c r="AO1206" s="239"/>
      <c r="AP1206" s="239"/>
      <c r="AQ1206" s="239"/>
      <c r="AR1206" s="239"/>
      <c r="AS1206" s="239">
        <f t="shared" si="285"/>
        <v>0</v>
      </c>
      <c r="AT1206" s="239"/>
      <c r="AU1206" s="239"/>
      <c r="AV1206" s="239"/>
      <c r="AW1206" s="239"/>
      <c r="AX1206" s="239"/>
      <c r="AY1206" s="239"/>
      <c r="AZ1206" s="239"/>
      <c r="BA1206" s="239">
        <f t="shared" si="286"/>
        <v>0</v>
      </c>
      <c r="BB1206" s="239"/>
      <c r="BC1206" s="239"/>
      <c r="BD1206" s="239"/>
      <c r="BE1206" s="239"/>
      <c r="BF1206" s="239"/>
      <c r="BG1206" s="239"/>
      <c r="BH1206" s="239">
        <f t="shared" si="287"/>
        <v>0</v>
      </c>
      <c r="BI1206" s="239">
        <f t="shared" si="288"/>
        <v>14975196.130000001</v>
      </c>
      <c r="BJ1206" s="239">
        <v>14975196.130000001</v>
      </c>
      <c r="BK1206" s="240">
        <v>43313</v>
      </c>
      <c r="BL1206" s="253">
        <f>490602.9+509397.1+990602.9+1500000+3000000+2000000+2000000+800000+800000+400000+900000+300000+1000000+284593.23</f>
        <v>14975196.130000001</v>
      </c>
      <c r="BM1206" s="47">
        <v>0</v>
      </c>
      <c r="BN1206" s="9"/>
      <c r="BO1206" s="9"/>
      <c r="BP1206" s="9"/>
      <c r="BQ1206" s="9"/>
      <c r="BR1206" s="9"/>
      <c r="BS1206" s="9"/>
      <c r="BT1206" s="9"/>
      <c r="BU1206" s="9"/>
      <c r="BV1206" s="9"/>
      <c r="BW1206" s="9"/>
    </row>
    <row r="1207" spans="1:75" ht="179.25" hidden="1" outlineLevel="2" x14ac:dyDescent="0.25">
      <c r="A1207" s="242" t="s">
        <v>1237</v>
      </c>
      <c r="B1207" s="243" t="s">
        <v>1280</v>
      </c>
      <c r="C1207" s="244">
        <v>2018</v>
      </c>
      <c r="D1207" s="243" t="s">
        <v>88</v>
      </c>
      <c r="E1207" s="246">
        <v>0</v>
      </c>
      <c r="F1207" s="246">
        <v>0</v>
      </c>
      <c r="G1207" s="246">
        <v>0</v>
      </c>
      <c r="H1207" s="246">
        <v>0</v>
      </c>
      <c r="I1207" s="246">
        <v>0</v>
      </c>
      <c r="J1207" s="246">
        <v>0</v>
      </c>
      <c r="K1207" s="246">
        <v>0</v>
      </c>
      <c r="L1207" s="246">
        <v>0</v>
      </c>
      <c r="M1207" s="246">
        <v>0</v>
      </c>
      <c r="N1207" s="246">
        <v>0</v>
      </c>
      <c r="O1207" s="246">
        <v>0</v>
      </c>
      <c r="P1207" s="246">
        <v>0</v>
      </c>
      <c r="Q1207" s="246">
        <f>20525333.15+203880.01</f>
        <v>20729213.16</v>
      </c>
      <c r="R1207" s="246">
        <f>R1206*26</f>
        <v>15569942.327333335</v>
      </c>
      <c r="S1207" s="246"/>
      <c r="T1207" s="246"/>
      <c r="U1207" s="246"/>
      <c r="V1207" s="246"/>
      <c r="W1207" s="246"/>
      <c r="X1207" s="246"/>
      <c r="Y1207" s="246">
        <f>O1207+P1207+Q1207</f>
        <v>20729213.16</v>
      </c>
      <c r="Z1207" s="281"/>
      <c r="AA1207" s="248">
        <v>4942307.32</v>
      </c>
      <c r="AB1207" s="248"/>
      <c r="AC1207" s="248">
        <v>10222.540000000001</v>
      </c>
      <c r="AD1207" s="248">
        <v>127628.33</v>
      </c>
      <c r="AE1207" s="248"/>
      <c r="AF1207" s="248">
        <v>29410</v>
      </c>
      <c r="AG1207" s="250">
        <f>AA1207+AC1207+AD1207+AE1207+AF1207</f>
        <v>5109568.1900000004</v>
      </c>
      <c r="AH1207" s="282" t="s">
        <v>1336</v>
      </c>
      <c r="AI1207" s="282"/>
      <c r="AJ1207" s="282" t="s">
        <v>1337</v>
      </c>
      <c r="AK1207" s="282" t="s">
        <v>1338</v>
      </c>
      <c r="AL1207" s="252"/>
      <c r="AM1207" s="252" t="s">
        <v>1339</v>
      </c>
      <c r="AN1207" s="239"/>
      <c r="AO1207" s="239"/>
      <c r="AP1207" s="239"/>
      <c r="AQ1207" s="239"/>
      <c r="AR1207" s="239"/>
      <c r="AS1207" s="239">
        <f t="shared" si="285"/>
        <v>0</v>
      </c>
      <c r="AT1207" s="239"/>
      <c r="AU1207" s="239">
        <f>10740+11720+5200+1750</f>
        <v>29410</v>
      </c>
      <c r="AV1207" s="239"/>
      <c r="AW1207" s="239"/>
      <c r="AX1207" s="239"/>
      <c r="AY1207" s="239"/>
      <c r="AZ1207" s="239"/>
      <c r="BA1207" s="239">
        <f t="shared" si="286"/>
        <v>29410</v>
      </c>
      <c r="BB1207" s="283" t="s">
        <v>1340</v>
      </c>
      <c r="BC1207" s="283"/>
      <c r="BD1207" s="283"/>
      <c r="BE1207" s="283"/>
      <c r="BF1207" s="283"/>
      <c r="BG1207" s="239"/>
      <c r="BH1207" s="239">
        <f t="shared" si="287"/>
        <v>29410</v>
      </c>
      <c r="BI1207" s="239">
        <f t="shared" si="288"/>
        <v>15649054.969999999</v>
      </c>
      <c r="BJ1207" s="239">
        <v>15649054.970000001</v>
      </c>
      <c r="BK1207" s="240">
        <v>43344</v>
      </c>
      <c r="BL1207" s="253">
        <f>1215406.77+2500000+9000000+2000000+933648.2</f>
        <v>15649054.969999999</v>
      </c>
      <c r="BM1207" s="47">
        <v>0</v>
      </c>
      <c r="BN1207" s="9"/>
      <c r="BO1207" s="9"/>
      <c r="BP1207" s="9"/>
      <c r="BQ1207" s="9"/>
      <c r="BR1207" s="9"/>
      <c r="BS1207" s="9"/>
      <c r="BT1207" s="9"/>
      <c r="BU1207" s="9"/>
      <c r="BV1207" s="9"/>
      <c r="BW1207" s="9"/>
    </row>
    <row r="1208" spans="1:75" ht="383.25" hidden="1" outlineLevel="2" x14ac:dyDescent="0.25">
      <c r="A1208" s="242" t="s">
        <v>1237</v>
      </c>
      <c r="B1208" s="243" t="s">
        <v>1280</v>
      </c>
      <c r="C1208" s="244">
        <v>2018</v>
      </c>
      <c r="D1208" s="243" t="s">
        <v>89</v>
      </c>
      <c r="E1208" s="246">
        <v>0</v>
      </c>
      <c r="F1208" s="246">
        <v>0</v>
      </c>
      <c r="G1208" s="246">
        <v>0</v>
      </c>
      <c r="H1208" s="246">
        <v>0</v>
      </c>
      <c r="I1208" s="246">
        <v>0</v>
      </c>
      <c r="J1208" s="246">
        <v>0</v>
      </c>
      <c r="K1208" s="246">
        <v>0</v>
      </c>
      <c r="L1208" s="246">
        <v>0</v>
      </c>
      <c r="M1208" s="246">
        <v>0</v>
      </c>
      <c r="N1208" s="246">
        <v>0</v>
      </c>
      <c r="O1208" s="246">
        <v>0</v>
      </c>
      <c r="P1208" s="246">
        <v>0</v>
      </c>
      <c r="Q1208" s="246">
        <f>20525333.15+203880.01</f>
        <v>20729213.16</v>
      </c>
      <c r="R1208" s="246"/>
      <c r="S1208" s="246"/>
      <c r="T1208" s="246"/>
      <c r="U1208" s="246"/>
      <c r="V1208" s="246"/>
      <c r="W1208" s="246"/>
      <c r="X1208" s="246"/>
      <c r="Y1208" s="246">
        <f>O1208+P1208+Q1208</f>
        <v>20729213.16</v>
      </c>
      <c r="Z1208" s="281"/>
      <c r="AA1208" s="248">
        <v>4879695.67</v>
      </c>
      <c r="AB1208" s="248"/>
      <c r="AC1208" s="248">
        <v>9692.56</v>
      </c>
      <c r="AD1208" s="248">
        <v>119484.25</v>
      </c>
      <c r="AE1208" s="248">
        <f>387123.3+11266865.58</f>
        <v>11653988.880000001</v>
      </c>
      <c r="AF1208" s="248">
        <v>138437.57</v>
      </c>
      <c r="AG1208" s="250">
        <f>AA1208+AC1208+AD1208+AE1208+AF1208</f>
        <v>16801298.93</v>
      </c>
      <c r="AH1208" s="282" t="s">
        <v>1341</v>
      </c>
      <c r="AI1208" s="282"/>
      <c r="AJ1208" s="282" t="s">
        <v>1342</v>
      </c>
      <c r="AK1208" s="282" t="s">
        <v>1343</v>
      </c>
      <c r="AL1208" s="252" t="s">
        <v>1344</v>
      </c>
      <c r="AM1208" s="252" t="s">
        <v>1345</v>
      </c>
      <c r="AN1208" s="239"/>
      <c r="AO1208" s="239"/>
      <c r="AP1208" s="137">
        <v>387123.3</v>
      </c>
      <c r="AQ1208" s="239"/>
      <c r="AR1208" s="239"/>
      <c r="AS1208" s="239">
        <f t="shared" si="285"/>
        <v>387123.3</v>
      </c>
      <c r="AT1208" s="283" t="s">
        <v>1346</v>
      </c>
      <c r="AU1208" s="239">
        <f>88262.42+2380.15+15770+15770+11720+2145+2390</f>
        <v>138437.57</v>
      </c>
      <c r="AV1208" s="239"/>
      <c r="AW1208" s="239"/>
      <c r="AX1208" s="239"/>
      <c r="AY1208" s="239"/>
      <c r="AZ1208" s="239"/>
      <c r="BA1208" s="239">
        <f t="shared" si="286"/>
        <v>138437.57</v>
      </c>
      <c r="BB1208" s="283" t="s">
        <v>1347</v>
      </c>
      <c r="BC1208" s="283"/>
      <c r="BD1208" s="283"/>
      <c r="BE1208" s="283"/>
      <c r="BF1208" s="283"/>
      <c r="BG1208" s="239"/>
      <c r="BH1208" s="239">
        <f t="shared" si="287"/>
        <v>525560.87</v>
      </c>
      <c r="BI1208" s="239">
        <f t="shared" si="288"/>
        <v>4453475.1000000006</v>
      </c>
      <c r="BJ1208" s="239">
        <v>4453475.0999999996</v>
      </c>
      <c r="BK1208" s="240">
        <v>43374</v>
      </c>
      <c r="BL1208" s="253">
        <f>66351.8+3000000+1000000+387123.3</f>
        <v>4453475.0999999996</v>
      </c>
      <c r="BM1208" s="47">
        <v>0</v>
      </c>
      <c r="BN1208" s="9"/>
      <c r="BO1208" s="9"/>
      <c r="BP1208" s="9"/>
      <c r="BQ1208" s="9"/>
      <c r="BR1208" s="9"/>
      <c r="BS1208" s="9"/>
      <c r="BT1208" s="9"/>
      <c r="BU1208" s="9"/>
      <c r="BV1208" s="9"/>
      <c r="BW1208" s="9"/>
    </row>
    <row r="1209" spans="1:75" ht="268.5" hidden="1" outlineLevel="2" x14ac:dyDescent="0.25">
      <c r="A1209" s="254" t="s">
        <v>1237</v>
      </c>
      <c r="B1209" s="255" t="s">
        <v>1280</v>
      </c>
      <c r="C1209" s="256">
        <v>2018</v>
      </c>
      <c r="D1209" s="255" t="s">
        <v>90</v>
      </c>
      <c r="E1209" s="258">
        <v>0</v>
      </c>
      <c r="F1209" s="258">
        <v>0</v>
      </c>
      <c r="G1209" s="258">
        <v>0</v>
      </c>
      <c r="H1209" s="258">
        <v>0</v>
      </c>
      <c r="I1209" s="258">
        <v>0</v>
      </c>
      <c r="J1209" s="258">
        <v>0</v>
      </c>
      <c r="K1209" s="258">
        <v>0</v>
      </c>
      <c r="L1209" s="258">
        <v>0</v>
      </c>
      <c r="M1209" s="258">
        <v>0</v>
      </c>
      <c r="N1209" s="258">
        <v>0</v>
      </c>
      <c r="O1209" s="258">
        <v>0</v>
      </c>
      <c r="P1209" s="258">
        <v>0</v>
      </c>
      <c r="Q1209" s="258">
        <v>17965318.07</v>
      </c>
      <c r="R1209" s="258"/>
      <c r="S1209" s="258"/>
      <c r="T1209" s="258"/>
      <c r="U1209" s="258"/>
      <c r="V1209" s="258"/>
      <c r="W1209" s="258"/>
      <c r="X1209" s="258"/>
      <c r="Y1209" s="258">
        <f>O1209+P1209+Q1209</f>
        <v>17965318.07</v>
      </c>
      <c r="Z1209" s="284"/>
      <c r="AA1209" s="260">
        <f>5010593.13+4134832.07</f>
        <v>9145425.1999999993</v>
      </c>
      <c r="AB1209" s="260"/>
      <c r="AC1209" s="260">
        <v>9830.89</v>
      </c>
      <c r="AD1209" s="260">
        <f>131673.49+109427.09</f>
        <v>241100.58</v>
      </c>
      <c r="AE1209" s="260">
        <f>203705.61+4182504+862504.15</f>
        <v>5248713.7600000007</v>
      </c>
      <c r="AF1209" s="260">
        <v>3320247.64</v>
      </c>
      <c r="AG1209" s="262">
        <f>AA1209+AC1209+AD1209+AE1209+AF1209</f>
        <v>17965318.07</v>
      </c>
      <c r="AH1209" s="285" t="s">
        <v>1348</v>
      </c>
      <c r="AI1209" s="285"/>
      <c r="AJ1209" s="285" t="s">
        <v>1349</v>
      </c>
      <c r="AK1209" s="285" t="s">
        <v>1350</v>
      </c>
      <c r="AL1209" s="264" t="s">
        <v>1351</v>
      </c>
      <c r="AM1209" s="264" t="s">
        <v>1352</v>
      </c>
      <c r="AN1209" s="265"/>
      <c r="AO1209" s="265"/>
      <c r="AP1209" s="265"/>
      <c r="AQ1209" s="265"/>
      <c r="AR1209" s="265"/>
      <c r="AS1209" s="265">
        <f t="shared" si="285"/>
        <v>0</v>
      </c>
      <c r="AT1209" s="265"/>
      <c r="AU1209" s="265"/>
      <c r="AV1209" s="265"/>
      <c r="AW1209" s="265"/>
      <c r="AX1209" s="265"/>
      <c r="AY1209" s="265"/>
      <c r="AZ1209" s="265"/>
      <c r="BA1209" s="265">
        <f t="shared" si="286"/>
        <v>0</v>
      </c>
      <c r="BB1209" s="265"/>
      <c r="BC1209" s="265"/>
      <c r="BD1209" s="265"/>
      <c r="BE1209" s="265"/>
      <c r="BF1209" s="265"/>
      <c r="BG1209" s="265"/>
      <c r="BH1209" s="265">
        <f t="shared" si="287"/>
        <v>0</v>
      </c>
      <c r="BI1209" s="265">
        <f t="shared" si="288"/>
        <v>0</v>
      </c>
      <c r="BJ1209" s="239">
        <v>0</v>
      </c>
      <c r="BK1209" s="240">
        <v>43405</v>
      </c>
      <c r="BL1209" s="266"/>
      <c r="BM1209" s="75">
        <v>0</v>
      </c>
      <c r="BN1209" s="9"/>
      <c r="BO1209" s="9"/>
      <c r="BP1209" s="9"/>
      <c r="BQ1209" s="9"/>
      <c r="BR1209" s="9"/>
      <c r="BS1209" s="9"/>
      <c r="BT1209" s="9"/>
      <c r="BU1209" s="9"/>
      <c r="BV1209" s="9"/>
      <c r="BW1209" s="9"/>
    </row>
    <row r="1210" spans="1:75" hidden="1" outlineLevel="1" collapsed="1" x14ac:dyDescent="0.25">
      <c r="A1210" s="267"/>
      <c r="B1210" s="268" t="s">
        <v>1353</v>
      </c>
      <c r="C1210" s="269"/>
      <c r="D1210" s="268"/>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f t="shared" ref="Y1210:AG1210" si="291">SUBTOTAL(9,Y1187:Y1209)</f>
        <v>0</v>
      </c>
      <c r="Z1210" s="272">
        <f t="shared" si="291"/>
        <v>0</v>
      </c>
      <c r="AA1210" s="273">
        <f t="shared" si="291"/>
        <v>0</v>
      </c>
      <c r="AB1210" s="273">
        <f t="shared" si="291"/>
        <v>0</v>
      </c>
      <c r="AC1210" s="273">
        <f t="shared" si="291"/>
        <v>0</v>
      </c>
      <c r="AD1210" s="273">
        <f t="shared" si="291"/>
        <v>0</v>
      </c>
      <c r="AE1210" s="273">
        <f t="shared" si="291"/>
        <v>0</v>
      </c>
      <c r="AF1210" s="273">
        <f t="shared" si="291"/>
        <v>0</v>
      </c>
      <c r="AG1210" s="273">
        <f t="shared" si="291"/>
        <v>0</v>
      </c>
      <c r="AH1210" s="286"/>
      <c r="AI1210" s="286"/>
      <c r="AJ1210" s="286"/>
      <c r="AK1210" s="286"/>
      <c r="AL1210" s="274"/>
      <c r="AM1210" s="274"/>
      <c r="AN1210" s="275">
        <f t="shared" ref="AN1210:AS1210" si="292">SUBTOTAL(9,AN1187:AN1209)</f>
        <v>0</v>
      </c>
      <c r="AO1210" s="275">
        <f t="shared" si="292"/>
        <v>0</v>
      </c>
      <c r="AP1210" s="275">
        <f t="shared" si="292"/>
        <v>0</v>
      </c>
      <c r="AQ1210" s="275">
        <f t="shared" si="292"/>
        <v>0</v>
      </c>
      <c r="AR1210" s="275">
        <f t="shared" si="292"/>
        <v>0</v>
      </c>
      <c r="AS1210" s="275">
        <f t="shared" si="292"/>
        <v>0</v>
      </c>
      <c r="AT1210" s="275"/>
      <c r="AU1210" s="275">
        <f t="shared" ref="AU1210:BA1210" si="293">SUBTOTAL(9,AU1187:AU1209)</f>
        <v>0</v>
      </c>
      <c r="AV1210" s="275">
        <f t="shared" si="293"/>
        <v>0</v>
      </c>
      <c r="AW1210" s="275">
        <f t="shared" si="293"/>
        <v>0</v>
      </c>
      <c r="AX1210" s="275">
        <f t="shared" si="293"/>
        <v>0</v>
      </c>
      <c r="AY1210" s="275">
        <f t="shared" si="293"/>
        <v>0</v>
      </c>
      <c r="AZ1210" s="275">
        <f t="shared" si="293"/>
        <v>0</v>
      </c>
      <c r="BA1210" s="275">
        <f t="shared" si="293"/>
        <v>0</v>
      </c>
      <c r="BB1210" s="275"/>
      <c r="BC1210" s="275"/>
      <c r="BD1210" s="275"/>
      <c r="BE1210" s="275"/>
      <c r="BF1210" s="275"/>
      <c r="BG1210" s="275"/>
      <c r="BH1210" s="275">
        <f>SUBTOTAL(9,BH1187:BH1209)</f>
        <v>0</v>
      </c>
      <c r="BI1210" s="275">
        <f>SUBTOTAL(9,BI1187:BI1209)</f>
        <v>0</v>
      </c>
      <c r="BJ1210" s="276"/>
      <c r="BK1210" s="277"/>
      <c r="BL1210" s="278">
        <f>SUBTOTAL(9,BL1187:BL1209)</f>
        <v>0</v>
      </c>
      <c r="BM1210" s="88">
        <f>SUBTOTAL(9,BM1187:BM1209)</f>
        <v>0</v>
      </c>
      <c r="BN1210" s="9"/>
      <c r="BO1210" s="9"/>
      <c r="BP1210" s="9"/>
      <c r="BQ1210" s="9"/>
      <c r="BR1210" s="9"/>
      <c r="BS1210" s="9"/>
      <c r="BT1210" s="9"/>
      <c r="BU1210" s="9"/>
      <c r="BV1210" s="9"/>
      <c r="BW1210" s="9"/>
    </row>
    <row r="1211" spans="1:75" hidden="1" outlineLevel="1" x14ac:dyDescent="0.25">
      <c r="A1211" s="267"/>
      <c r="B1211" s="270" t="s">
        <v>1354</v>
      </c>
      <c r="C1211" s="269"/>
      <c r="D1211" s="270"/>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f t="shared" ref="Y1211:AG1211" si="294">SUBTOTAL(9,Y7:Y1210)</f>
        <v>70005914.340000004</v>
      </c>
      <c r="Z1211" s="272">
        <f t="shared" si="294"/>
        <v>339306.20999999996</v>
      </c>
      <c r="AA1211" s="273">
        <f t="shared" si="294"/>
        <v>371552.92</v>
      </c>
      <c r="AB1211" s="273">
        <f t="shared" si="294"/>
        <v>7753.2899999999991</v>
      </c>
      <c r="AC1211" s="273">
        <f t="shared" si="294"/>
        <v>0</v>
      </c>
      <c r="AD1211" s="273">
        <f t="shared" si="294"/>
        <v>612857.42000000004</v>
      </c>
      <c r="AE1211" s="273">
        <f t="shared" si="294"/>
        <v>10846.37</v>
      </c>
      <c r="AF1211" s="273">
        <f t="shared" si="294"/>
        <v>0</v>
      </c>
      <c r="AG1211" s="273">
        <f t="shared" si="294"/>
        <v>1003010</v>
      </c>
      <c r="AH1211" s="275"/>
      <c r="AI1211" s="275"/>
      <c r="AJ1211" s="275"/>
      <c r="AK1211" s="275"/>
      <c r="AL1211" s="275"/>
      <c r="AM1211" s="275"/>
      <c r="AN1211" s="275">
        <f t="shared" ref="AN1211:AS1211" si="295">SUBTOTAL(9,AN7:AN1210)</f>
        <v>0</v>
      </c>
      <c r="AO1211" s="275">
        <f t="shared" si="295"/>
        <v>0</v>
      </c>
      <c r="AP1211" s="275">
        <f t="shared" si="295"/>
        <v>0</v>
      </c>
      <c r="AQ1211" s="275">
        <f t="shared" si="295"/>
        <v>0</v>
      </c>
      <c r="AR1211" s="275">
        <f t="shared" si="295"/>
        <v>0</v>
      </c>
      <c r="AS1211" s="275">
        <f t="shared" si="295"/>
        <v>0</v>
      </c>
      <c r="AT1211" s="275"/>
      <c r="AU1211" s="275">
        <f t="shared" ref="AU1211:BA1211" si="296">SUBTOTAL(9,AU7:AU1210)</f>
        <v>1805079.99</v>
      </c>
      <c r="AV1211" s="275">
        <f t="shared" si="296"/>
        <v>408708.13</v>
      </c>
      <c r="AW1211" s="275">
        <f t="shared" si="296"/>
        <v>3945407.56</v>
      </c>
      <c r="AX1211" s="275">
        <f t="shared" si="296"/>
        <v>905685.2699999999</v>
      </c>
      <c r="AY1211" s="275">
        <f t="shared" si="296"/>
        <v>0</v>
      </c>
      <c r="AZ1211" s="275">
        <f t="shared" si="296"/>
        <v>0</v>
      </c>
      <c r="BA1211" s="275">
        <f t="shared" si="296"/>
        <v>7064880.9500000011</v>
      </c>
      <c r="BB1211" s="275"/>
      <c r="BC1211" s="275"/>
      <c r="BD1211" s="275"/>
      <c r="BE1211" s="275"/>
      <c r="BF1211" s="275"/>
      <c r="BG1211" s="275"/>
      <c r="BH1211" s="275">
        <f>SUBTOTAL(9,BH7:BH1210)</f>
        <v>7064880.9500000011</v>
      </c>
      <c r="BI1211" s="275">
        <f>SUBTOTAL(9,BI7:BI1210)</f>
        <v>76067785.290000021</v>
      </c>
      <c r="BJ1211" s="287"/>
      <c r="BK1211" s="288"/>
      <c r="BL1211" s="278">
        <f>SUBTOTAL(9,BL7:BL1210)</f>
        <v>76067785.290000021</v>
      </c>
      <c r="BM1211" s="88">
        <f>SUBTOTAL(9,BM7:BM1210)</f>
        <v>0</v>
      </c>
      <c r="BN1211" s="9"/>
      <c r="BO1211" s="9"/>
      <c r="BP1211" s="9"/>
      <c r="BQ1211" s="9"/>
      <c r="BR1211" s="9"/>
      <c r="BS1211" s="9"/>
      <c r="BT1211" s="9"/>
      <c r="BU1211" s="9"/>
      <c r="BV1211" s="9"/>
      <c r="BW1211" s="9"/>
    </row>
    <row r="1212" spans="1:75" x14ac:dyDescent="0.25">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c r="AR1212" s="9"/>
      <c r="AS1212" s="9"/>
      <c r="AT1212" s="9"/>
      <c r="AU1212" s="9"/>
      <c r="AV1212" s="9"/>
      <c r="AW1212" s="9"/>
      <c r="AX1212" s="9"/>
      <c r="AY1212" s="9"/>
      <c r="AZ1212" s="9"/>
      <c r="BA1212" s="9"/>
      <c r="BB1212" s="9"/>
      <c r="BC1212" s="9"/>
      <c r="BD1212" s="9"/>
      <c r="BE1212" s="9"/>
      <c r="BF1212" s="9"/>
      <c r="BG1212" s="9"/>
      <c r="BH1212" s="9"/>
      <c r="BI1212" s="9"/>
      <c r="BJ1212" s="9"/>
      <c r="BK1212" s="9"/>
      <c r="BL1212" s="9"/>
      <c r="BM1212" s="9"/>
      <c r="BN1212" s="9"/>
      <c r="BO1212" s="9"/>
      <c r="BP1212" s="9"/>
      <c r="BQ1212" s="9"/>
      <c r="BR1212" s="9"/>
      <c r="BS1212" s="9"/>
      <c r="BT1212" s="9"/>
      <c r="BU1212" s="9"/>
      <c r="BV1212" s="9"/>
      <c r="BW1212" s="9"/>
    </row>
    <row r="1213" spans="1:75" x14ac:dyDescent="0.25">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c r="AR1213" s="9"/>
      <c r="AS1213" s="9"/>
      <c r="AT1213" s="9"/>
      <c r="AU1213" s="9"/>
      <c r="AV1213" s="9"/>
      <c r="AW1213" s="9"/>
      <c r="AX1213" s="9"/>
      <c r="AY1213" s="9"/>
      <c r="AZ1213" s="9"/>
      <c r="BA1213" s="9"/>
      <c r="BB1213" s="9"/>
      <c r="BC1213" s="9"/>
      <c r="BD1213" s="9"/>
      <c r="BE1213" s="9"/>
      <c r="BF1213" s="9"/>
      <c r="BG1213" s="9"/>
      <c r="BH1213" s="9"/>
      <c r="BI1213" s="9"/>
      <c r="BJ1213" s="9"/>
      <c r="BK1213" s="9"/>
      <c r="BL1213" s="9"/>
      <c r="BM1213" s="9"/>
      <c r="BN1213" s="9"/>
      <c r="BO1213" s="9"/>
      <c r="BP1213" s="9"/>
      <c r="BQ1213" s="9"/>
      <c r="BR1213" s="9"/>
      <c r="BS1213" s="9"/>
      <c r="BT1213" s="9"/>
      <c r="BU1213" s="9"/>
      <c r="BV1213" s="9"/>
      <c r="BW1213" s="9"/>
    </row>
    <row r="1214" spans="1:75" x14ac:dyDescent="0.25">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c r="AS1214" s="9"/>
      <c r="AT1214" s="9"/>
      <c r="AU1214" s="9"/>
      <c r="AV1214" s="9"/>
      <c r="AW1214" s="9"/>
      <c r="AX1214" s="9"/>
      <c r="AY1214" s="9"/>
      <c r="AZ1214" s="9"/>
      <c r="BA1214" s="9"/>
      <c r="BB1214" s="9"/>
      <c r="BC1214" s="9"/>
      <c r="BD1214" s="9"/>
      <c r="BE1214" s="9"/>
      <c r="BF1214" s="9"/>
      <c r="BG1214" s="9"/>
      <c r="BH1214" s="9"/>
      <c r="BI1214" s="9"/>
      <c r="BJ1214" s="9"/>
      <c r="BK1214" s="9"/>
      <c r="BL1214" s="9"/>
      <c r="BM1214" s="9"/>
      <c r="BN1214" s="9"/>
      <c r="BO1214" s="9"/>
      <c r="BP1214" s="9"/>
      <c r="BQ1214" s="9"/>
      <c r="BR1214" s="9"/>
      <c r="BS1214" s="9"/>
      <c r="BT1214" s="9"/>
      <c r="BU1214" s="9"/>
      <c r="BV1214" s="9"/>
      <c r="BW1214" s="9"/>
    </row>
    <row r="1215" spans="1:75" x14ac:dyDescent="0.25">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c r="AR1215" s="9"/>
      <c r="AS1215" s="9"/>
      <c r="AT1215" s="9"/>
      <c r="AU1215" s="9"/>
      <c r="AV1215" s="9"/>
      <c r="AW1215" s="9"/>
      <c r="AX1215" s="9"/>
      <c r="AY1215" s="9"/>
      <c r="AZ1215" s="9"/>
      <c r="BA1215" s="9"/>
      <c r="BB1215" s="9"/>
      <c r="BC1215" s="9"/>
      <c r="BD1215" s="9"/>
      <c r="BE1215" s="9"/>
      <c r="BF1215" s="9"/>
      <c r="BG1215" s="9"/>
      <c r="BH1215" s="9"/>
      <c r="BI1215" s="10"/>
      <c r="BJ1215" s="9"/>
      <c r="BK1215" s="9"/>
      <c r="BL1215" s="9"/>
      <c r="BM1215" s="9"/>
      <c r="BN1215" s="9"/>
      <c r="BO1215" s="9"/>
      <c r="BP1215" s="9"/>
      <c r="BQ1215" s="9"/>
      <c r="BR1215" s="9"/>
      <c r="BS1215" s="9"/>
      <c r="BT1215" s="9"/>
      <c r="BU1215" s="9"/>
      <c r="BV1215" s="9"/>
      <c r="BW1215" s="9"/>
    </row>
    <row r="1216" spans="1:75" x14ac:dyDescent="0.25">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c r="AR1216" s="9"/>
      <c r="AS1216" s="9"/>
      <c r="AT1216" s="9"/>
      <c r="AU1216" s="9"/>
      <c r="AV1216" s="9"/>
      <c r="AW1216" s="9"/>
      <c r="AX1216" s="9"/>
      <c r="AY1216" s="9"/>
      <c r="AZ1216" s="9"/>
      <c r="BA1216" s="9"/>
      <c r="BB1216" s="9"/>
      <c r="BC1216" s="9"/>
      <c r="BD1216" s="9"/>
      <c r="BE1216" s="9"/>
      <c r="BF1216" s="9"/>
      <c r="BG1216" s="9"/>
      <c r="BH1216" s="9"/>
      <c r="BI1216" s="9"/>
      <c r="BJ1216" s="9"/>
      <c r="BK1216" s="9"/>
      <c r="BL1216" s="9"/>
      <c r="BM1216" s="9"/>
      <c r="BN1216" s="9"/>
      <c r="BO1216" s="9"/>
      <c r="BP1216" s="9"/>
      <c r="BQ1216" s="9"/>
      <c r="BR1216" s="9"/>
      <c r="BS1216" s="9"/>
      <c r="BT1216" s="9"/>
      <c r="BU1216" s="9"/>
      <c r="BV1216" s="9"/>
      <c r="BW1216" s="9"/>
    </row>
    <row r="1217" spans="1:75" x14ac:dyDescent="0.25">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c r="AO1217" s="9"/>
      <c r="AP1217" s="9"/>
      <c r="AQ1217" s="9"/>
      <c r="AR1217" s="9"/>
      <c r="AS1217" s="9"/>
      <c r="AT1217" s="9"/>
      <c r="AU1217" s="9"/>
      <c r="AV1217" s="9"/>
      <c r="AW1217" s="9"/>
      <c r="AX1217" s="9"/>
      <c r="AY1217" s="9"/>
      <c r="AZ1217" s="9"/>
      <c r="BA1217" s="9"/>
      <c r="BB1217" s="9"/>
      <c r="BC1217" s="9"/>
      <c r="BD1217" s="9"/>
      <c r="BE1217" s="9"/>
      <c r="BF1217" s="9"/>
      <c r="BG1217" s="9"/>
      <c r="BH1217" s="9"/>
      <c r="BI1217" s="9"/>
      <c r="BJ1217" s="9"/>
      <c r="BK1217" s="9"/>
      <c r="BL1217" s="9"/>
      <c r="BM1217" s="9"/>
      <c r="BN1217" s="9"/>
      <c r="BO1217" s="9"/>
      <c r="BP1217" s="9"/>
      <c r="BQ1217" s="9"/>
      <c r="BR1217" s="9"/>
      <c r="BS1217" s="9"/>
      <c r="BT1217" s="9"/>
      <c r="BU1217" s="9"/>
      <c r="BV1217" s="9"/>
      <c r="BW1217" s="9"/>
    </row>
    <row r="1218" spans="1:75" x14ac:dyDescent="0.25">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c r="AR1218" s="9"/>
      <c r="AS1218" s="9"/>
      <c r="AT1218" s="9"/>
      <c r="AU1218" s="9"/>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row>
    <row r="1219" spans="1:75" x14ac:dyDescent="0.25">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c r="AO1219" s="9"/>
      <c r="AP1219" s="9"/>
      <c r="AQ1219" s="9"/>
      <c r="AR1219" s="9"/>
      <c r="AS1219" s="9"/>
      <c r="AT1219" s="9"/>
      <c r="AU1219" s="9"/>
      <c r="AV1219" s="9"/>
      <c r="AW1219" s="9"/>
      <c r="AX1219" s="9"/>
      <c r="AY1219" s="9"/>
      <c r="AZ1219" s="9"/>
      <c r="BA1219" s="9"/>
      <c r="BB1219" s="9"/>
      <c r="BC1219" s="9"/>
      <c r="BD1219" s="9"/>
      <c r="BE1219" s="9"/>
      <c r="BF1219" s="9"/>
      <c r="BG1219" s="9"/>
      <c r="BH1219" s="9"/>
      <c r="BI1219" s="9"/>
      <c r="BJ1219" s="9"/>
      <c r="BK1219" s="9"/>
      <c r="BL1219" s="9"/>
      <c r="BM1219" s="9"/>
      <c r="BN1219" s="9"/>
      <c r="BO1219" s="9"/>
      <c r="BP1219" s="9"/>
      <c r="BQ1219" s="9"/>
      <c r="BR1219" s="9"/>
      <c r="BS1219" s="9"/>
      <c r="BT1219" s="9"/>
      <c r="BU1219" s="9"/>
      <c r="BV1219" s="9"/>
      <c r="BW1219" s="9"/>
    </row>
    <row r="1220" spans="1:75" x14ac:dyDescent="0.25">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c r="AR1220" s="9"/>
      <c r="AS1220" s="9"/>
      <c r="AT1220" s="9"/>
      <c r="AU1220" s="9"/>
      <c r="AV1220" s="9"/>
      <c r="AW1220" s="9"/>
      <c r="AX1220" s="9"/>
      <c r="AY1220" s="9"/>
      <c r="AZ1220" s="9"/>
      <c r="BA1220" s="9"/>
      <c r="BB1220" s="9"/>
      <c r="BC1220" s="9"/>
      <c r="BD1220" s="9"/>
      <c r="BE1220" s="9"/>
      <c r="BF1220" s="9"/>
      <c r="BG1220" s="9"/>
      <c r="BH1220" s="9"/>
      <c r="BI1220" s="9"/>
      <c r="BJ1220" s="9"/>
      <c r="BK1220" s="9"/>
      <c r="BL1220" s="9"/>
      <c r="BM1220" s="9"/>
      <c r="BN1220" s="9"/>
      <c r="BO1220" s="9"/>
      <c r="BP1220" s="9"/>
      <c r="BQ1220" s="9"/>
      <c r="BR1220" s="9"/>
      <c r="BS1220" s="9"/>
      <c r="BT1220" s="9"/>
      <c r="BU1220" s="9"/>
      <c r="BV1220" s="9"/>
      <c r="BW1220" s="9"/>
    </row>
    <row r="1221" spans="1:75" x14ac:dyDescent="0.25">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c r="AS1221" s="9"/>
      <c r="AT1221" s="9"/>
      <c r="AU1221" s="9"/>
      <c r="AV1221" s="9"/>
      <c r="AW1221" s="9"/>
      <c r="AX1221" s="9"/>
      <c r="AY1221" s="9"/>
      <c r="AZ1221" s="9"/>
      <c r="BA1221" s="9"/>
      <c r="BB1221" s="9"/>
      <c r="BC1221" s="9"/>
      <c r="BD1221" s="9"/>
      <c r="BE1221" s="9"/>
      <c r="BF1221" s="9"/>
      <c r="BG1221" s="9"/>
      <c r="BH1221" s="9"/>
      <c r="BI1221" s="9"/>
      <c r="BJ1221" s="9"/>
      <c r="BK1221" s="9"/>
      <c r="BL1221" s="9"/>
      <c r="BM1221" s="9"/>
      <c r="BN1221" s="9"/>
      <c r="BO1221" s="9"/>
      <c r="BP1221" s="9"/>
      <c r="BQ1221" s="9"/>
      <c r="BR1221" s="9"/>
      <c r="BS1221" s="9"/>
      <c r="BT1221" s="9"/>
      <c r="BU1221" s="9"/>
      <c r="BV1221" s="9"/>
      <c r="BW1221" s="9"/>
    </row>
    <row r="1222" spans="1:75" x14ac:dyDescent="0.25">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row>
    <row r="1223" spans="1:75" x14ac:dyDescent="0.25">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c r="AS1223" s="9"/>
      <c r="AT1223" s="9"/>
      <c r="AU1223" s="9"/>
      <c r="AV1223" s="9"/>
      <c r="AW1223" s="9"/>
      <c r="AX1223" s="9"/>
      <c r="AY1223" s="9"/>
      <c r="AZ1223" s="9"/>
      <c r="BA1223" s="9"/>
      <c r="BB1223" s="9"/>
      <c r="BC1223" s="9"/>
      <c r="BD1223" s="9"/>
      <c r="BE1223" s="9"/>
      <c r="BF1223" s="9"/>
      <c r="BG1223" s="9"/>
      <c r="BH1223" s="9"/>
      <c r="BI1223" s="9"/>
      <c r="BJ1223" s="9"/>
      <c r="BK1223" s="9"/>
      <c r="BL1223" s="9"/>
      <c r="BM1223" s="9"/>
      <c r="BN1223" s="9"/>
      <c r="BO1223" s="9"/>
      <c r="BP1223" s="9"/>
      <c r="BQ1223" s="9"/>
      <c r="BR1223" s="9"/>
      <c r="BS1223" s="9"/>
      <c r="BT1223" s="9"/>
      <c r="BU1223" s="9"/>
      <c r="BV1223" s="9"/>
      <c r="BW1223" s="9"/>
    </row>
    <row r="1224" spans="1:75" x14ac:dyDescent="0.25">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c r="AR1224" s="9"/>
      <c r="AS1224" s="9"/>
      <c r="AT1224" s="9"/>
      <c r="AU1224" s="9"/>
      <c r="AV1224" s="9"/>
      <c r="AW1224" s="9"/>
      <c r="AX1224" s="9"/>
      <c r="AY1224" s="9"/>
      <c r="AZ1224" s="9"/>
      <c r="BA1224" s="9"/>
      <c r="BB1224" s="9"/>
      <c r="BC1224" s="9"/>
      <c r="BD1224" s="9"/>
      <c r="BE1224" s="9"/>
      <c r="BF1224" s="9"/>
      <c r="BG1224" s="9"/>
      <c r="BH1224" s="9"/>
      <c r="BI1224" s="9"/>
      <c r="BJ1224" s="9"/>
      <c r="BK1224" s="9"/>
      <c r="BL1224" s="9"/>
      <c r="BM1224" s="9"/>
      <c r="BN1224" s="9"/>
      <c r="BO1224" s="9"/>
      <c r="BP1224" s="9"/>
      <c r="BQ1224" s="9"/>
      <c r="BR1224" s="9"/>
      <c r="BS1224" s="9"/>
      <c r="BT1224" s="9"/>
      <c r="BU1224" s="9"/>
      <c r="BV1224" s="9"/>
      <c r="BW1224" s="9"/>
    </row>
    <row r="1225" spans="1:75" x14ac:dyDescent="0.25">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c r="AO1225" s="9"/>
      <c r="AP1225" s="9"/>
      <c r="AQ1225" s="9"/>
      <c r="AR1225" s="9"/>
      <c r="AS1225" s="9"/>
      <c r="AT1225" s="9"/>
      <c r="AU1225" s="9"/>
      <c r="AV1225" s="9"/>
      <c r="AW1225" s="9"/>
      <c r="AX1225" s="9"/>
      <c r="AY1225" s="9"/>
      <c r="AZ1225" s="9"/>
      <c r="BA1225" s="9"/>
      <c r="BB1225" s="9"/>
      <c r="BC1225" s="9"/>
      <c r="BD1225" s="9"/>
      <c r="BE1225" s="9"/>
      <c r="BF1225" s="9"/>
      <c r="BG1225" s="9"/>
      <c r="BH1225" s="9"/>
      <c r="BI1225" s="9"/>
      <c r="BJ1225" s="9"/>
      <c r="BK1225" s="9"/>
      <c r="BL1225" s="9"/>
      <c r="BM1225" s="9"/>
      <c r="BN1225" s="9"/>
      <c r="BO1225" s="9"/>
      <c r="BP1225" s="9"/>
      <c r="BQ1225" s="9"/>
      <c r="BR1225" s="9"/>
      <c r="BS1225" s="9"/>
      <c r="BT1225" s="9"/>
      <c r="BU1225" s="9"/>
      <c r="BV1225" s="9"/>
      <c r="BW1225" s="9"/>
    </row>
    <row r="1226" spans="1:75" x14ac:dyDescent="0.25">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c r="AS1226" s="9"/>
      <c r="AT1226" s="9"/>
      <c r="AU1226" s="9"/>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row>
    <row r="1227" spans="1:75" x14ac:dyDescent="0.25">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c r="AS1227" s="9"/>
      <c r="AT1227" s="9"/>
      <c r="AU1227" s="9"/>
      <c r="AV1227" s="9"/>
      <c r="AW1227" s="9"/>
      <c r="AX1227" s="9"/>
      <c r="AY1227" s="9"/>
      <c r="AZ1227" s="9"/>
      <c r="BA1227" s="9"/>
      <c r="BB1227" s="9"/>
      <c r="BC1227" s="9"/>
      <c r="BD1227" s="9"/>
      <c r="BE1227" s="9"/>
      <c r="BF1227" s="9"/>
      <c r="BG1227" s="9"/>
      <c r="BH1227" s="9"/>
      <c r="BI1227" s="9"/>
      <c r="BJ1227" s="9"/>
      <c r="BK1227" s="9"/>
      <c r="BL1227" s="9"/>
      <c r="BM1227" s="9"/>
      <c r="BN1227" s="9"/>
      <c r="BO1227" s="9"/>
      <c r="BP1227" s="9"/>
      <c r="BQ1227" s="9"/>
      <c r="BR1227" s="9"/>
      <c r="BS1227" s="9"/>
      <c r="BT1227" s="9"/>
      <c r="BU1227" s="9"/>
      <c r="BV1227" s="9"/>
      <c r="BW1227" s="9"/>
    </row>
    <row r="1228" spans="1:75" x14ac:dyDescent="0.25">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c r="AO1228" s="9"/>
      <c r="AP1228" s="9"/>
      <c r="AQ1228" s="9"/>
      <c r="AR1228" s="9"/>
      <c r="AS1228" s="9"/>
      <c r="AT1228" s="9"/>
      <c r="AU1228" s="9"/>
      <c r="AV1228" s="9"/>
      <c r="AW1228" s="9"/>
      <c r="AX1228" s="9"/>
      <c r="AY1228" s="9"/>
      <c r="AZ1228" s="9"/>
      <c r="BA1228" s="9"/>
      <c r="BB1228" s="9"/>
      <c r="BC1228" s="9"/>
      <c r="BD1228" s="9"/>
      <c r="BE1228" s="9"/>
      <c r="BF1228" s="9"/>
      <c r="BG1228" s="9"/>
      <c r="BH1228" s="9"/>
      <c r="BI1228" s="9"/>
      <c r="BJ1228" s="9"/>
      <c r="BK1228" s="9"/>
      <c r="BL1228" s="9"/>
      <c r="BM1228" s="9"/>
      <c r="BN1228" s="9"/>
      <c r="BO1228" s="9"/>
      <c r="BP1228" s="9"/>
      <c r="BQ1228" s="9"/>
      <c r="BR1228" s="9"/>
      <c r="BS1228" s="9"/>
      <c r="BT1228" s="9"/>
      <c r="BU1228" s="9"/>
      <c r="BV1228" s="9"/>
      <c r="BW1228" s="9"/>
    </row>
    <row r="1229" spans="1:75" x14ac:dyDescent="0.25">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c r="AO1229" s="9"/>
      <c r="AP1229" s="9"/>
      <c r="AQ1229" s="9"/>
      <c r="AR1229" s="9"/>
      <c r="AS1229" s="9"/>
      <c r="AT1229" s="9"/>
      <c r="AU1229" s="9"/>
      <c r="AV1229" s="9"/>
      <c r="AW1229" s="9"/>
      <c r="AX1229" s="9"/>
      <c r="AY1229" s="9"/>
      <c r="AZ1229" s="9"/>
      <c r="BA1229" s="9"/>
      <c r="BB1229" s="9"/>
      <c r="BC1229" s="9"/>
      <c r="BD1229" s="9"/>
      <c r="BE1229" s="9"/>
      <c r="BF1229" s="9"/>
      <c r="BG1229" s="9"/>
      <c r="BH1229" s="9"/>
      <c r="BI1229" s="9"/>
      <c r="BJ1229" s="9"/>
      <c r="BK1229" s="9"/>
      <c r="BL1229" s="9"/>
      <c r="BM1229" s="9"/>
      <c r="BN1229" s="9"/>
      <c r="BO1229" s="9"/>
      <c r="BP1229" s="9"/>
      <c r="BQ1229" s="9"/>
      <c r="BR1229" s="9"/>
      <c r="BS1229" s="9"/>
      <c r="BT1229" s="9"/>
      <c r="BU1229" s="9"/>
      <c r="BV1229" s="9"/>
      <c r="BW1229" s="9"/>
    </row>
    <row r="1230" spans="1:75" x14ac:dyDescent="0.25">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c r="AS1230" s="9"/>
      <c r="AT1230" s="9"/>
      <c r="AU1230" s="9"/>
      <c r="AV1230" s="9"/>
      <c r="AW1230" s="9"/>
      <c r="AX1230" s="9"/>
      <c r="AY1230" s="9"/>
      <c r="AZ1230" s="9"/>
      <c r="BA1230" s="9"/>
      <c r="BB1230" s="9"/>
      <c r="BC1230" s="9"/>
      <c r="BD1230" s="9"/>
      <c r="BE1230" s="9"/>
      <c r="BF1230" s="9"/>
      <c r="BG1230" s="9"/>
      <c r="BH1230" s="9"/>
      <c r="BI1230" s="9"/>
      <c r="BJ1230" s="9"/>
      <c r="BK1230" s="9"/>
      <c r="BL1230" s="9"/>
      <c r="BM1230" s="9"/>
      <c r="BN1230" s="9"/>
      <c r="BO1230" s="9"/>
      <c r="BP1230" s="9"/>
      <c r="BQ1230" s="9"/>
      <c r="BR1230" s="9"/>
      <c r="BS1230" s="9"/>
      <c r="BT1230" s="9"/>
      <c r="BU1230" s="9"/>
      <c r="BV1230" s="9"/>
      <c r="BW1230" s="9"/>
    </row>
    <row r="1231" spans="1:75" x14ac:dyDescent="0.25">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row>
    <row r="1232" spans="1:75" x14ac:dyDescent="0.25">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c r="AR1232" s="9"/>
      <c r="AS1232" s="9"/>
      <c r="AT1232" s="9"/>
      <c r="AU1232" s="9"/>
      <c r="AV1232" s="9"/>
      <c r="AW1232" s="9"/>
      <c r="AX1232" s="9"/>
      <c r="AY1232" s="9"/>
      <c r="AZ1232" s="9"/>
      <c r="BA1232" s="9"/>
      <c r="BB1232" s="9"/>
      <c r="BC1232" s="9"/>
      <c r="BD1232" s="9"/>
      <c r="BE1232" s="9"/>
      <c r="BF1232" s="9"/>
      <c r="BG1232" s="9"/>
      <c r="BH1232" s="9"/>
      <c r="BI1232" s="9"/>
      <c r="BJ1232" s="9"/>
      <c r="BK1232" s="9"/>
      <c r="BL1232" s="9"/>
      <c r="BM1232" s="9"/>
      <c r="BN1232" s="9"/>
      <c r="BO1232" s="9"/>
      <c r="BP1232" s="9"/>
      <c r="BQ1232" s="9"/>
      <c r="BR1232" s="9"/>
      <c r="BS1232" s="9"/>
      <c r="BT1232" s="9"/>
      <c r="BU1232" s="9"/>
      <c r="BV1232" s="9"/>
      <c r="BW1232" s="9"/>
    </row>
    <row r="1233" spans="1:75" x14ac:dyDescent="0.25">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c r="AS1233" s="9"/>
      <c r="AT1233" s="9"/>
      <c r="AU1233" s="9"/>
      <c r="AV1233" s="9"/>
      <c r="AW1233" s="9"/>
      <c r="AX1233" s="9"/>
      <c r="AY1233" s="9"/>
      <c r="AZ1233" s="9"/>
      <c r="BA1233" s="9"/>
      <c r="BB1233" s="9"/>
      <c r="BC1233" s="9"/>
      <c r="BD1233" s="9"/>
      <c r="BE1233" s="9"/>
      <c r="BF1233" s="9"/>
      <c r="BG1233" s="9"/>
      <c r="BH1233" s="9"/>
      <c r="BI1233" s="9"/>
      <c r="BJ1233" s="9"/>
      <c r="BK1233" s="9"/>
      <c r="BL1233" s="9"/>
      <c r="BM1233" s="9"/>
      <c r="BN1233" s="9"/>
      <c r="BO1233" s="9"/>
      <c r="BP1233" s="9"/>
      <c r="BQ1233" s="9"/>
      <c r="BR1233" s="9"/>
      <c r="BS1233" s="9"/>
      <c r="BT1233" s="9"/>
      <c r="BU1233" s="9"/>
      <c r="BV1233" s="9"/>
      <c r="BW1233" s="9"/>
    </row>
    <row r="1234" spans="1:75" x14ac:dyDescent="0.25">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c r="AS1234" s="9"/>
      <c r="AT1234" s="9"/>
      <c r="AU1234" s="9"/>
      <c r="AV1234" s="9"/>
      <c r="AW1234" s="9"/>
      <c r="AX1234" s="9"/>
      <c r="AY1234" s="9"/>
      <c r="AZ1234" s="9"/>
      <c r="BA1234" s="9"/>
      <c r="BB1234" s="9"/>
      <c r="BC1234" s="9"/>
      <c r="BD1234" s="9"/>
      <c r="BE1234" s="9"/>
      <c r="BF1234" s="9"/>
      <c r="BG1234" s="9"/>
      <c r="BH1234" s="9"/>
      <c r="BI1234" s="9"/>
      <c r="BJ1234" s="9"/>
      <c r="BK1234" s="9"/>
      <c r="BL1234" s="9"/>
      <c r="BM1234" s="9"/>
      <c r="BN1234" s="9"/>
      <c r="BO1234" s="9"/>
      <c r="BP1234" s="9"/>
      <c r="BQ1234" s="9"/>
      <c r="BR1234" s="9"/>
      <c r="BS1234" s="9"/>
      <c r="BT1234" s="9"/>
      <c r="BU1234" s="9"/>
      <c r="BV1234" s="9"/>
      <c r="BW1234" s="9"/>
    </row>
    <row r="1235" spans="1:75" x14ac:dyDescent="0.25">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c r="AR1235" s="9"/>
      <c r="AS1235" s="9"/>
      <c r="AT1235" s="9"/>
      <c r="AU1235" s="9"/>
      <c r="AV1235" s="9"/>
      <c r="AW1235" s="9"/>
      <c r="AX1235" s="9"/>
      <c r="AY1235" s="9"/>
      <c r="AZ1235" s="9"/>
      <c r="BA1235" s="9"/>
      <c r="BB1235" s="9"/>
      <c r="BC1235" s="9"/>
      <c r="BD1235" s="9"/>
      <c r="BE1235" s="9"/>
      <c r="BF1235" s="9"/>
      <c r="BG1235" s="9"/>
      <c r="BH1235" s="9"/>
      <c r="BI1235" s="9"/>
      <c r="BJ1235" s="9"/>
      <c r="BK1235" s="9"/>
      <c r="BL1235" s="9"/>
      <c r="BM1235" s="9"/>
      <c r="BN1235" s="9"/>
      <c r="BO1235" s="9"/>
      <c r="BP1235" s="9"/>
      <c r="BQ1235" s="9"/>
      <c r="BR1235" s="9"/>
      <c r="BS1235" s="9"/>
      <c r="BT1235" s="9"/>
      <c r="BU1235" s="9"/>
      <c r="BV1235" s="9"/>
      <c r="BW1235" s="9"/>
    </row>
    <row r="1236" spans="1:75" x14ac:dyDescent="0.25">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c r="AX1236" s="9"/>
      <c r="AY1236" s="9"/>
      <c r="AZ1236" s="9"/>
      <c r="BA1236" s="9"/>
      <c r="BB1236" s="9"/>
      <c r="BC1236" s="9"/>
      <c r="BD1236" s="9"/>
      <c r="BE1236" s="9"/>
      <c r="BF1236" s="9"/>
      <c r="BG1236" s="9"/>
      <c r="BH1236" s="9"/>
      <c r="BI1236" s="9"/>
      <c r="BJ1236" s="9"/>
      <c r="BK1236" s="9"/>
      <c r="BL1236" s="9"/>
      <c r="BM1236" s="9"/>
      <c r="BN1236" s="9"/>
      <c r="BO1236" s="9"/>
      <c r="BP1236" s="9"/>
      <c r="BQ1236" s="9"/>
      <c r="BR1236" s="9"/>
      <c r="BS1236" s="9"/>
      <c r="BT1236" s="9"/>
      <c r="BU1236" s="9"/>
      <c r="BV1236" s="9"/>
      <c r="BW1236" s="9"/>
    </row>
    <row r="1237" spans="1:75" x14ac:dyDescent="0.25">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c r="AO1237" s="9"/>
      <c r="AP1237" s="9"/>
      <c r="AQ1237" s="9"/>
      <c r="AR1237" s="9"/>
      <c r="AS1237" s="9"/>
      <c r="AT1237" s="9"/>
      <c r="AU1237" s="9"/>
      <c r="AV1237" s="9"/>
      <c r="AW1237" s="9"/>
      <c r="AX1237" s="9"/>
      <c r="AY1237" s="9"/>
      <c r="AZ1237" s="9"/>
      <c r="BA1237" s="9"/>
      <c r="BB1237" s="9"/>
      <c r="BC1237" s="9"/>
      <c r="BD1237" s="9"/>
      <c r="BE1237" s="9"/>
      <c r="BF1237" s="9"/>
      <c r="BG1237" s="9"/>
      <c r="BH1237" s="9"/>
      <c r="BI1237" s="9"/>
      <c r="BJ1237" s="9"/>
      <c r="BK1237" s="9"/>
      <c r="BL1237" s="9"/>
      <c r="BM1237" s="9"/>
      <c r="BN1237" s="9"/>
      <c r="BO1237" s="9"/>
      <c r="BP1237" s="9"/>
      <c r="BQ1237" s="9"/>
      <c r="BR1237" s="9"/>
      <c r="BS1237" s="9"/>
      <c r="BT1237" s="9"/>
      <c r="BU1237" s="9"/>
      <c r="BV1237" s="9"/>
      <c r="BW1237" s="9"/>
    </row>
    <row r="1238" spans="1:75" x14ac:dyDescent="0.25">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c r="AS1238" s="9"/>
      <c r="AT1238" s="9"/>
      <c r="AU1238" s="9"/>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row>
    <row r="1239" spans="1:75" x14ac:dyDescent="0.25">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c r="AO1239" s="9"/>
      <c r="AP1239" s="9"/>
      <c r="AQ1239" s="9"/>
      <c r="AR1239" s="9"/>
      <c r="AS1239" s="9"/>
      <c r="AT1239" s="9"/>
      <c r="AU1239" s="9"/>
      <c r="AV1239" s="9"/>
      <c r="AW1239" s="9"/>
      <c r="AX1239" s="9"/>
      <c r="AY1239" s="9"/>
      <c r="AZ1239" s="9"/>
      <c r="BA1239" s="9"/>
      <c r="BB1239" s="9"/>
      <c r="BC1239" s="9"/>
      <c r="BD1239" s="9"/>
      <c r="BE1239" s="9"/>
      <c r="BF1239" s="9"/>
      <c r="BG1239" s="9"/>
      <c r="BH1239" s="9"/>
      <c r="BI1239" s="9"/>
      <c r="BJ1239" s="9"/>
      <c r="BK1239" s="9"/>
      <c r="BL1239" s="9"/>
      <c r="BM1239" s="9"/>
      <c r="BN1239" s="9"/>
      <c r="BO1239" s="9"/>
      <c r="BP1239" s="9"/>
      <c r="BQ1239" s="9"/>
      <c r="BR1239" s="9"/>
      <c r="BS1239" s="9"/>
      <c r="BT1239" s="9"/>
      <c r="BU1239" s="9"/>
      <c r="BV1239" s="9"/>
      <c r="BW1239" s="9"/>
    </row>
    <row r="1240" spans="1:75" x14ac:dyDescent="0.25">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c r="AS1240" s="9"/>
      <c r="AT1240" s="9"/>
      <c r="AU1240" s="9"/>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row>
    <row r="1241" spans="1:75" x14ac:dyDescent="0.25">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c r="AR1241" s="9"/>
      <c r="AS1241" s="9"/>
      <c r="AT1241" s="9"/>
      <c r="AU1241" s="9"/>
      <c r="AV1241" s="9"/>
      <c r="AW1241" s="9"/>
      <c r="AX1241" s="9"/>
      <c r="AY1241" s="9"/>
      <c r="AZ1241" s="9"/>
      <c r="BA1241" s="9"/>
      <c r="BB1241" s="9"/>
      <c r="BC1241" s="9"/>
      <c r="BD1241" s="9"/>
      <c r="BE1241" s="9"/>
      <c r="BF1241" s="9"/>
      <c r="BG1241" s="9"/>
      <c r="BH1241" s="9"/>
      <c r="BI1241" s="9"/>
      <c r="BJ1241" s="9"/>
      <c r="BK1241" s="9"/>
      <c r="BL1241" s="9"/>
      <c r="BM1241" s="9"/>
      <c r="BN1241" s="9"/>
      <c r="BO1241" s="9"/>
      <c r="BP1241" s="9"/>
      <c r="BQ1241" s="9"/>
      <c r="BR1241" s="9"/>
      <c r="BS1241" s="9"/>
      <c r="BT1241" s="9"/>
      <c r="BU1241" s="9"/>
      <c r="BV1241" s="9"/>
      <c r="BW1241" s="9"/>
    </row>
    <row r="1242" spans="1:75" x14ac:dyDescent="0.25">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c r="AR1242" s="9"/>
      <c r="AS1242" s="9"/>
      <c r="AT1242" s="9"/>
      <c r="AU1242" s="9"/>
      <c r="AV1242" s="9"/>
      <c r="AW1242" s="9"/>
      <c r="AX1242" s="9"/>
      <c r="AY1242" s="9"/>
      <c r="AZ1242" s="9"/>
      <c r="BA1242" s="9"/>
      <c r="BB1242" s="9"/>
      <c r="BC1242" s="9"/>
      <c r="BD1242" s="9"/>
      <c r="BE1242" s="9"/>
      <c r="BF1242" s="9"/>
      <c r="BG1242" s="9"/>
      <c r="BH1242" s="9"/>
      <c r="BI1242" s="9"/>
      <c r="BJ1242" s="9"/>
      <c r="BK1242" s="9"/>
      <c r="BL1242" s="9"/>
      <c r="BM1242" s="9"/>
      <c r="BN1242" s="9"/>
      <c r="BO1242" s="9"/>
      <c r="BP1242" s="9"/>
      <c r="BQ1242" s="9"/>
      <c r="BR1242" s="9"/>
      <c r="BS1242" s="9"/>
      <c r="BT1242" s="9"/>
      <c r="BU1242" s="9"/>
      <c r="BV1242" s="9"/>
      <c r="BW1242" s="9"/>
    </row>
    <row r="1243" spans="1:75" x14ac:dyDescent="0.25">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c r="AR1243" s="9"/>
      <c r="AS1243" s="9"/>
      <c r="AT1243" s="9"/>
      <c r="AU1243" s="9"/>
      <c r="AV1243" s="9"/>
      <c r="AW1243" s="9"/>
      <c r="AX1243" s="9"/>
      <c r="AY1243" s="9"/>
      <c r="AZ1243" s="9"/>
      <c r="BA1243" s="9"/>
      <c r="BB1243" s="9"/>
      <c r="BC1243" s="9"/>
      <c r="BD1243" s="9"/>
      <c r="BE1243" s="9"/>
      <c r="BF1243" s="9"/>
      <c r="BG1243" s="9"/>
      <c r="BH1243" s="9"/>
      <c r="BI1243" s="9"/>
      <c r="BJ1243" s="9"/>
      <c r="BK1243" s="9"/>
      <c r="BL1243" s="9"/>
      <c r="BM1243" s="9"/>
      <c r="BN1243" s="9"/>
      <c r="BO1243" s="9"/>
      <c r="BP1243" s="9"/>
      <c r="BQ1243" s="9"/>
      <c r="BR1243" s="9"/>
      <c r="BS1243" s="9"/>
      <c r="BT1243" s="9"/>
      <c r="BU1243" s="9"/>
      <c r="BV1243" s="9"/>
      <c r="BW1243" s="9"/>
    </row>
    <row r="1244" spans="1:75" x14ac:dyDescent="0.25">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c r="AS1244" s="9"/>
      <c r="AT1244" s="9"/>
      <c r="AU1244" s="9"/>
      <c r="AV1244" s="9"/>
      <c r="AW1244" s="9"/>
      <c r="AX1244" s="9"/>
      <c r="AY1244" s="9"/>
      <c r="AZ1244" s="9"/>
      <c r="BA1244" s="9"/>
      <c r="BB1244" s="9"/>
      <c r="BC1244" s="9"/>
      <c r="BD1244" s="9"/>
      <c r="BE1244" s="9"/>
      <c r="BF1244" s="9"/>
      <c r="BG1244" s="9"/>
      <c r="BH1244" s="9"/>
      <c r="BI1244" s="9"/>
      <c r="BJ1244" s="9"/>
      <c r="BK1244" s="9"/>
      <c r="BL1244" s="9"/>
      <c r="BM1244" s="9"/>
      <c r="BN1244" s="9"/>
      <c r="BO1244" s="9"/>
      <c r="BP1244" s="9"/>
      <c r="BQ1244" s="9"/>
      <c r="BR1244" s="9"/>
      <c r="BS1244" s="9"/>
      <c r="BT1244" s="9"/>
      <c r="BU1244" s="9"/>
      <c r="BV1244" s="9"/>
      <c r="BW1244" s="9"/>
    </row>
    <row r="1245" spans="1:75" x14ac:dyDescent="0.25">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c r="AR1245" s="9"/>
      <c r="AS1245" s="9"/>
      <c r="AT1245" s="9"/>
      <c r="AU1245" s="9"/>
      <c r="AV1245" s="9"/>
      <c r="AW1245" s="9"/>
      <c r="AX1245" s="9"/>
      <c r="AY1245" s="9"/>
      <c r="AZ1245" s="9"/>
      <c r="BA1245" s="9"/>
      <c r="BB1245" s="9"/>
      <c r="BC1245" s="9"/>
      <c r="BD1245" s="9"/>
      <c r="BE1245" s="9"/>
      <c r="BF1245" s="9"/>
      <c r="BG1245" s="9"/>
      <c r="BH1245" s="9"/>
      <c r="BI1245" s="9"/>
      <c r="BJ1245" s="9"/>
      <c r="BK1245" s="9"/>
      <c r="BL1245" s="9"/>
      <c r="BM1245" s="9"/>
      <c r="BN1245" s="9"/>
      <c r="BO1245" s="9"/>
      <c r="BP1245" s="9"/>
      <c r="BQ1245" s="9"/>
      <c r="BR1245" s="9"/>
      <c r="BS1245" s="9"/>
      <c r="BT1245" s="9"/>
      <c r="BU1245" s="9"/>
      <c r="BV1245" s="9"/>
      <c r="BW1245" s="9"/>
    </row>
    <row r="1246" spans="1:75" x14ac:dyDescent="0.25">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c r="AS1246" s="9"/>
      <c r="AT1246" s="9"/>
      <c r="AU1246" s="9"/>
      <c r="AV1246" s="9"/>
      <c r="AW1246" s="9"/>
      <c r="AX1246" s="9"/>
      <c r="AY1246" s="9"/>
      <c r="AZ1246" s="9"/>
      <c r="BA1246" s="9"/>
      <c r="BB1246" s="9"/>
      <c r="BC1246" s="9"/>
      <c r="BD1246" s="9"/>
      <c r="BE1246" s="9"/>
      <c r="BF1246" s="9"/>
      <c r="BG1246" s="9"/>
      <c r="BH1246" s="9"/>
      <c r="BI1246" s="9"/>
      <c r="BJ1246" s="9"/>
      <c r="BK1246" s="9"/>
      <c r="BL1246" s="9"/>
      <c r="BM1246" s="9"/>
      <c r="BN1246" s="9"/>
      <c r="BO1246" s="9"/>
      <c r="BP1246" s="9"/>
      <c r="BQ1246" s="9"/>
      <c r="BR1246" s="9"/>
      <c r="BS1246" s="9"/>
      <c r="BT1246" s="9"/>
      <c r="BU1246" s="9"/>
      <c r="BV1246" s="9"/>
      <c r="BW1246" s="9"/>
    </row>
    <row r="1247" spans="1:75" x14ac:dyDescent="0.25">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c r="AR1247" s="9"/>
      <c r="AS1247" s="9"/>
      <c r="AT1247" s="9"/>
      <c r="AU1247" s="9"/>
      <c r="AV1247" s="9"/>
      <c r="AW1247" s="9"/>
      <c r="AX1247" s="9"/>
      <c r="AY1247" s="9"/>
      <c r="AZ1247" s="9"/>
      <c r="BA1247" s="9"/>
      <c r="BB1247" s="9"/>
      <c r="BC1247" s="9"/>
      <c r="BD1247" s="9"/>
      <c r="BE1247" s="9"/>
      <c r="BF1247" s="9"/>
      <c r="BG1247" s="9"/>
      <c r="BH1247" s="9"/>
      <c r="BI1247" s="9"/>
      <c r="BJ1247" s="9"/>
      <c r="BK1247" s="9"/>
      <c r="BL1247" s="9"/>
      <c r="BM1247" s="9"/>
      <c r="BN1247" s="9"/>
      <c r="BO1247" s="9"/>
      <c r="BP1247" s="9"/>
      <c r="BQ1247" s="9"/>
      <c r="BR1247" s="9"/>
      <c r="BS1247" s="9"/>
      <c r="BT1247" s="9"/>
      <c r="BU1247" s="9"/>
      <c r="BV1247" s="9"/>
      <c r="BW1247" s="9"/>
    </row>
    <row r="1248" spans="1:75" x14ac:dyDescent="0.25">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c r="AS1248" s="9"/>
      <c r="AT1248" s="9"/>
      <c r="AU1248" s="9"/>
      <c r="AV1248" s="9"/>
      <c r="AW1248" s="9"/>
      <c r="AX1248" s="9"/>
      <c r="AY1248" s="9"/>
      <c r="AZ1248" s="9"/>
      <c r="BA1248" s="9"/>
      <c r="BB1248" s="9"/>
      <c r="BC1248" s="9"/>
      <c r="BD1248" s="9"/>
      <c r="BE1248" s="9"/>
      <c r="BF1248" s="9"/>
      <c r="BG1248" s="9"/>
      <c r="BH1248" s="9"/>
      <c r="BI1248" s="9"/>
      <c r="BJ1248" s="9"/>
      <c r="BK1248" s="9"/>
      <c r="BL1248" s="9"/>
      <c r="BM1248" s="9"/>
      <c r="BN1248" s="9"/>
      <c r="BO1248" s="9"/>
      <c r="BP1248" s="9"/>
      <c r="BQ1248" s="9"/>
      <c r="BR1248" s="9"/>
      <c r="BS1248" s="9"/>
      <c r="BT1248" s="9"/>
      <c r="BU1248" s="9"/>
      <c r="BV1248" s="9"/>
      <c r="BW1248" s="9"/>
    </row>
    <row r="1249" spans="1:75" x14ac:dyDescent="0.25">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c r="AS1249" s="9"/>
      <c r="AT1249" s="9"/>
      <c r="AU1249" s="9"/>
      <c r="AV1249" s="9"/>
      <c r="AW1249" s="9"/>
      <c r="AX1249" s="9"/>
      <c r="AY1249" s="9"/>
      <c r="AZ1249" s="9"/>
      <c r="BA1249" s="9"/>
      <c r="BB1249" s="9"/>
      <c r="BC1249" s="9"/>
      <c r="BD1249" s="9"/>
      <c r="BE1249" s="9"/>
      <c r="BF1249" s="9"/>
      <c r="BG1249" s="9"/>
      <c r="BH1249" s="9"/>
      <c r="BI1249" s="9"/>
      <c r="BJ1249" s="9"/>
      <c r="BK1249" s="9"/>
      <c r="BL1249" s="9"/>
      <c r="BM1249" s="9"/>
      <c r="BN1249" s="9"/>
      <c r="BO1249" s="9"/>
      <c r="BP1249" s="9"/>
      <c r="BQ1249" s="9"/>
      <c r="BR1249" s="9"/>
      <c r="BS1249" s="9"/>
      <c r="BT1249" s="9"/>
      <c r="BU1249" s="9"/>
      <c r="BV1249" s="9"/>
      <c r="BW1249" s="9"/>
    </row>
    <row r="1250" spans="1:75" x14ac:dyDescent="0.25">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c r="AR1250" s="9"/>
      <c r="AS1250" s="9"/>
      <c r="AT1250" s="9"/>
      <c r="AU1250" s="9"/>
      <c r="AV1250" s="9"/>
      <c r="AW1250" s="9"/>
      <c r="AX1250" s="9"/>
      <c r="AY1250" s="9"/>
      <c r="AZ1250" s="9"/>
      <c r="BA1250" s="9"/>
      <c r="BB1250" s="9"/>
      <c r="BC1250" s="9"/>
      <c r="BD1250" s="9"/>
      <c r="BE1250" s="9"/>
      <c r="BF1250" s="9"/>
      <c r="BG1250" s="9"/>
      <c r="BH1250" s="9"/>
      <c r="BI1250" s="9"/>
      <c r="BJ1250" s="9"/>
      <c r="BK1250" s="9"/>
      <c r="BL1250" s="9"/>
      <c r="BM1250" s="9"/>
      <c r="BN1250" s="9"/>
      <c r="BO1250" s="9"/>
      <c r="BP1250" s="9"/>
      <c r="BQ1250" s="9"/>
      <c r="BR1250" s="9"/>
      <c r="BS1250" s="9"/>
      <c r="BT1250" s="9"/>
      <c r="BU1250" s="9"/>
      <c r="BV1250" s="9"/>
      <c r="BW1250" s="9"/>
    </row>
    <row r="1251" spans="1:75" x14ac:dyDescent="0.25">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c r="AR1251" s="9"/>
      <c r="AS1251" s="9"/>
      <c r="AT1251" s="9"/>
      <c r="AU1251" s="9"/>
      <c r="AV1251" s="9"/>
      <c r="AW1251" s="9"/>
      <c r="AX1251" s="9"/>
      <c r="AY1251" s="9"/>
      <c r="AZ1251" s="9"/>
      <c r="BA1251" s="9"/>
      <c r="BB1251" s="9"/>
      <c r="BC1251" s="9"/>
      <c r="BD1251" s="9"/>
      <c r="BE1251" s="9"/>
      <c r="BF1251" s="9"/>
      <c r="BG1251" s="9"/>
      <c r="BH1251" s="9"/>
      <c r="BI1251" s="9"/>
      <c r="BJ1251" s="9"/>
      <c r="BK1251" s="9"/>
      <c r="BL1251" s="9"/>
      <c r="BM1251" s="9"/>
      <c r="BN1251" s="9"/>
      <c r="BO1251" s="9"/>
      <c r="BP1251" s="9"/>
      <c r="BQ1251" s="9"/>
      <c r="BR1251" s="9"/>
      <c r="BS1251" s="9"/>
      <c r="BT1251" s="9"/>
      <c r="BU1251" s="9"/>
      <c r="BV1251" s="9"/>
      <c r="BW1251" s="9"/>
    </row>
    <row r="1252" spans="1:75" x14ac:dyDescent="0.25">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c r="AO1252" s="9"/>
      <c r="AP1252" s="9"/>
      <c r="AQ1252" s="9"/>
      <c r="AR1252" s="9"/>
      <c r="AS1252" s="9"/>
      <c r="AT1252" s="9"/>
      <c r="AU1252" s="9"/>
      <c r="AV1252" s="9"/>
      <c r="AW1252" s="9"/>
      <c r="AX1252" s="9"/>
      <c r="AY1252" s="9"/>
      <c r="AZ1252" s="9"/>
      <c r="BA1252" s="9"/>
      <c r="BB1252" s="9"/>
      <c r="BC1252" s="9"/>
      <c r="BD1252" s="9"/>
      <c r="BE1252" s="9"/>
      <c r="BF1252" s="9"/>
      <c r="BG1252" s="9"/>
      <c r="BH1252" s="9"/>
      <c r="BI1252" s="9"/>
      <c r="BJ1252" s="9"/>
      <c r="BK1252" s="9"/>
      <c r="BL1252" s="9"/>
      <c r="BM1252" s="9"/>
      <c r="BN1252" s="9"/>
      <c r="BO1252" s="9"/>
      <c r="BP1252" s="9"/>
      <c r="BQ1252" s="9"/>
      <c r="BR1252" s="9"/>
      <c r="BS1252" s="9"/>
      <c r="BT1252" s="9"/>
      <c r="BU1252" s="9"/>
      <c r="BV1252" s="9"/>
      <c r="BW1252" s="9"/>
    </row>
    <row r="1253" spans="1:75" x14ac:dyDescent="0.25">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c r="AO1253" s="9"/>
      <c r="AP1253" s="9"/>
      <c r="AQ1253" s="9"/>
      <c r="AR1253" s="9"/>
      <c r="AS1253" s="9"/>
      <c r="AT1253" s="9"/>
      <c r="AU1253" s="9"/>
      <c r="AV1253" s="9"/>
      <c r="AW1253" s="9"/>
      <c r="AX1253" s="9"/>
      <c r="AY1253" s="9"/>
      <c r="AZ1253" s="9"/>
      <c r="BA1253" s="9"/>
      <c r="BB1253" s="9"/>
      <c r="BC1253" s="9"/>
      <c r="BD1253" s="9"/>
      <c r="BE1253" s="9"/>
      <c r="BF1253" s="9"/>
      <c r="BG1253" s="9"/>
      <c r="BH1253" s="9"/>
      <c r="BI1253" s="9"/>
      <c r="BJ1253" s="9"/>
      <c r="BK1253" s="9"/>
      <c r="BL1253" s="9"/>
      <c r="BM1253" s="9"/>
      <c r="BN1253" s="9"/>
      <c r="BO1253" s="9"/>
      <c r="BP1253" s="9"/>
      <c r="BQ1253" s="9"/>
      <c r="BR1253" s="9"/>
      <c r="BS1253" s="9"/>
      <c r="BT1253" s="9"/>
      <c r="BU1253" s="9"/>
      <c r="BV1253" s="9"/>
      <c r="BW1253" s="9"/>
    </row>
    <row r="1254" spans="1:75" x14ac:dyDescent="0.25">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c r="AR1254" s="9"/>
      <c r="AS1254" s="9"/>
      <c r="AT1254" s="9"/>
      <c r="AU1254" s="9"/>
      <c r="AV1254" s="9"/>
      <c r="AW1254" s="9"/>
      <c r="AX1254" s="9"/>
      <c r="AY1254" s="9"/>
      <c r="AZ1254" s="9"/>
      <c r="BA1254" s="9"/>
      <c r="BB1254" s="9"/>
      <c r="BC1254" s="9"/>
      <c r="BD1254" s="9"/>
      <c r="BE1254" s="9"/>
      <c r="BF1254" s="9"/>
      <c r="BG1254" s="9"/>
      <c r="BH1254" s="9"/>
      <c r="BI1254" s="9"/>
      <c r="BJ1254" s="9"/>
      <c r="BK1254" s="9"/>
      <c r="BL1254" s="9"/>
      <c r="BM1254" s="9"/>
      <c r="BN1254" s="9"/>
      <c r="BO1254" s="9"/>
      <c r="BP1254" s="9"/>
      <c r="BQ1254" s="9"/>
      <c r="BR1254" s="9"/>
      <c r="BS1254" s="9"/>
      <c r="BT1254" s="9"/>
      <c r="BU1254" s="9"/>
      <c r="BV1254" s="9"/>
      <c r="BW1254" s="9"/>
    </row>
    <row r="1255" spans="1:75" x14ac:dyDescent="0.25">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c r="AO1255" s="9"/>
      <c r="AP1255" s="9"/>
      <c r="AQ1255" s="9"/>
      <c r="AR1255" s="9"/>
      <c r="AS1255" s="9"/>
      <c r="AT1255" s="9"/>
      <c r="AU1255" s="9"/>
      <c r="AV1255" s="9"/>
      <c r="AW1255" s="9"/>
      <c r="AX1255" s="9"/>
      <c r="AY1255" s="9"/>
      <c r="AZ1255" s="9"/>
      <c r="BA1255" s="9"/>
      <c r="BB1255" s="9"/>
      <c r="BC1255" s="9"/>
      <c r="BD1255" s="9"/>
      <c r="BE1255" s="9"/>
      <c r="BF1255" s="9"/>
      <c r="BG1255" s="9"/>
      <c r="BH1255" s="9"/>
      <c r="BI1255" s="9"/>
      <c r="BJ1255" s="9"/>
      <c r="BK1255" s="9"/>
      <c r="BL1255" s="9"/>
      <c r="BM1255" s="9"/>
      <c r="BN1255" s="9"/>
      <c r="BO1255" s="9"/>
      <c r="BP1255" s="9"/>
      <c r="BQ1255" s="9"/>
      <c r="BR1255" s="9"/>
      <c r="BS1255" s="9"/>
      <c r="BT1255" s="9"/>
      <c r="BU1255" s="9"/>
      <c r="BV1255" s="9"/>
      <c r="BW1255" s="9"/>
    </row>
    <row r="1256" spans="1:75" x14ac:dyDescent="0.25">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c r="AY1256" s="9"/>
      <c r="AZ1256" s="9"/>
      <c r="BA1256" s="9"/>
      <c r="BB1256" s="9"/>
      <c r="BC1256" s="9"/>
      <c r="BD1256" s="9"/>
      <c r="BE1256" s="9"/>
      <c r="BF1256" s="9"/>
      <c r="BG1256" s="9"/>
      <c r="BH1256" s="9"/>
      <c r="BI1256" s="9"/>
      <c r="BJ1256" s="9"/>
      <c r="BK1256" s="9"/>
      <c r="BL1256" s="9"/>
      <c r="BM1256" s="9"/>
      <c r="BN1256" s="9"/>
      <c r="BO1256" s="9"/>
      <c r="BP1256" s="9"/>
      <c r="BQ1256" s="9"/>
      <c r="BR1256" s="9"/>
      <c r="BS1256" s="9"/>
      <c r="BT1256" s="9"/>
      <c r="BU1256" s="9"/>
      <c r="BV1256" s="9"/>
      <c r="BW1256" s="9"/>
    </row>
    <row r="1257" spans="1:75" x14ac:dyDescent="0.25">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c r="AR1257" s="9"/>
      <c r="AS1257" s="9"/>
      <c r="AT1257" s="9"/>
      <c r="AU1257" s="9"/>
      <c r="AV1257" s="9"/>
      <c r="AW1257" s="9"/>
      <c r="AX1257" s="9"/>
      <c r="AY1257" s="9"/>
      <c r="AZ1257" s="9"/>
      <c r="BA1257" s="9"/>
      <c r="BB1257" s="9"/>
      <c r="BC1257" s="9"/>
      <c r="BD1257" s="9"/>
      <c r="BE1257" s="9"/>
      <c r="BF1257" s="9"/>
      <c r="BG1257" s="9"/>
      <c r="BH1257" s="9"/>
      <c r="BI1257" s="9"/>
      <c r="BJ1257" s="9"/>
      <c r="BK1257" s="9"/>
      <c r="BL1257" s="9"/>
      <c r="BM1257" s="9"/>
      <c r="BN1257" s="9"/>
      <c r="BO1257" s="9"/>
      <c r="BP1257" s="9"/>
      <c r="BQ1257" s="9"/>
      <c r="BR1257" s="9"/>
      <c r="BS1257" s="9"/>
      <c r="BT1257" s="9"/>
      <c r="BU1257" s="9"/>
      <c r="BV1257" s="9"/>
      <c r="BW1257" s="9"/>
    </row>
    <row r="1258" spans="1:75" x14ac:dyDescent="0.25">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c r="AY1258" s="9"/>
      <c r="AZ1258" s="9"/>
      <c r="BA1258" s="9"/>
      <c r="BB1258" s="9"/>
      <c r="BC1258" s="9"/>
      <c r="BD1258" s="9"/>
      <c r="BE1258" s="9"/>
      <c r="BF1258" s="9"/>
      <c r="BG1258" s="9"/>
      <c r="BH1258" s="9"/>
      <c r="BI1258" s="9"/>
      <c r="BJ1258" s="9"/>
      <c r="BK1258" s="9"/>
      <c r="BL1258" s="9"/>
      <c r="BM1258" s="9"/>
      <c r="BN1258" s="9"/>
      <c r="BO1258" s="9"/>
      <c r="BP1258" s="9"/>
      <c r="BQ1258" s="9"/>
      <c r="BR1258" s="9"/>
      <c r="BS1258" s="9"/>
      <c r="BT1258" s="9"/>
      <c r="BU1258" s="9"/>
      <c r="BV1258" s="9"/>
      <c r="BW1258" s="9"/>
    </row>
    <row r="1259" spans="1:75" x14ac:dyDescent="0.25">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c r="AR1259" s="9"/>
      <c r="AS1259" s="9"/>
      <c r="AT1259" s="9"/>
      <c r="AU1259" s="9"/>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row>
    <row r="1260" spans="1:75" x14ac:dyDescent="0.25">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c r="AS1260" s="9"/>
      <c r="AT1260" s="9"/>
      <c r="AU1260" s="9"/>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row>
    <row r="1261" spans="1:75" x14ac:dyDescent="0.25">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c r="AS1261" s="9"/>
      <c r="AT1261" s="9"/>
      <c r="AU1261" s="9"/>
      <c r="AV1261" s="9"/>
      <c r="AW1261" s="9"/>
      <c r="AX1261" s="9"/>
      <c r="AY1261" s="9"/>
      <c r="AZ1261" s="9"/>
      <c r="BA1261" s="9"/>
      <c r="BB1261" s="9"/>
      <c r="BC1261" s="9"/>
      <c r="BD1261" s="9"/>
      <c r="BE1261" s="9"/>
      <c r="BF1261" s="9"/>
      <c r="BG1261" s="9"/>
      <c r="BH1261" s="9"/>
      <c r="BI1261" s="9"/>
      <c r="BJ1261" s="9"/>
      <c r="BK1261" s="9"/>
      <c r="BL1261" s="9"/>
      <c r="BM1261" s="9"/>
      <c r="BN1261" s="9"/>
      <c r="BO1261" s="9"/>
      <c r="BP1261" s="9"/>
      <c r="BQ1261" s="9"/>
      <c r="BR1261" s="9"/>
      <c r="BS1261" s="9"/>
      <c r="BT1261" s="9"/>
      <c r="BU1261" s="9"/>
      <c r="BV1261" s="9"/>
      <c r="BW1261" s="9"/>
    </row>
    <row r="1262" spans="1:75" x14ac:dyDescent="0.25">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c r="AS1262" s="9"/>
      <c r="AT1262" s="9"/>
      <c r="AU1262" s="9"/>
      <c r="AV1262" s="9"/>
      <c r="AW1262" s="9"/>
      <c r="AX1262" s="9"/>
      <c r="AY1262" s="9"/>
      <c r="AZ1262" s="9"/>
      <c r="BA1262" s="9"/>
      <c r="BB1262" s="9"/>
      <c r="BC1262" s="9"/>
      <c r="BD1262" s="9"/>
      <c r="BE1262" s="9"/>
      <c r="BF1262" s="9"/>
      <c r="BG1262" s="9"/>
      <c r="BH1262" s="9"/>
      <c r="BI1262" s="9"/>
      <c r="BJ1262" s="9"/>
      <c r="BK1262" s="9"/>
      <c r="BL1262" s="9"/>
      <c r="BM1262" s="9"/>
      <c r="BN1262" s="9"/>
      <c r="BO1262" s="9"/>
      <c r="BP1262" s="9"/>
      <c r="BQ1262" s="9"/>
      <c r="BR1262" s="9"/>
      <c r="BS1262" s="9"/>
      <c r="BT1262" s="9"/>
      <c r="BU1262" s="9"/>
      <c r="BV1262" s="9"/>
      <c r="BW1262" s="9"/>
    </row>
    <row r="1263" spans="1:75" x14ac:dyDescent="0.25">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c r="AS1263" s="9"/>
      <c r="AT1263" s="9"/>
      <c r="AU1263" s="9"/>
      <c r="AV1263" s="9"/>
      <c r="AW1263" s="9"/>
      <c r="AX1263" s="9"/>
      <c r="AY1263" s="9"/>
      <c r="AZ1263" s="9"/>
      <c r="BA1263" s="9"/>
      <c r="BB1263" s="9"/>
      <c r="BC1263" s="9"/>
      <c r="BD1263" s="9"/>
      <c r="BE1263" s="9"/>
      <c r="BF1263" s="9"/>
      <c r="BG1263" s="9"/>
      <c r="BH1263" s="9"/>
      <c r="BI1263" s="9"/>
      <c r="BJ1263" s="9"/>
      <c r="BK1263" s="9"/>
      <c r="BL1263" s="9"/>
      <c r="BM1263" s="9"/>
      <c r="BN1263" s="9"/>
      <c r="BO1263" s="9"/>
      <c r="BP1263" s="9"/>
      <c r="BQ1263" s="9"/>
      <c r="BR1263" s="9"/>
      <c r="BS1263" s="9"/>
      <c r="BT1263" s="9"/>
      <c r="BU1263" s="9"/>
      <c r="BV1263" s="9"/>
      <c r="BW1263" s="9"/>
    </row>
    <row r="1264" spans="1:75" x14ac:dyDescent="0.25">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c r="AS1264" s="9"/>
      <c r="AT1264" s="9"/>
      <c r="AU1264" s="9"/>
      <c r="AV1264" s="9"/>
      <c r="AW1264" s="9"/>
      <c r="AX1264" s="9"/>
      <c r="AY1264" s="9"/>
      <c r="AZ1264" s="9"/>
      <c r="BA1264" s="9"/>
      <c r="BB1264" s="9"/>
      <c r="BC1264" s="9"/>
      <c r="BD1264" s="9"/>
      <c r="BE1264" s="9"/>
      <c r="BF1264" s="9"/>
      <c r="BG1264" s="9"/>
      <c r="BH1264" s="9"/>
      <c r="BI1264" s="9"/>
      <c r="BJ1264" s="9"/>
      <c r="BK1264" s="9"/>
      <c r="BL1264" s="9"/>
      <c r="BM1264" s="9"/>
      <c r="BN1264" s="9"/>
      <c r="BO1264" s="9"/>
      <c r="BP1264" s="9"/>
      <c r="BQ1264" s="9"/>
      <c r="BR1264" s="9"/>
      <c r="BS1264" s="9"/>
      <c r="BT1264" s="9"/>
      <c r="BU1264" s="9"/>
      <c r="BV1264" s="9"/>
      <c r="BW1264" s="9"/>
    </row>
    <row r="1265" spans="1:75" x14ac:dyDescent="0.25">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c r="AS1265" s="9"/>
      <c r="AT1265" s="9"/>
      <c r="AU1265" s="9"/>
      <c r="AV1265" s="9"/>
      <c r="AW1265" s="9"/>
      <c r="AX1265" s="9"/>
      <c r="AY1265" s="9"/>
      <c r="AZ1265" s="9"/>
      <c r="BA1265" s="9"/>
      <c r="BB1265" s="9"/>
      <c r="BC1265" s="9"/>
      <c r="BD1265" s="9"/>
      <c r="BE1265" s="9"/>
      <c r="BF1265" s="9"/>
      <c r="BG1265" s="9"/>
      <c r="BH1265" s="9"/>
      <c r="BI1265" s="9"/>
      <c r="BJ1265" s="9"/>
      <c r="BK1265" s="9"/>
      <c r="BL1265" s="9"/>
      <c r="BM1265" s="9"/>
      <c r="BN1265" s="9"/>
      <c r="BO1265" s="9"/>
      <c r="BP1265" s="9"/>
      <c r="BQ1265" s="9"/>
      <c r="BR1265" s="9"/>
      <c r="BS1265" s="9"/>
      <c r="BT1265" s="9"/>
      <c r="BU1265" s="9"/>
      <c r="BV1265" s="9"/>
      <c r="BW1265" s="9"/>
    </row>
    <row r="1266" spans="1:75" x14ac:dyDescent="0.25">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c r="AS1266" s="9"/>
      <c r="AT1266" s="9"/>
      <c r="AU1266" s="9"/>
      <c r="AV1266" s="9"/>
      <c r="AW1266" s="9"/>
      <c r="AX1266" s="9"/>
      <c r="AY1266" s="9"/>
      <c r="AZ1266" s="9"/>
      <c r="BA1266" s="9"/>
      <c r="BB1266" s="9"/>
      <c r="BC1266" s="9"/>
      <c r="BD1266" s="9"/>
      <c r="BE1266" s="9"/>
      <c r="BF1266" s="9"/>
      <c r="BG1266" s="9"/>
      <c r="BH1266" s="9"/>
      <c r="BI1266" s="9"/>
      <c r="BJ1266" s="9"/>
      <c r="BK1266" s="9"/>
      <c r="BL1266" s="9"/>
      <c r="BM1266" s="9"/>
      <c r="BN1266" s="9"/>
      <c r="BO1266" s="9"/>
      <c r="BP1266" s="9"/>
      <c r="BQ1266" s="9"/>
      <c r="BR1266" s="9"/>
      <c r="BS1266" s="9"/>
      <c r="BT1266" s="9"/>
      <c r="BU1266" s="9"/>
      <c r="BV1266" s="9"/>
      <c r="BW1266" s="9"/>
    </row>
    <row r="1267" spans="1:75" x14ac:dyDescent="0.25">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c r="AS1267" s="9"/>
      <c r="AT1267" s="9"/>
      <c r="AU1267" s="9"/>
      <c r="AV1267" s="9"/>
      <c r="AW1267" s="9"/>
      <c r="AX1267" s="9"/>
      <c r="AY1267" s="9"/>
      <c r="AZ1267" s="9"/>
      <c r="BA1267" s="9"/>
      <c r="BB1267" s="9"/>
      <c r="BC1267" s="9"/>
      <c r="BD1267" s="9"/>
      <c r="BE1267" s="9"/>
      <c r="BF1267" s="9"/>
      <c r="BG1267" s="9"/>
      <c r="BH1267" s="9"/>
      <c r="BI1267" s="9"/>
      <c r="BJ1267" s="9"/>
      <c r="BK1267" s="9"/>
      <c r="BL1267" s="9"/>
      <c r="BM1267" s="9"/>
      <c r="BN1267" s="9"/>
      <c r="BO1267" s="9"/>
      <c r="BP1267" s="9"/>
      <c r="BQ1267" s="9"/>
      <c r="BR1267" s="9"/>
      <c r="BS1267" s="9"/>
      <c r="BT1267" s="9"/>
      <c r="BU1267" s="9"/>
      <c r="BV1267" s="9"/>
      <c r="BW1267" s="9"/>
    </row>
    <row r="1268" spans="1:75" x14ac:dyDescent="0.25">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c r="AO1268" s="9"/>
      <c r="AP1268" s="9"/>
      <c r="AQ1268" s="9"/>
      <c r="AR1268" s="9"/>
      <c r="AS1268" s="9"/>
      <c r="AT1268" s="9"/>
      <c r="AU1268" s="9"/>
      <c r="AV1268" s="9"/>
      <c r="AW1268" s="9"/>
      <c r="AX1268" s="9"/>
      <c r="AY1268" s="9"/>
      <c r="AZ1268" s="9"/>
      <c r="BA1268" s="9"/>
      <c r="BB1268" s="9"/>
      <c r="BC1268" s="9"/>
      <c r="BD1268" s="9"/>
      <c r="BE1268" s="9"/>
      <c r="BF1268" s="9"/>
      <c r="BG1268" s="9"/>
      <c r="BH1268" s="9"/>
      <c r="BI1268" s="9"/>
      <c r="BJ1268" s="9"/>
      <c r="BK1268" s="9"/>
      <c r="BL1268" s="9"/>
      <c r="BM1268" s="9"/>
      <c r="BN1268" s="9"/>
      <c r="BO1268" s="9"/>
      <c r="BP1268" s="9"/>
      <c r="BQ1268" s="9"/>
      <c r="BR1268" s="9"/>
      <c r="BS1268" s="9"/>
      <c r="BT1268" s="9"/>
      <c r="BU1268" s="9"/>
      <c r="BV1268" s="9"/>
      <c r="BW1268" s="9"/>
    </row>
    <row r="1269" spans="1:75" x14ac:dyDescent="0.25">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c r="AO1269" s="9"/>
      <c r="AP1269" s="9"/>
      <c r="AQ1269" s="9"/>
      <c r="AR1269" s="9"/>
      <c r="AS1269" s="9"/>
      <c r="AT1269" s="9"/>
      <c r="AU1269" s="9"/>
      <c r="AV1269" s="9"/>
      <c r="AW1269" s="9"/>
      <c r="AX1269" s="9"/>
      <c r="AY1269" s="9"/>
      <c r="AZ1269" s="9"/>
      <c r="BA1269" s="9"/>
      <c r="BB1269" s="9"/>
      <c r="BC1269" s="9"/>
      <c r="BD1269" s="9"/>
      <c r="BE1269" s="9"/>
      <c r="BF1269" s="9"/>
      <c r="BG1269" s="9"/>
      <c r="BH1269" s="9"/>
      <c r="BI1269" s="9"/>
      <c r="BJ1269" s="9"/>
      <c r="BK1269" s="9"/>
      <c r="BL1269" s="9"/>
      <c r="BM1269" s="9"/>
      <c r="BN1269" s="9"/>
      <c r="BO1269" s="9"/>
      <c r="BP1269" s="9"/>
      <c r="BQ1269" s="9"/>
      <c r="BR1269" s="9"/>
      <c r="BS1269" s="9"/>
      <c r="BT1269" s="9"/>
      <c r="BU1269" s="9"/>
      <c r="BV1269" s="9"/>
      <c r="BW1269" s="9"/>
    </row>
    <row r="1270" spans="1:75" x14ac:dyDescent="0.25">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c r="AR1270" s="9"/>
      <c r="AS1270" s="9"/>
      <c r="AT1270" s="9"/>
      <c r="AU1270" s="9"/>
      <c r="AV1270" s="9"/>
      <c r="AW1270" s="9"/>
      <c r="AX1270" s="9"/>
      <c r="AY1270" s="9"/>
      <c r="AZ1270" s="9"/>
      <c r="BA1270" s="9"/>
      <c r="BB1270" s="9"/>
      <c r="BC1270" s="9"/>
      <c r="BD1270" s="9"/>
      <c r="BE1270" s="9"/>
      <c r="BF1270" s="9"/>
      <c r="BG1270" s="9"/>
      <c r="BH1270" s="9"/>
      <c r="BI1270" s="9"/>
      <c r="BJ1270" s="9"/>
      <c r="BK1270" s="9"/>
      <c r="BL1270" s="9"/>
      <c r="BM1270" s="9"/>
      <c r="BN1270" s="9"/>
      <c r="BO1270" s="9"/>
      <c r="BP1270" s="9"/>
      <c r="BQ1270" s="9"/>
      <c r="BR1270" s="9"/>
      <c r="BS1270" s="9"/>
      <c r="BT1270" s="9"/>
      <c r="BU1270" s="9"/>
      <c r="BV1270" s="9"/>
      <c r="BW1270" s="9"/>
    </row>
    <row r="1271" spans="1:75" x14ac:dyDescent="0.25">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c r="AS1271" s="9"/>
      <c r="AT1271" s="9"/>
      <c r="AU1271" s="9"/>
      <c r="AV1271" s="9"/>
      <c r="AW1271" s="9"/>
      <c r="AX1271" s="9"/>
      <c r="AY1271" s="9"/>
      <c r="AZ1271" s="9"/>
      <c r="BA1271" s="9"/>
      <c r="BB1271" s="9"/>
      <c r="BC1271" s="9"/>
      <c r="BD1271" s="9"/>
      <c r="BE1271" s="9"/>
      <c r="BF1271" s="9"/>
      <c r="BG1271" s="9"/>
      <c r="BH1271" s="9"/>
      <c r="BI1271" s="9"/>
      <c r="BJ1271" s="9"/>
      <c r="BK1271" s="9"/>
      <c r="BL1271" s="9"/>
      <c r="BM1271" s="9"/>
      <c r="BN1271" s="9"/>
      <c r="BO1271" s="9"/>
      <c r="BP1271" s="9"/>
      <c r="BQ1271" s="9"/>
      <c r="BR1271" s="9"/>
      <c r="BS1271" s="9"/>
      <c r="BT1271" s="9"/>
      <c r="BU1271" s="9"/>
      <c r="BV1271" s="9"/>
      <c r="BW1271" s="9"/>
    </row>
    <row r="1272" spans="1:75" x14ac:dyDescent="0.25">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c r="AR1272" s="9"/>
      <c r="AS1272" s="9"/>
      <c r="AT1272" s="9"/>
      <c r="AU1272" s="9"/>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row>
    <row r="1273" spans="1:75" x14ac:dyDescent="0.25">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c r="AR1273" s="9"/>
      <c r="AS1273" s="9"/>
      <c r="AT1273" s="9"/>
      <c r="AU1273" s="9"/>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row>
    <row r="1274" spans="1:75" x14ac:dyDescent="0.25">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c r="AO1274" s="9"/>
      <c r="AP1274" s="9"/>
      <c r="AQ1274" s="9"/>
      <c r="AR1274" s="9"/>
      <c r="AS1274" s="9"/>
      <c r="AT1274" s="9"/>
      <c r="AU1274" s="9"/>
      <c r="AV1274" s="9"/>
      <c r="AW1274" s="9"/>
      <c r="AX1274" s="9"/>
      <c r="AY1274" s="9"/>
      <c r="AZ1274" s="9"/>
      <c r="BA1274" s="9"/>
      <c r="BB1274" s="9"/>
      <c r="BC1274" s="9"/>
      <c r="BD1274" s="9"/>
      <c r="BE1274" s="9"/>
      <c r="BF1274" s="9"/>
      <c r="BG1274" s="9"/>
      <c r="BH1274" s="9"/>
      <c r="BI1274" s="9"/>
      <c r="BJ1274" s="9"/>
      <c r="BK1274" s="9"/>
      <c r="BL1274" s="9"/>
      <c r="BM1274" s="9"/>
      <c r="BN1274" s="9"/>
      <c r="BO1274" s="9"/>
      <c r="BP1274" s="9"/>
      <c r="BQ1274" s="9"/>
      <c r="BR1274" s="9"/>
      <c r="BS1274" s="9"/>
      <c r="BT1274" s="9"/>
      <c r="BU1274" s="9"/>
      <c r="BV1274" s="9"/>
      <c r="BW1274" s="9"/>
    </row>
    <row r="1275" spans="1:75" x14ac:dyDescent="0.25">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c r="AO1275" s="9"/>
      <c r="AP1275" s="9"/>
      <c r="AQ1275" s="9"/>
      <c r="AR1275" s="9"/>
      <c r="AS1275" s="9"/>
      <c r="AT1275" s="9"/>
      <c r="AU1275" s="9"/>
      <c r="AV1275" s="9"/>
      <c r="AW1275" s="9"/>
      <c r="AX1275" s="9"/>
      <c r="AY1275" s="9"/>
      <c r="AZ1275" s="9"/>
      <c r="BA1275" s="9"/>
      <c r="BB1275" s="9"/>
      <c r="BC1275" s="9"/>
      <c r="BD1275" s="9"/>
      <c r="BE1275" s="9"/>
      <c r="BF1275" s="9"/>
      <c r="BG1275" s="9"/>
      <c r="BH1275" s="9"/>
      <c r="BI1275" s="9"/>
      <c r="BJ1275" s="9"/>
      <c r="BK1275" s="9"/>
      <c r="BL1275" s="9"/>
      <c r="BM1275" s="9"/>
      <c r="BN1275" s="9"/>
      <c r="BO1275" s="9"/>
      <c r="BP1275" s="9"/>
      <c r="BQ1275" s="9"/>
      <c r="BR1275" s="9"/>
      <c r="BS1275" s="9"/>
      <c r="BT1275" s="9"/>
      <c r="BU1275" s="9"/>
      <c r="BV1275" s="9"/>
      <c r="BW1275" s="9"/>
    </row>
    <row r="1276" spans="1:75" x14ac:dyDescent="0.25">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c r="AO1276" s="9"/>
      <c r="AP1276" s="9"/>
      <c r="AQ1276" s="9"/>
      <c r="AR1276" s="9"/>
      <c r="AS1276" s="9"/>
      <c r="AT1276" s="9"/>
      <c r="AU1276" s="9"/>
      <c r="AV1276" s="9"/>
      <c r="AW1276" s="9"/>
      <c r="AX1276" s="9"/>
      <c r="AY1276" s="9"/>
      <c r="AZ1276" s="9"/>
      <c r="BA1276" s="9"/>
      <c r="BB1276" s="9"/>
      <c r="BC1276" s="9"/>
      <c r="BD1276" s="9"/>
      <c r="BE1276" s="9"/>
      <c r="BF1276" s="9"/>
      <c r="BG1276" s="9"/>
      <c r="BH1276" s="9"/>
      <c r="BI1276" s="9"/>
      <c r="BJ1276" s="9"/>
      <c r="BK1276" s="9"/>
      <c r="BL1276" s="9"/>
      <c r="BM1276" s="9"/>
      <c r="BN1276" s="9"/>
      <c r="BO1276" s="9"/>
      <c r="BP1276" s="9"/>
      <c r="BQ1276" s="9"/>
      <c r="BR1276" s="9"/>
      <c r="BS1276" s="9"/>
      <c r="BT1276" s="9"/>
      <c r="BU1276" s="9"/>
      <c r="BV1276" s="9"/>
      <c r="BW1276" s="9"/>
    </row>
    <row r="1277" spans="1:75" x14ac:dyDescent="0.25">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c r="AS1277" s="9"/>
      <c r="AT1277" s="9"/>
      <c r="AU1277" s="9"/>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row>
    <row r="1278" spans="1:75" x14ac:dyDescent="0.25">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c r="AS1278" s="9"/>
      <c r="AT1278" s="9"/>
      <c r="AU1278" s="9"/>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row>
    <row r="1279" spans="1:75" x14ac:dyDescent="0.25">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c r="AR1279" s="9"/>
      <c r="AS1279" s="9"/>
      <c r="AT1279" s="9"/>
      <c r="AU1279" s="9"/>
      <c r="AV1279" s="9"/>
      <c r="AW1279" s="9"/>
      <c r="AX1279" s="9"/>
      <c r="AY1279" s="9"/>
      <c r="AZ1279" s="9"/>
      <c r="BA1279" s="9"/>
      <c r="BB1279" s="9"/>
      <c r="BC1279" s="9"/>
      <c r="BD1279" s="9"/>
      <c r="BE1279" s="9"/>
      <c r="BF1279" s="9"/>
      <c r="BG1279" s="9"/>
      <c r="BH1279" s="9"/>
      <c r="BI1279" s="9"/>
      <c r="BJ1279" s="9"/>
      <c r="BK1279" s="9"/>
      <c r="BL1279" s="9"/>
      <c r="BM1279" s="9"/>
      <c r="BN1279" s="9"/>
      <c r="BO1279" s="9"/>
      <c r="BP1279" s="9"/>
      <c r="BQ1279" s="9"/>
      <c r="BR1279" s="9"/>
      <c r="BS1279" s="9"/>
      <c r="BT1279" s="9"/>
      <c r="BU1279" s="9"/>
      <c r="BV1279" s="9"/>
      <c r="BW1279" s="9"/>
    </row>
    <row r="1280" spans="1:75" x14ac:dyDescent="0.25">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c r="AR1280" s="9"/>
      <c r="AS1280" s="9"/>
      <c r="AT1280" s="9"/>
      <c r="AU1280" s="9"/>
      <c r="AV1280" s="9"/>
      <c r="AW1280" s="9"/>
      <c r="AX1280" s="9"/>
      <c r="AY1280" s="9"/>
      <c r="AZ1280" s="9"/>
      <c r="BA1280" s="9"/>
      <c r="BB1280" s="9"/>
      <c r="BC1280" s="9"/>
      <c r="BD1280" s="9"/>
      <c r="BE1280" s="9"/>
      <c r="BF1280" s="9"/>
      <c r="BG1280" s="9"/>
      <c r="BH1280" s="9"/>
      <c r="BI1280" s="9"/>
      <c r="BJ1280" s="9"/>
      <c r="BK1280" s="9"/>
      <c r="BL1280" s="9"/>
      <c r="BM1280" s="9"/>
      <c r="BN1280" s="9"/>
      <c r="BO1280" s="9"/>
      <c r="BP1280" s="9"/>
      <c r="BQ1280" s="9"/>
      <c r="BR1280" s="9"/>
      <c r="BS1280" s="9"/>
      <c r="BT1280" s="9"/>
      <c r="BU1280" s="9"/>
      <c r="BV1280" s="9"/>
      <c r="BW1280" s="9"/>
    </row>
    <row r="1281" spans="1:75" x14ac:dyDescent="0.25">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c r="AS1281" s="9"/>
      <c r="AT1281" s="9"/>
      <c r="AU1281" s="9"/>
      <c r="AV1281" s="9"/>
      <c r="AW1281" s="9"/>
      <c r="AX1281" s="9"/>
      <c r="AY1281" s="9"/>
      <c r="AZ1281" s="9"/>
      <c r="BA1281" s="9"/>
      <c r="BB1281" s="9"/>
      <c r="BC1281" s="9"/>
      <c r="BD1281" s="9"/>
      <c r="BE1281" s="9"/>
      <c r="BF1281" s="9"/>
      <c r="BG1281" s="9"/>
      <c r="BH1281" s="9"/>
      <c r="BI1281" s="9"/>
      <c r="BJ1281" s="9"/>
      <c r="BK1281" s="9"/>
      <c r="BL1281" s="9"/>
      <c r="BM1281" s="9"/>
      <c r="BN1281" s="9"/>
      <c r="BO1281" s="9"/>
      <c r="BP1281" s="9"/>
      <c r="BQ1281" s="9"/>
      <c r="BR1281" s="9"/>
      <c r="BS1281" s="9"/>
      <c r="BT1281" s="9"/>
      <c r="BU1281" s="9"/>
      <c r="BV1281" s="9"/>
      <c r="BW1281" s="9"/>
    </row>
    <row r="1282" spans="1:75" x14ac:dyDescent="0.25">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c r="AS1282" s="9"/>
      <c r="AT1282" s="9"/>
      <c r="AU1282" s="9"/>
      <c r="AV1282" s="9"/>
      <c r="AW1282" s="9"/>
      <c r="AX1282" s="9"/>
      <c r="AY1282" s="9"/>
      <c r="AZ1282" s="9"/>
      <c r="BA1282" s="9"/>
      <c r="BB1282" s="9"/>
      <c r="BC1282" s="9"/>
      <c r="BD1282" s="9"/>
      <c r="BE1282" s="9"/>
      <c r="BF1282" s="9"/>
      <c r="BG1282" s="9"/>
      <c r="BH1282" s="9"/>
      <c r="BI1282" s="9"/>
      <c r="BJ1282" s="9"/>
      <c r="BK1282" s="9"/>
      <c r="BL1282" s="9"/>
      <c r="BM1282" s="9"/>
      <c r="BN1282" s="9"/>
      <c r="BO1282" s="9"/>
      <c r="BP1282" s="9"/>
      <c r="BQ1282" s="9"/>
      <c r="BR1282" s="9"/>
      <c r="BS1282" s="9"/>
      <c r="BT1282" s="9"/>
      <c r="BU1282" s="9"/>
      <c r="BV1282" s="9"/>
      <c r="BW1282" s="9"/>
    </row>
    <row r="1283" spans="1:75" x14ac:dyDescent="0.25">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c r="AR1283" s="9"/>
      <c r="AS1283" s="9"/>
      <c r="AT1283" s="9"/>
      <c r="AU1283" s="9"/>
      <c r="AV1283" s="9"/>
      <c r="AW1283" s="9"/>
      <c r="AX1283" s="9"/>
      <c r="AY1283" s="9"/>
      <c r="AZ1283" s="9"/>
      <c r="BA1283" s="9"/>
      <c r="BB1283" s="9"/>
      <c r="BC1283" s="9"/>
      <c r="BD1283" s="9"/>
      <c r="BE1283" s="9"/>
      <c r="BF1283" s="9"/>
      <c r="BG1283" s="9"/>
      <c r="BH1283" s="9"/>
      <c r="BI1283" s="9"/>
      <c r="BJ1283" s="9"/>
      <c r="BK1283" s="9"/>
      <c r="BL1283" s="9"/>
      <c r="BM1283" s="9"/>
      <c r="BN1283" s="9"/>
      <c r="BO1283" s="9"/>
      <c r="BP1283" s="9"/>
      <c r="BQ1283" s="9"/>
      <c r="BR1283" s="9"/>
      <c r="BS1283" s="9"/>
      <c r="BT1283" s="9"/>
      <c r="BU1283" s="9"/>
      <c r="BV1283" s="9"/>
      <c r="BW1283" s="9"/>
    </row>
    <row r="1284" spans="1:75" x14ac:dyDescent="0.25">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c r="AO1284" s="9"/>
      <c r="AP1284" s="9"/>
      <c r="AQ1284" s="9"/>
      <c r="AR1284" s="9"/>
      <c r="AS1284" s="9"/>
      <c r="AT1284" s="9"/>
      <c r="AU1284" s="9"/>
      <c r="AV1284" s="9"/>
      <c r="AW1284" s="9"/>
      <c r="AX1284" s="9"/>
      <c r="AY1284" s="9"/>
      <c r="AZ1284" s="9"/>
      <c r="BA1284" s="9"/>
      <c r="BB1284" s="9"/>
      <c r="BC1284" s="9"/>
      <c r="BD1284" s="9"/>
      <c r="BE1284" s="9"/>
      <c r="BF1284" s="9"/>
      <c r="BG1284" s="9"/>
      <c r="BH1284" s="9"/>
      <c r="BI1284" s="9"/>
      <c r="BJ1284" s="9"/>
      <c r="BK1284" s="9"/>
      <c r="BL1284" s="9"/>
      <c r="BM1284" s="9"/>
      <c r="BN1284" s="9"/>
      <c r="BO1284" s="9"/>
      <c r="BP1284" s="9"/>
      <c r="BQ1284" s="9"/>
      <c r="BR1284" s="9"/>
      <c r="BS1284" s="9"/>
      <c r="BT1284" s="9"/>
      <c r="BU1284" s="9"/>
      <c r="BV1284" s="9"/>
      <c r="BW1284" s="9"/>
    </row>
    <row r="1285" spans="1:75" x14ac:dyDescent="0.25">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c r="AO1285" s="9"/>
      <c r="AP1285" s="9"/>
      <c r="AQ1285" s="9"/>
      <c r="AR1285" s="9"/>
      <c r="AS1285" s="9"/>
      <c r="AT1285" s="9"/>
      <c r="AU1285" s="9"/>
      <c r="AV1285" s="9"/>
      <c r="AW1285" s="9"/>
      <c r="AX1285" s="9"/>
      <c r="AY1285" s="9"/>
      <c r="AZ1285" s="9"/>
      <c r="BA1285" s="9"/>
      <c r="BB1285" s="9"/>
      <c r="BC1285" s="9"/>
      <c r="BD1285" s="9"/>
      <c r="BE1285" s="9"/>
      <c r="BF1285" s="9"/>
      <c r="BG1285" s="9"/>
      <c r="BH1285" s="9"/>
      <c r="BI1285" s="9"/>
      <c r="BJ1285" s="9"/>
      <c r="BK1285" s="9"/>
      <c r="BL1285" s="9"/>
      <c r="BM1285" s="9"/>
      <c r="BN1285" s="9"/>
      <c r="BO1285" s="9"/>
      <c r="BP1285" s="9"/>
      <c r="BQ1285" s="9"/>
      <c r="BR1285" s="9"/>
      <c r="BS1285" s="9"/>
      <c r="BT1285" s="9"/>
      <c r="BU1285" s="9"/>
      <c r="BV1285" s="9"/>
      <c r="BW1285" s="9"/>
    </row>
    <row r="1286" spans="1:75" x14ac:dyDescent="0.25">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c r="AS1286" s="9"/>
      <c r="AT1286" s="9"/>
      <c r="AU1286" s="9"/>
      <c r="AV1286" s="9"/>
      <c r="AW1286" s="9"/>
      <c r="AX1286" s="9"/>
      <c r="AY1286" s="9"/>
      <c r="AZ1286" s="9"/>
      <c r="BA1286" s="9"/>
      <c r="BB1286" s="9"/>
      <c r="BC1286" s="9"/>
      <c r="BD1286" s="9"/>
      <c r="BE1286" s="9"/>
      <c r="BF1286" s="9"/>
      <c r="BG1286" s="9"/>
      <c r="BH1286" s="9"/>
      <c r="BI1286" s="9"/>
      <c r="BJ1286" s="9"/>
      <c r="BK1286" s="9"/>
      <c r="BL1286" s="9"/>
      <c r="BM1286" s="9"/>
      <c r="BN1286" s="9"/>
      <c r="BO1286" s="9"/>
      <c r="BP1286" s="9"/>
      <c r="BQ1286" s="9"/>
      <c r="BR1286" s="9"/>
      <c r="BS1286" s="9"/>
      <c r="BT1286" s="9"/>
      <c r="BU1286" s="9"/>
      <c r="BV1286" s="9"/>
      <c r="BW1286" s="9"/>
    </row>
    <row r="1287" spans="1:75" x14ac:dyDescent="0.25">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c r="AS1287" s="9"/>
      <c r="AT1287" s="9"/>
      <c r="AU1287" s="9"/>
      <c r="AV1287" s="9"/>
      <c r="AW1287" s="9"/>
      <c r="AX1287" s="9"/>
      <c r="AY1287" s="9"/>
      <c r="AZ1287" s="9"/>
      <c r="BA1287" s="9"/>
      <c r="BB1287" s="9"/>
      <c r="BC1287" s="9"/>
      <c r="BD1287" s="9"/>
      <c r="BE1287" s="9"/>
      <c r="BF1287" s="9"/>
      <c r="BG1287" s="9"/>
      <c r="BH1287" s="9"/>
      <c r="BI1287" s="9"/>
      <c r="BJ1287" s="9"/>
      <c r="BK1287" s="9"/>
      <c r="BL1287" s="9"/>
      <c r="BM1287" s="9"/>
      <c r="BN1287" s="9"/>
      <c r="BO1287" s="9"/>
      <c r="BP1287" s="9"/>
      <c r="BQ1287" s="9"/>
      <c r="BR1287" s="9"/>
      <c r="BS1287" s="9"/>
      <c r="BT1287" s="9"/>
      <c r="BU1287" s="9"/>
      <c r="BV1287" s="9"/>
      <c r="BW1287" s="9"/>
    </row>
    <row r="1288" spans="1:75" x14ac:dyDescent="0.25">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c r="AS1288" s="9"/>
      <c r="AT1288" s="9"/>
      <c r="AU1288" s="9"/>
      <c r="AV1288" s="9"/>
      <c r="AW1288" s="9"/>
      <c r="AX1288" s="9"/>
      <c r="AY1288" s="9"/>
      <c r="AZ1288" s="9"/>
      <c r="BA1288" s="9"/>
      <c r="BB1288" s="9"/>
      <c r="BC1288" s="9"/>
      <c r="BD1288" s="9"/>
      <c r="BE1288" s="9"/>
      <c r="BF1288" s="9"/>
      <c r="BG1288" s="9"/>
      <c r="BH1288" s="9"/>
      <c r="BI1288" s="9"/>
      <c r="BJ1288" s="9"/>
      <c r="BK1288" s="9"/>
      <c r="BL1288" s="9"/>
      <c r="BM1288" s="9"/>
      <c r="BN1288" s="9"/>
      <c r="BO1288" s="9"/>
      <c r="BP1288" s="9"/>
      <c r="BQ1288" s="9"/>
      <c r="BR1288" s="9"/>
      <c r="BS1288" s="9"/>
      <c r="BT1288" s="9"/>
      <c r="BU1288" s="9"/>
      <c r="BV1288" s="9"/>
      <c r="BW1288" s="9"/>
    </row>
    <row r="1289" spans="1:75" x14ac:dyDescent="0.25">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c r="AX1289" s="9"/>
      <c r="AY1289" s="9"/>
      <c r="AZ1289" s="9"/>
      <c r="BA1289" s="9"/>
      <c r="BB1289" s="9"/>
      <c r="BC1289" s="9"/>
      <c r="BD1289" s="9"/>
      <c r="BE1289" s="9"/>
      <c r="BF1289" s="9"/>
      <c r="BG1289" s="9"/>
      <c r="BH1289" s="9"/>
      <c r="BI1289" s="9"/>
      <c r="BJ1289" s="9"/>
      <c r="BK1289" s="9"/>
      <c r="BL1289" s="9"/>
      <c r="BM1289" s="9"/>
      <c r="BN1289" s="9"/>
      <c r="BO1289" s="9"/>
      <c r="BP1289" s="9"/>
      <c r="BQ1289" s="9"/>
      <c r="BR1289" s="9"/>
      <c r="BS1289" s="9"/>
      <c r="BT1289" s="9"/>
      <c r="BU1289" s="9"/>
      <c r="BV1289" s="9"/>
      <c r="BW1289" s="9"/>
    </row>
    <row r="1290" spans="1:75" x14ac:dyDescent="0.25">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c r="AR1290" s="9"/>
      <c r="AS1290" s="9"/>
      <c r="AT1290" s="9"/>
      <c r="AU1290" s="9"/>
      <c r="AV1290" s="9"/>
      <c r="AW1290" s="9"/>
      <c r="AX1290" s="9"/>
      <c r="AY1290" s="9"/>
      <c r="AZ1290" s="9"/>
      <c r="BA1290" s="9"/>
      <c r="BB1290" s="9"/>
      <c r="BC1290" s="9"/>
      <c r="BD1290" s="9"/>
      <c r="BE1290" s="9"/>
      <c r="BF1290" s="9"/>
      <c r="BG1290" s="9"/>
      <c r="BH1290" s="9"/>
      <c r="BI1290" s="9"/>
      <c r="BJ1290" s="9"/>
      <c r="BK1290" s="9"/>
      <c r="BL1290" s="9"/>
      <c r="BM1290" s="9"/>
      <c r="BN1290" s="9"/>
      <c r="BO1290" s="9"/>
      <c r="BP1290" s="9"/>
      <c r="BQ1290" s="9"/>
      <c r="BR1290" s="9"/>
      <c r="BS1290" s="9"/>
      <c r="BT1290" s="9"/>
      <c r="BU1290" s="9"/>
      <c r="BV1290" s="9"/>
      <c r="BW1290" s="9"/>
    </row>
    <row r="1291" spans="1:75" x14ac:dyDescent="0.25">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c r="AS1291" s="9"/>
      <c r="AT1291" s="9"/>
      <c r="AU1291" s="9"/>
      <c r="AV1291" s="9"/>
      <c r="AW1291" s="9"/>
      <c r="AX1291" s="9"/>
      <c r="AY1291" s="9"/>
      <c r="AZ1291" s="9"/>
      <c r="BA1291" s="9"/>
      <c r="BB1291" s="9"/>
      <c r="BC1291" s="9"/>
      <c r="BD1291" s="9"/>
      <c r="BE1291" s="9"/>
      <c r="BF1291" s="9"/>
      <c r="BG1291" s="9"/>
      <c r="BH1291" s="9"/>
      <c r="BI1291" s="9"/>
      <c r="BJ1291" s="9"/>
      <c r="BK1291" s="9"/>
      <c r="BL1291" s="9"/>
      <c r="BM1291" s="9"/>
      <c r="BN1291" s="9"/>
      <c r="BO1291" s="9"/>
      <c r="BP1291" s="9"/>
      <c r="BQ1291" s="9"/>
      <c r="BR1291" s="9"/>
      <c r="BS1291" s="9"/>
      <c r="BT1291" s="9"/>
      <c r="BU1291" s="9"/>
      <c r="BV1291" s="9"/>
      <c r="BW1291" s="9"/>
    </row>
    <row r="1292" spans="1:75" x14ac:dyDescent="0.25">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c r="AS1292" s="9"/>
      <c r="AT1292" s="9"/>
      <c r="AU1292" s="9"/>
      <c r="AV1292" s="9"/>
      <c r="AW1292" s="9"/>
      <c r="AX1292" s="9"/>
      <c r="AY1292" s="9"/>
      <c r="AZ1292" s="9"/>
      <c r="BA1292" s="9"/>
      <c r="BB1292" s="9"/>
      <c r="BC1292" s="9"/>
      <c r="BD1292" s="9"/>
      <c r="BE1292" s="9"/>
      <c r="BF1292" s="9"/>
      <c r="BG1292" s="9"/>
      <c r="BH1292" s="9"/>
      <c r="BI1292" s="9"/>
      <c r="BJ1292" s="9"/>
      <c r="BK1292" s="9"/>
      <c r="BL1292" s="9"/>
      <c r="BM1292" s="9"/>
      <c r="BN1292" s="9"/>
      <c r="BO1292" s="9"/>
      <c r="BP1292" s="9"/>
      <c r="BQ1292" s="9"/>
      <c r="BR1292" s="9"/>
      <c r="BS1292" s="9"/>
      <c r="BT1292" s="9"/>
      <c r="BU1292" s="9"/>
      <c r="BV1292" s="9"/>
      <c r="BW1292" s="9"/>
    </row>
    <row r="1293" spans="1:75" x14ac:dyDescent="0.25">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c r="AR1293" s="9"/>
      <c r="AS1293" s="9"/>
      <c r="AT1293" s="9"/>
      <c r="AU1293" s="9"/>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row>
    <row r="1294" spans="1:75" x14ac:dyDescent="0.25">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c r="AS1294" s="9"/>
      <c r="AT1294" s="9"/>
      <c r="AU1294" s="9"/>
      <c r="AV1294" s="9"/>
      <c r="AW1294" s="9"/>
      <c r="AX1294" s="9"/>
      <c r="AY1294" s="9"/>
      <c r="AZ1294" s="9"/>
      <c r="BA1294" s="9"/>
      <c r="BB1294" s="9"/>
      <c r="BC1294" s="9"/>
      <c r="BD1294" s="9"/>
      <c r="BE1294" s="9"/>
      <c r="BF1294" s="9"/>
      <c r="BG1294" s="9"/>
      <c r="BH1294" s="9"/>
      <c r="BI1294" s="9"/>
      <c r="BJ1294" s="9"/>
      <c r="BK1294" s="9"/>
      <c r="BL1294" s="9"/>
      <c r="BM1294" s="9"/>
      <c r="BN1294" s="9"/>
      <c r="BO1294" s="9"/>
      <c r="BP1294" s="9"/>
      <c r="BQ1294" s="9"/>
      <c r="BR1294" s="9"/>
      <c r="BS1294" s="9"/>
      <c r="BT1294" s="9"/>
      <c r="BU1294" s="9"/>
      <c r="BV1294" s="9"/>
      <c r="BW1294" s="9"/>
    </row>
    <row r="1295" spans="1:75" x14ac:dyDescent="0.25">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c r="AS1295" s="9"/>
      <c r="AT1295" s="9"/>
      <c r="AU1295" s="9"/>
      <c r="AV1295" s="9"/>
      <c r="AW1295" s="9"/>
      <c r="AX1295" s="9"/>
      <c r="AY1295" s="9"/>
      <c r="AZ1295" s="9"/>
      <c r="BA1295" s="9"/>
      <c r="BB1295" s="9"/>
      <c r="BC1295" s="9"/>
      <c r="BD1295" s="9"/>
      <c r="BE1295" s="9"/>
      <c r="BF1295" s="9"/>
      <c r="BG1295" s="9"/>
      <c r="BH1295" s="9"/>
      <c r="BI1295" s="9"/>
      <c r="BJ1295" s="9"/>
      <c r="BK1295" s="9"/>
      <c r="BL1295" s="9"/>
      <c r="BM1295" s="9"/>
      <c r="BN1295" s="9"/>
      <c r="BO1295" s="9"/>
      <c r="BP1295" s="9"/>
      <c r="BQ1295" s="9"/>
      <c r="BR1295" s="9"/>
      <c r="BS1295" s="9"/>
      <c r="BT1295" s="9"/>
      <c r="BU1295" s="9"/>
      <c r="BV1295" s="9"/>
      <c r="BW1295" s="9"/>
    </row>
    <row r="1296" spans="1:75" x14ac:dyDescent="0.25">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c r="AR1296" s="9"/>
      <c r="AS1296" s="9"/>
      <c r="AT1296" s="9"/>
      <c r="AU1296" s="9"/>
      <c r="AV1296" s="9"/>
      <c r="AW1296" s="9"/>
      <c r="AX1296" s="9"/>
      <c r="AY1296" s="9"/>
      <c r="AZ1296" s="9"/>
      <c r="BA1296" s="9"/>
      <c r="BB1296" s="9"/>
      <c r="BC1296" s="9"/>
      <c r="BD1296" s="9"/>
      <c r="BE1296" s="9"/>
      <c r="BF1296" s="9"/>
      <c r="BG1296" s="9"/>
      <c r="BH1296" s="9"/>
      <c r="BI1296" s="9"/>
      <c r="BJ1296" s="9"/>
      <c r="BK1296" s="9"/>
      <c r="BL1296" s="9"/>
      <c r="BM1296" s="9"/>
      <c r="BN1296" s="9"/>
      <c r="BO1296" s="9"/>
      <c r="BP1296" s="9"/>
      <c r="BQ1296" s="9"/>
      <c r="BR1296" s="9"/>
      <c r="BS1296" s="9"/>
      <c r="BT1296" s="9"/>
      <c r="BU1296" s="9"/>
      <c r="BV1296" s="9"/>
      <c r="BW1296" s="9"/>
    </row>
    <row r="1297" spans="1:75" x14ac:dyDescent="0.25">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c r="AR1297" s="9"/>
      <c r="AS1297" s="9"/>
      <c r="AT1297" s="9"/>
      <c r="AU1297" s="9"/>
      <c r="AV1297" s="9"/>
      <c r="AW1297" s="9"/>
      <c r="AX1297" s="9"/>
      <c r="AY1297" s="9"/>
      <c r="AZ1297" s="9"/>
      <c r="BA1297" s="9"/>
      <c r="BB1297" s="9"/>
      <c r="BC1297" s="9"/>
      <c r="BD1297" s="9"/>
      <c r="BE1297" s="9"/>
      <c r="BF1297" s="9"/>
      <c r="BG1297" s="9"/>
      <c r="BH1297" s="9"/>
      <c r="BI1297" s="9"/>
      <c r="BJ1297" s="9"/>
      <c r="BK1297" s="9"/>
      <c r="BL1297" s="9"/>
      <c r="BM1297" s="9"/>
      <c r="BN1297" s="9"/>
      <c r="BO1297" s="9"/>
      <c r="BP1297" s="9"/>
      <c r="BQ1297" s="9"/>
      <c r="BR1297" s="9"/>
      <c r="BS1297" s="9"/>
      <c r="BT1297" s="9"/>
      <c r="BU1297" s="9"/>
      <c r="BV1297" s="9"/>
      <c r="BW1297" s="9"/>
    </row>
    <row r="1298" spans="1:75" x14ac:dyDescent="0.25">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c r="AR1298" s="9"/>
      <c r="AS1298" s="9"/>
      <c r="AT1298" s="9"/>
      <c r="AU1298" s="9"/>
      <c r="AV1298" s="9"/>
      <c r="AW1298" s="9"/>
      <c r="AX1298" s="9"/>
      <c r="AY1298" s="9"/>
      <c r="AZ1298" s="9"/>
      <c r="BA1298" s="9"/>
      <c r="BB1298" s="9"/>
      <c r="BC1298" s="9"/>
      <c r="BD1298" s="9"/>
      <c r="BE1298" s="9"/>
      <c r="BF1298" s="9"/>
      <c r="BG1298" s="9"/>
      <c r="BH1298" s="9"/>
      <c r="BI1298" s="9"/>
      <c r="BJ1298" s="9"/>
      <c r="BK1298" s="9"/>
      <c r="BL1298" s="9"/>
      <c r="BM1298" s="9"/>
      <c r="BN1298" s="9"/>
      <c r="BO1298" s="9"/>
      <c r="BP1298" s="9"/>
      <c r="BQ1298" s="9"/>
      <c r="BR1298" s="9"/>
      <c r="BS1298" s="9"/>
      <c r="BT1298" s="9"/>
      <c r="BU1298" s="9"/>
      <c r="BV1298" s="9"/>
      <c r="BW1298" s="9"/>
    </row>
    <row r="1299" spans="1:75" x14ac:dyDescent="0.25">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c r="AO1299" s="9"/>
      <c r="AP1299" s="9"/>
      <c r="AQ1299" s="9"/>
      <c r="AR1299" s="9"/>
      <c r="AS1299" s="9"/>
      <c r="AT1299" s="9"/>
      <c r="AU1299" s="9"/>
      <c r="AV1299" s="9"/>
      <c r="AW1299" s="9"/>
      <c r="AX1299" s="9"/>
      <c r="AY1299" s="9"/>
      <c r="AZ1299" s="9"/>
      <c r="BA1299" s="9"/>
      <c r="BB1299" s="9"/>
      <c r="BC1299" s="9"/>
      <c r="BD1299" s="9"/>
      <c r="BE1299" s="9"/>
      <c r="BF1299" s="9"/>
      <c r="BG1299" s="9"/>
      <c r="BH1299" s="9"/>
      <c r="BI1299" s="9"/>
      <c r="BJ1299" s="9"/>
      <c r="BK1299" s="9"/>
      <c r="BL1299" s="9"/>
      <c r="BM1299" s="9"/>
      <c r="BN1299" s="9"/>
      <c r="BO1299" s="9"/>
      <c r="BP1299" s="9"/>
      <c r="BQ1299" s="9"/>
      <c r="BR1299" s="9"/>
      <c r="BS1299" s="9"/>
      <c r="BT1299" s="9"/>
      <c r="BU1299" s="9"/>
      <c r="BV1299" s="9"/>
      <c r="BW1299" s="9"/>
    </row>
    <row r="1300" spans="1:75" x14ac:dyDescent="0.25">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c r="AO1300" s="9"/>
      <c r="AP1300" s="9"/>
      <c r="AQ1300" s="9"/>
      <c r="AR1300" s="9"/>
      <c r="AS1300" s="9"/>
      <c r="AT1300" s="9"/>
      <c r="AU1300" s="9"/>
      <c r="AV1300" s="9"/>
      <c r="AW1300" s="9"/>
      <c r="AX1300" s="9"/>
      <c r="AY1300" s="9"/>
      <c r="AZ1300" s="9"/>
      <c r="BA1300" s="9"/>
      <c r="BB1300" s="9"/>
      <c r="BC1300" s="9"/>
      <c r="BD1300" s="9"/>
      <c r="BE1300" s="9"/>
      <c r="BF1300" s="9"/>
      <c r="BG1300" s="9"/>
      <c r="BH1300" s="9"/>
      <c r="BI1300" s="9"/>
      <c r="BJ1300" s="9"/>
      <c r="BK1300" s="9"/>
      <c r="BL1300" s="9"/>
      <c r="BM1300" s="9"/>
      <c r="BN1300" s="9"/>
      <c r="BO1300" s="9"/>
      <c r="BP1300" s="9"/>
      <c r="BQ1300" s="9"/>
      <c r="BR1300" s="9"/>
      <c r="BS1300" s="9"/>
      <c r="BT1300" s="9"/>
      <c r="BU1300" s="9"/>
      <c r="BV1300" s="9"/>
      <c r="BW1300" s="9"/>
    </row>
    <row r="1301" spans="1:75" x14ac:dyDescent="0.25">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c r="AO1301" s="9"/>
      <c r="AP1301" s="9"/>
      <c r="AQ1301" s="9"/>
      <c r="AR1301" s="9"/>
      <c r="AS1301" s="9"/>
      <c r="AT1301" s="9"/>
      <c r="AU1301" s="9"/>
      <c r="AV1301" s="9"/>
      <c r="AW1301" s="9"/>
      <c r="AX1301" s="9"/>
      <c r="AY1301" s="9"/>
      <c r="AZ1301" s="9"/>
      <c r="BA1301" s="9"/>
      <c r="BB1301" s="9"/>
      <c r="BC1301" s="9"/>
      <c r="BD1301" s="9"/>
      <c r="BE1301" s="9"/>
      <c r="BF1301" s="9"/>
      <c r="BG1301" s="9"/>
      <c r="BH1301" s="9"/>
      <c r="BI1301" s="9"/>
      <c r="BJ1301" s="9"/>
      <c r="BK1301" s="9"/>
      <c r="BL1301" s="9"/>
      <c r="BM1301" s="9"/>
      <c r="BN1301" s="9"/>
      <c r="BO1301" s="9"/>
      <c r="BP1301" s="9"/>
      <c r="BQ1301" s="9"/>
      <c r="BR1301" s="9"/>
      <c r="BS1301" s="9"/>
      <c r="BT1301" s="9"/>
      <c r="BU1301" s="9"/>
      <c r="BV1301" s="9"/>
      <c r="BW1301" s="9"/>
    </row>
    <row r="1302" spans="1:75" x14ac:dyDescent="0.25">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c r="AX1302" s="9"/>
      <c r="AY1302" s="9"/>
      <c r="AZ1302" s="9"/>
      <c r="BA1302" s="9"/>
      <c r="BB1302" s="9"/>
      <c r="BC1302" s="9"/>
      <c r="BD1302" s="9"/>
      <c r="BE1302" s="9"/>
      <c r="BF1302" s="9"/>
      <c r="BG1302" s="9"/>
      <c r="BH1302" s="9"/>
      <c r="BI1302" s="9"/>
      <c r="BJ1302" s="9"/>
      <c r="BK1302" s="9"/>
      <c r="BL1302" s="9"/>
      <c r="BM1302" s="9"/>
      <c r="BN1302" s="9"/>
      <c r="BO1302" s="9"/>
      <c r="BP1302" s="9"/>
      <c r="BQ1302" s="9"/>
      <c r="BR1302" s="9"/>
      <c r="BS1302" s="9"/>
      <c r="BT1302" s="9"/>
      <c r="BU1302" s="9"/>
      <c r="BV1302" s="9"/>
      <c r="BW1302" s="9"/>
    </row>
    <row r="1303" spans="1:75" x14ac:dyDescent="0.25">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c r="AO1303" s="9"/>
      <c r="AP1303" s="9"/>
      <c r="AQ1303" s="9"/>
      <c r="AR1303" s="9"/>
      <c r="AS1303" s="9"/>
      <c r="AT1303" s="9"/>
      <c r="AU1303" s="9"/>
      <c r="AV1303" s="9"/>
      <c r="AW1303" s="9"/>
      <c r="AX1303" s="9"/>
      <c r="AY1303" s="9"/>
      <c r="AZ1303" s="9"/>
      <c r="BA1303" s="9"/>
      <c r="BB1303" s="9"/>
      <c r="BC1303" s="9"/>
      <c r="BD1303" s="9"/>
      <c r="BE1303" s="9"/>
      <c r="BF1303" s="9"/>
      <c r="BG1303" s="9"/>
      <c r="BH1303" s="9"/>
      <c r="BI1303" s="9"/>
      <c r="BJ1303" s="9"/>
      <c r="BK1303" s="9"/>
      <c r="BL1303" s="9"/>
      <c r="BM1303" s="9"/>
      <c r="BN1303" s="9"/>
      <c r="BO1303" s="9"/>
      <c r="BP1303" s="9"/>
      <c r="BQ1303" s="9"/>
      <c r="BR1303" s="9"/>
      <c r="BS1303" s="9"/>
      <c r="BT1303" s="9"/>
      <c r="BU1303" s="9"/>
      <c r="BV1303" s="9"/>
      <c r="BW1303" s="9"/>
    </row>
    <row r="1304" spans="1:75" x14ac:dyDescent="0.25">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c r="AS1304" s="9"/>
      <c r="AT1304" s="9"/>
      <c r="AU1304" s="9"/>
      <c r="AV1304" s="9"/>
      <c r="AW1304" s="9"/>
      <c r="AX1304" s="9"/>
      <c r="AY1304" s="9"/>
      <c r="AZ1304" s="9"/>
      <c r="BA1304" s="9"/>
      <c r="BB1304" s="9"/>
      <c r="BC1304" s="9"/>
      <c r="BD1304" s="9"/>
      <c r="BE1304" s="9"/>
      <c r="BF1304" s="9"/>
      <c r="BG1304" s="9"/>
      <c r="BH1304" s="9"/>
      <c r="BI1304" s="9"/>
      <c r="BJ1304" s="9"/>
      <c r="BK1304" s="9"/>
      <c r="BL1304" s="9"/>
      <c r="BM1304" s="9"/>
      <c r="BN1304" s="9"/>
      <c r="BO1304" s="9"/>
      <c r="BP1304" s="9"/>
      <c r="BQ1304" s="9"/>
      <c r="BR1304" s="9"/>
      <c r="BS1304" s="9"/>
      <c r="BT1304" s="9"/>
      <c r="BU1304" s="9"/>
      <c r="BV1304" s="9"/>
      <c r="BW1304" s="9"/>
    </row>
    <row r="1305" spans="1:75" x14ac:dyDescent="0.25">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c r="AO1305" s="9"/>
      <c r="AP1305" s="9"/>
      <c r="AQ1305" s="9"/>
      <c r="AR1305" s="9"/>
      <c r="AS1305" s="9"/>
      <c r="AT1305" s="9"/>
      <c r="AU1305" s="9"/>
      <c r="AV1305" s="9"/>
      <c r="AW1305" s="9"/>
      <c r="AX1305" s="9"/>
      <c r="AY1305" s="9"/>
      <c r="AZ1305" s="9"/>
      <c r="BA1305" s="9"/>
      <c r="BB1305" s="9"/>
      <c r="BC1305" s="9"/>
      <c r="BD1305" s="9"/>
      <c r="BE1305" s="9"/>
      <c r="BF1305" s="9"/>
      <c r="BG1305" s="9"/>
      <c r="BH1305" s="9"/>
      <c r="BI1305" s="9"/>
      <c r="BJ1305" s="9"/>
      <c r="BK1305" s="9"/>
      <c r="BL1305" s="9"/>
      <c r="BM1305" s="9"/>
      <c r="BN1305" s="9"/>
      <c r="BO1305" s="9"/>
      <c r="BP1305" s="9"/>
      <c r="BQ1305" s="9"/>
      <c r="BR1305" s="9"/>
      <c r="BS1305" s="9"/>
      <c r="BT1305" s="9"/>
      <c r="BU1305" s="9"/>
      <c r="BV1305" s="9"/>
      <c r="BW1305" s="9"/>
    </row>
    <row r="1306" spans="1:75" x14ac:dyDescent="0.25">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c r="AO1306" s="9"/>
      <c r="AP1306" s="9"/>
      <c r="AQ1306" s="9"/>
      <c r="AR1306" s="9"/>
      <c r="AS1306" s="9"/>
      <c r="AT1306" s="9"/>
      <c r="AU1306" s="9"/>
      <c r="AV1306" s="9"/>
      <c r="AW1306" s="9"/>
      <c r="AX1306" s="9"/>
      <c r="AY1306" s="9"/>
      <c r="AZ1306" s="9"/>
      <c r="BA1306" s="9"/>
      <c r="BB1306" s="9"/>
      <c r="BC1306" s="9"/>
      <c r="BD1306" s="9"/>
      <c r="BE1306" s="9"/>
      <c r="BF1306" s="9"/>
      <c r="BG1306" s="9"/>
      <c r="BH1306" s="9"/>
      <c r="BI1306" s="9"/>
      <c r="BJ1306" s="9"/>
      <c r="BK1306" s="9"/>
      <c r="BL1306" s="9"/>
      <c r="BM1306" s="9"/>
      <c r="BN1306" s="9"/>
      <c r="BO1306" s="9"/>
      <c r="BP1306" s="9"/>
      <c r="BQ1306" s="9"/>
      <c r="BR1306" s="9"/>
      <c r="BS1306" s="9"/>
      <c r="BT1306" s="9"/>
      <c r="BU1306" s="9"/>
      <c r="BV1306" s="9"/>
      <c r="BW1306" s="9"/>
    </row>
    <row r="1307" spans="1:75" x14ac:dyDescent="0.25">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c r="AS1307" s="9"/>
      <c r="AT1307" s="9"/>
      <c r="AU1307" s="9"/>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row>
    <row r="1308" spans="1:75" x14ac:dyDescent="0.25">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c r="AR1308" s="9"/>
      <c r="AS1308" s="9"/>
      <c r="AT1308" s="9"/>
      <c r="AU1308" s="9"/>
      <c r="AV1308" s="9"/>
      <c r="AW1308" s="9"/>
      <c r="AX1308" s="9"/>
      <c r="AY1308" s="9"/>
      <c r="AZ1308" s="9"/>
      <c r="BA1308" s="9"/>
      <c r="BB1308" s="9"/>
      <c r="BC1308" s="9"/>
      <c r="BD1308" s="9"/>
      <c r="BE1308" s="9"/>
      <c r="BF1308" s="9"/>
      <c r="BG1308" s="9"/>
      <c r="BH1308" s="9"/>
      <c r="BI1308" s="9"/>
      <c r="BJ1308" s="9"/>
      <c r="BK1308" s="9"/>
      <c r="BL1308" s="9"/>
      <c r="BM1308" s="9"/>
      <c r="BN1308" s="9"/>
      <c r="BO1308" s="9"/>
      <c r="BP1308" s="9"/>
      <c r="BQ1308" s="9"/>
      <c r="BR1308" s="9"/>
      <c r="BS1308" s="9"/>
      <c r="BT1308" s="9"/>
      <c r="BU1308" s="9"/>
      <c r="BV1308" s="9"/>
      <c r="BW1308" s="9"/>
    </row>
    <row r="1309" spans="1:75" x14ac:dyDescent="0.25">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c r="AO1309" s="9"/>
      <c r="AP1309" s="9"/>
      <c r="AQ1309" s="9"/>
      <c r="AR1309" s="9"/>
      <c r="AS1309" s="9"/>
      <c r="AT1309" s="9"/>
      <c r="AU1309" s="9"/>
      <c r="AV1309" s="9"/>
      <c r="AW1309" s="9"/>
      <c r="AX1309" s="9"/>
      <c r="AY1309" s="9"/>
      <c r="AZ1309" s="9"/>
      <c r="BA1309" s="9"/>
      <c r="BB1309" s="9"/>
      <c r="BC1309" s="9"/>
      <c r="BD1309" s="9"/>
      <c r="BE1309" s="9"/>
      <c r="BF1309" s="9"/>
      <c r="BG1309" s="9"/>
      <c r="BH1309" s="9"/>
      <c r="BI1309" s="9"/>
      <c r="BJ1309" s="9"/>
      <c r="BK1309" s="9"/>
      <c r="BL1309" s="9"/>
      <c r="BM1309" s="9"/>
      <c r="BN1309" s="9"/>
      <c r="BO1309" s="9"/>
      <c r="BP1309" s="9"/>
      <c r="BQ1309" s="9"/>
      <c r="BR1309" s="9"/>
      <c r="BS1309" s="9"/>
      <c r="BT1309" s="9"/>
      <c r="BU1309" s="9"/>
      <c r="BV1309" s="9"/>
      <c r="BW1309" s="9"/>
    </row>
    <row r="1310" spans="1:75" x14ac:dyDescent="0.25">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c r="AR1310" s="9"/>
      <c r="AS1310" s="9"/>
      <c r="AT1310" s="9"/>
      <c r="AU1310" s="9"/>
      <c r="AV1310" s="9"/>
      <c r="AW1310" s="9"/>
      <c r="AX1310" s="9"/>
      <c r="AY1310" s="9"/>
      <c r="AZ1310" s="9"/>
      <c r="BA1310" s="9"/>
      <c r="BB1310" s="9"/>
      <c r="BC1310" s="9"/>
      <c r="BD1310" s="9"/>
      <c r="BE1310" s="9"/>
      <c r="BF1310" s="9"/>
      <c r="BG1310" s="9"/>
      <c r="BH1310" s="9"/>
      <c r="BI1310" s="9"/>
      <c r="BJ1310" s="9"/>
      <c r="BK1310" s="9"/>
      <c r="BL1310" s="9"/>
      <c r="BM1310" s="9"/>
      <c r="BN1310" s="9"/>
      <c r="BO1310" s="9"/>
      <c r="BP1310" s="9"/>
      <c r="BQ1310" s="9"/>
      <c r="BR1310" s="9"/>
      <c r="BS1310" s="9"/>
      <c r="BT1310" s="9"/>
      <c r="BU1310" s="9"/>
      <c r="BV1310" s="9"/>
      <c r="BW1310" s="9"/>
    </row>
    <row r="1311" spans="1:75" x14ac:dyDescent="0.25">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c r="AS1311" s="9"/>
      <c r="AT1311" s="9"/>
      <c r="AU1311" s="9"/>
      <c r="AV1311" s="9"/>
      <c r="AW1311" s="9"/>
      <c r="AX1311" s="9"/>
      <c r="AY1311" s="9"/>
      <c r="AZ1311" s="9"/>
      <c r="BA1311" s="9"/>
      <c r="BB1311" s="9"/>
      <c r="BC1311" s="9"/>
      <c r="BD1311" s="9"/>
      <c r="BE1311" s="9"/>
      <c r="BF1311" s="9"/>
      <c r="BG1311" s="9"/>
      <c r="BH1311" s="9"/>
      <c r="BI1311" s="9"/>
      <c r="BJ1311" s="9"/>
      <c r="BK1311" s="9"/>
      <c r="BL1311" s="9"/>
      <c r="BM1311" s="9"/>
      <c r="BN1311" s="9"/>
      <c r="BO1311" s="9"/>
      <c r="BP1311" s="9"/>
      <c r="BQ1311" s="9"/>
      <c r="BR1311" s="9"/>
      <c r="BS1311" s="9"/>
      <c r="BT1311" s="9"/>
      <c r="BU1311" s="9"/>
      <c r="BV1311" s="9"/>
      <c r="BW1311" s="9"/>
    </row>
    <row r="1312" spans="1:75" x14ac:dyDescent="0.25">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c r="AO1312" s="9"/>
      <c r="AP1312" s="9"/>
      <c r="AQ1312" s="9"/>
      <c r="AR1312" s="9"/>
      <c r="AS1312" s="9"/>
      <c r="AT1312" s="9"/>
      <c r="AU1312" s="9"/>
      <c r="AV1312" s="9"/>
      <c r="AW1312" s="9"/>
      <c r="AX1312" s="9"/>
      <c r="AY1312" s="9"/>
      <c r="AZ1312" s="9"/>
      <c r="BA1312" s="9"/>
      <c r="BB1312" s="9"/>
      <c r="BC1312" s="9"/>
      <c r="BD1312" s="9"/>
      <c r="BE1312" s="9"/>
      <c r="BF1312" s="9"/>
      <c r="BG1312" s="9"/>
      <c r="BH1312" s="9"/>
      <c r="BI1312" s="9"/>
      <c r="BJ1312" s="9"/>
      <c r="BK1312" s="9"/>
      <c r="BL1312" s="9"/>
      <c r="BM1312" s="9"/>
      <c r="BN1312" s="9"/>
      <c r="BO1312" s="9"/>
      <c r="BP1312" s="9"/>
      <c r="BQ1312" s="9"/>
      <c r="BR1312" s="9"/>
      <c r="BS1312" s="9"/>
      <c r="BT1312" s="9"/>
      <c r="BU1312" s="9"/>
      <c r="BV1312" s="9"/>
      <c r="BW1312" s="9"/>
    </row>
    <row r="1313" spans="1:75" x14ac:dyDescent="0.25">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c r="AR1313" s="9"/>
      <c r="AS1313" s="9"/>
      <c r="AT1313" s="9"/>
      <c r="AU1313" s="9"/>
      <c r="AV1313" s="9"/>
      <c r="AW1313" s="9"/>
      <c r="AX1313" s="9"/>
      <c r="AY1313" s="9"/>
      <c r="AZ1313" s="9"/>
      <c r="BA1313" s="9"/>
      <c r="BB1313" s="9"/>
      <c r="BC1313" s="9"/>
      <c r="BD1313" s="9"/>
      <c r="BE1313" s="9"/>
      <c r="BF1313" s="9"/>
      <c r="BG1313" s="9"/>
      <c r="BH1313" s="9"/>
      <c r="BI1313" s="9"/>
      <c r="BJ1313" s="9"/>
      <c r="BK1313" s="9"/>
      <c r="BL1313" s="9"/>
      <c r="BM1313" s="9"/>
      <c r="BN1313" s="9"/>
      <c r="BO1313" s="9"/>
      <c r="BP1313" s="9"/>
      <c r="BQ1313" s="9"/>
      <c r="BR1313" s="9"/>
      <c r="BS1313" s="9"/>
      <c r="BT1313" s="9"/>
      <c r="BU1313" s="9"/>
      <c r="BV1313" s="9"/>
      <c r="BW1313" s="9"/>
    </row>
    <row r="1314" spans="1:75" x14ac:dyDescent="0.25">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c r="AS1314" s="9"/>
      <c r="AT1314" s="9"/>
      <c r="AU1314" s="9"/>
      <c r="AV1314" s="9"/>
      <c r="AW1314" s="9"/>
      <c r="AX1314" s="9"/>
      <c r="AY1314" s="9"/>
      <c r="AZ1314" s="9"/>
      <c r="BA1314" s="9"/>
      <c r="BB1314" s="9"/>
      <c r="BC1314" s="9"/>
      <c r="BD1314" s="9"/>
      <c r="BE1314" s="9"/>
      <c r="BF1314" s="9"/>
      <c r="BG1314" s="9"/>
      <c r="BH1314" s="9"/>
      <c r="BI1314" s="9"/>
      <c r="BJ1314" s="9"/>
      <c r="BK1314" s="9"/>
      <c r="BL1314" s="9"/>
      <c r="BM1314" s="9"/>
      <c r="BN1314" s="9"/>
      <c r="BO1314" s="9"/>
      <c r="BP1314" s="9"/>
      <c r="BQ1314" s="9"/>
      <c r="BR1314" s="9"/>
      <c r="BS1314" s="9"/>
      <c r="BT1314" s="9"/>
      <c r="BU1314" s="9"/>
      <c r="BV1314" s="9"/>
      <c r="BW1314" s="9"/>
    </row>
    <row r="1315" spans="1:75" x14ac:dyDescent="0.25">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c r="AO1315" s="9"/>
      <c r="AP1315" s="9"/>
      <c r="AQ1315" s="9"/>
      <c r="AR1315" s="9"/>
      <c r="AS1315" s="9"/>
      <c r="AT1315" s="9"/>
      <c r="AU1315" s="9"/>
      <c r="AV1315" s="9"/>
      <c r="AW1315" s="9"/>
      <c r="AX1315" s="9"/>
      <c r="AY1315" s="9"/>
      <c r="AZ1315" s="9"/>
      <c r="BA1315" s="9"/>
      <c r="BB1315" s="9"/>
      <c r="BC1315" s="9"/>
      <c r="BD1315" s="9"/>
      <c r="BE1315" s="9"/>
      <c r="BF1315" s="9"/>
      <c r="BG1315" s="9"/>
      <c r="BH1315" s="9"/>
      <c r="BI1315" s="9"/>
      <c r="BJ1315" s="9"/>
      <c r="BK1315" s="9"/>
      <c r="BL1315" s="9"/>
      <c r="BM1315" s="9"/>
      <c r="BN1315" s="9"/>
      <c r="BO1315" s="9"/>
      <c r="BP1315" s="9"/>
      <c r="BQ1315" s="9"/>
      <c r="BR1315" s="9"/>
      <c r="BS1315" s="9"/>
      <c r="BT1315" s="9"/>
      <c r="BU1315" s="9"/>
      <c r="BV1315" s="9"/>
      <c r="BW1315" s="9"/>
    </row>
    <row r="1316" spans="1:75" x14ac:dyDescent="0.25">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c r="AO1316" s="9"/>
      <c r="AP1316" s="9"/>
      <c r="AQ1316" s="9"/>
      <c r="AR1316" s="9"/>
      <c r="AS1316" s="9"/>
      <c r="AT1316" s="9"/>
      <c r="AU1316" s="9"/>
      <c r="AV1316" s="9"/>
      <c r="AW1316" s="9"/>
      <c r="AX1316" s="9"/>
      <c r="AY1316" s="9"/>
      <c r="AZ1316" s="9"/>
      <c r="BA1316" s="9"/>
      <c r="BB1316" s="9"/>
      <c r="BC1316" s="9"/>
      <c r="BD1316" s="9"/>
      <c r="BE1316" s="9"/>
      <c r="BF1316" s="9"/>
      <c r="BG1316" s="9"/>
      <c r="BH1316" s="9"/>
      <c r="BI1316" s="9"/>
      <c r="BJ1316" s="9"/>
      <c r="BK1316" s="9"/>
      <c r="BL1316" s="9"/>
      <c r="BM1316" s="9"/>
      <c r="BN1316" s="9"/>
      <c r="BO1316" s="9"/>
      <c r="BP1316" s="9"/>
      <c r="BQ1316" s="9"/>
      <c r="BR1316" s="9"/>
      <c r="BS1316" s="9"/>
      <c r="BT1316" s="9"/>
      <c r="BU1316" s="9"/>
      <c r="BV1316" s="9"/>
      <c r="BW1316" s="9"/>
    </row>
    <row r="1317" spans="1:75" x14ac:dyDescent="0.25">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c r="AO1317" s="9"/>
      <c r="AP1317" s="9"/>
      <c r="AQ1317" s="9"/>
      <c r="AR1317" s="9"/>
      <c r="AS1317" s="9"/>
      <c r="AT1317" s="9"/>
      <c r="AU1317" s="9"/>
      <c r="AV1317" s="9"/>
      <c r="AW1317" s="9"/>
      <c r="AX1317" s="9"/>
      <c r="AY1317" s="9"/>
      <c r="AZ1317" s="9"/>
      <c r="BA1317" s="9"/>
      <c r="BB1317" s="9"/>
      <c r="BC1317" s="9"/>
      <c r="BD1317" s="9"/>
      <c r="BE1317" s="9"/>
      <c r="BF1317" s="9"/>
      <c r="BG1317" s="9"/>
      <c r="BH1317" s="9"/>
      <c r="BI1317" s="9"/>
      <c r="BJ1317" s="9"/>
      <c r="BK1317" s="9"/>
      <c r="BL1317" s="9"/>
      <c r="BM1317" s="9"/>
      <c r="BN1317" s="9"/>
      <c r="BO1317" s="9"/>
      <c r="BP1317" s="9"/>
      <c r="BQ1317" s="9"/>
      <c r="BR1317" s="9"/>
      <c r="BS1317" s="9"/>
      <c r="BT1317" s="9"/>
      <c r="BU1317" s="9"/>
      <c r="BV1317" s="9"/>
      <c r="BW1317" s="9"/>
    </row>
    <row r="1318" spans="1:75" x14ac:dyDescent="0.25">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c r="AY1318" s="9"/>
      <c r="AZ1318" s="9"/>
      <c r="BA1318" s="9"/>
      <c r="BB1318" s="9"/>
      <c r="BC1318" s="9"/>
      <c r="BD1318" s="9"/>
      <c r="BE1318" s="9"/>
      <c r="BF1318" s="9"/>
      <c r="BG1318" s="9"/>
      <c r="BH1318" s="9"/>
      <c r="BI1318" s="9"/>
      <c r="BJ1318" s="9"/>
      <c r="BK1318" s="9"/>
      <c r="BL1318" s="9"/>
      <c r="BM1318" s="9"/>
      <c r="BN1318" s="9"/>
      <c r="BO1318" s="9"/>
      <c r="BP1318" s="9"/>
      <c r="BQ1318" s="9"/>
      <c r="BR1318" s="9"/>
      <c r="BS1318" s="9"/>
      <c r="BT1318" s="9"/>
      <c r="BU1318" s="9"/>
      <c r="BV1318" s="9"/>
      <c r="BW1318" s="9"/>
    </row>
    <row r="1319" spans="1:75" x14ac:dyDescent="0.25">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c r="AS1319" s="9"/>
      <c r="AT1319" s="9"/>
      <c r="AU1319" s="9"/>
      <c r="AV1319" s="9"/>
      <c r="AW1319" s="9"/>
      <c r="AX1319" s="9"/>
      <c r="AY1319" s="9"/>
      <c r="AZ1319" s="9"/>
      <c r="BA1319" s="9"/>
      <c r="BB1319" s="9"/>
      <c r="BC1319" s="9"/>
      <c r="BD1319" s="9"/>
      <c r="BE1319" s="9"/>
      <c r="BF1319" s="9"/>
      <c r="BG1319" s="9"/>
      <c r="BH1319" s="9"/>
      <c r="BI1319" s="9"/>
      <c r="BJ1319" s="9"/>
      <c r="BK1319" s="9"/>
      <c r="BL1319" s="9"/>
      <c r="BM1319" s="9"/>
      <c r="BN1319" s="9"/>
      <c r="BO1319" s="9"/>
      <c r="BP1319" s="9"/>
      <c r="BQ1319" s="9"/>
      <c r="BR1319" s="9"/>
      <c r="BS1319" s="9"/>
      <c r="BT1319" s="9"/>
      <c r="BU1319" s="9"/>
      <c r="BV1319" s="9"/>
      <c r="BW1319" s="9"/>
    </row>
    <row r="1320" spans="1:75" x14ac:dyDescent="0.25">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c r="AR1320" s="9"/>
      <c r="AS1320" s="9"/>
      <c r="AT1320" s="9"/>
      <c r="AU1320" s="9"/>
      <c r="AV1320" s="9"/>
      <c r="AW1320" s="9"/>
      <c r="AX1320" s="9"/>
      <c r="AY1320" s="9"/>
      <c r="AZ1320" s="9"/>
      <c r="BA1320" s="9"/>
      <c r="BB1320" s="9"/>
      <c r="BC1320" s="9"/>
      <c r="BD1320" s="9"/>
      <c r="BE1320" s="9"/>
      <c r="BF1320" s="9"/>
      <c r="BG1320" s="9"/>
      <c r="BH1320" s="9"/>
      <c r="BI1320" s="9"/>
      <c r="BJ1320" s="9"/>
      <c r="BK1320" s="9"/>
      <c r="BL1320" s="9"/>
      <c r="BM1320" s="9"/>
      <c r="BN1320" s="9"/>
      <c r="BO1320" s="9"/>
      <c r="BP1320" s="9"/>
      <c r="BQ1320" s="9"/>
      <c r="BR1320" s="9"/>
      <c r="BS1320" s="9"/>
      <c r="BT1320" s="9"/>
      <c r="BU1320" s="9"/>
      <c r="BV1320" s="9"/>
      <c r="BW1320" s="9"/>
    </row>
    <row r="1321" spans="1:75" x14ac:dyDescent="0.25">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c r="AR1321" s="9"/>
      <c r="AS1321" s="9"/>
      <c r="AT1321" s="9"/>
      <c r="AU1321" s="9"/>
      <c r="AV1321" s="9"/>
      <c r="AW1321" s="9"/>
      <c r="AX1321" s="9"/>
      <c r="AY1321" s="9"/>
      <c r="AZ1321" s="9"/>
      <c r="BA1321" s="9"/>
      <c r="BB1321" s="9"/>
      <c r="BC1321" s="9"/>
      <c r="BD1321" s="9"/>
      <c r="BE1321" s="9"/>
      <c r="BF1321" s="9"/>
      <c r="BG1321" s="9"/>
      <c r="BH1321" s="9"/>
      <c r="BI1321" s="9"/>
      <c r="BJ1321" s="9"/>
      <c r="BK1321" s="9"/>
      <c r="BL1321" s="9"/>
      <c r="BM1321" s="9"/>
      <c r="BN1321" s="9"/>
      <c r="BO1321" s="9"/>
      <c r="BP1321" s="9"/>
      <c r="BQ1321" s="9"/>
      <c r="BR1321" s="9"/>
      <c r="BS1321" s="9"/>
      <c r="BT1321" s="9"/>
      <c r="BU1321" s="9"/>
      <c r="BV1321" s="9"/>
      <c r="BW1321" s="9"/>
    </row>
    <row r="1322" spans="1:75" x14ac:dyDescent="0.25">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c r="AO1322" s="9"/>
      <c r="AP1322" s="9"/>
      <c r="AQ1322" s="9"/>
      <c r="AR1322" s="9"/>
      <c r="AS1322" s="9"/>
      <c r="AT1322" s="9"/>
      <c r="AU1322" s="9"/>
      <c r="AV1322" s="9"/>
      <c r="AW1322" s="9"/>
      <c r="AX1322" s="9"/>
      <c r="AY1322" s="9"/>
      <c r="AZ1322" s="9"/>
      <c r="BA1322" s="9"/>
      <c r="BB1322" s="9"/>
      <c r="BC1322" s="9"/>
      <c r="BD1322" s="9"/>
      <c r="BE1322" s="9"/>
      <c r="BF1322" s="9"/>
      <c r="BG1322" s="9"/>
      <c r="BH1322" s="9"/>
      <c r="BI1322" s="9"/>
      <c r="BJ1322" s="9"/>
      <c r="BK1322" s="9"/>
      <c r="BL1322" s="9"/>
      <c r="BM1322" s="9"/>
      <c r="BN1322" s="9"/>
      <c r="BO1322" s="9"/>
      <c r="BP1322" s="9"/>
      <c r="BQ1322" s="9"/>
      <c r="BR1322" s="9"/>
      <c r="BS1322" s="9"/>
      <c r="BT1322" s="9"/>
      <c r="BU1322" s="9"/>
      <c r="BV1322" s="9"/>
      <c r="BW1322" s="9"/>
    </row>
    <row r="1323" spans="1:75" x14ac:dyDescent="0.25">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c r="AS1323" s="9"/>
      <c r="AT1323" s="9"/>
      <c r="AU1323" s="9"/>
      <c r="AV1323" s="9"/>
      <c r="AW1323" s="9"/>
      <c r="AX1323" s="9"/>
      <c r="AY1323" s="9"/>
      <c r="AZ1323" s="9"/>
      <c r="BA1323" s="9"/>
      <c r="BB1323" s="9"/>
      <c r="BC1323" s="9"/>
      <c r="BD1323" s="9"/>
      <c r="BE1323" s="9"/>
      <c r="BF1323" s="9"/>
      <c r="BG1323" s="9"/>
      <c r="BH1323" s="9"/>
      <c r="BI1323" s="9"/>
      <c r="BJ1323" s="9"/>
      <c r="BK1323" s="9"/>
      <c r="BL1323" s="9"/>
      <c r="BM1323" s="9"/>
      <c r="BN1323" s="9"/>
      <c r="BO1323" s="9"/>
      <c r="BP1323" s="9"/>
      <c r="BQ1323" s="9"/>
      <c r="BR1323" s="9"/>
      <c r="BS1323" s="9"/>
      <c r="BT1323" s="9"/>
      <c r="BU1323" s="9"/>
      <c r="BV1323" s="9"/>
      <c r="BW1323" s="9"/>
    </row>
    <row r="1324" spans="1:75" x14ac:dyDescent="0.25">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c r="AO1324" s="9"/>
      <c r="AP1324" s="9"/>
      <c r="AQ1324" s="9"/>
      <c r="AR1324" s="9"/>
      <c r="AS1324" s="9"/>
      <c r="AT1324" s="9"/>
      <c r="AU1324" s="9"/>
      <c r="AV1324" s="9"/>
      <c r="AW1324" s="9"/>
      <c r="AX1324" s="9"/>
      <c r="AY1324" s="9"/>
      <c r="AZ1324" s="9"/>
      <c r="BA1324" s="9"/>
      <c r="BB1324" s="9"/>
      <c r="BC1324" s="9"/>
      <c r="BD1324" s="9"/>
      <c r="BE1324" s="9"/>
      <c r="BF1324" s="9"/>
      <c r="BG1324" s="9"/>
      <c r="BH1324" s="9"/>
      <c r="BI1324" s="9"/>
      <c r="BJ1324" s="9"/>
      <c r="BK1324" s="9"/>
      <c r="BL1324" s="9"/>
      <c r="BM1324" s="9"/>
      <c r="BN1324" s="9"/>
      <c r="BO1324" s="9"/>
      <c r="BP1324" s="9"/>
      <c r="BQ1324" s="9"/>
      <c r="BR1324" s="9"/>
      <c r="BS1324" s="9"/>
      <c r="BT1324" s="9"/>
      <c r="BU1324" s="9"/>
      <c r="BV1324" s="9"/>
      <c r="BW1324" s="9"/>
    </row>
    <row r="1325" spans="1:75" x14ac:dyDescent="0.25">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c r="AO1325" s="9"/>
      <c r="AP1325" s="9"/>
      <c r="AQ1325" s="9"/>
      <c r="AR1325" s="9"/>
      <c r="AS1325" s="9"/>
      <c r="AT1325" s="9"/>
      <c r="AU1325" s="9"/>
      <c r="AV1325" s="9"/>
      <c r="AW1325" s="9"/>
      <c r="AX1325" s="9"/>
      <c r="AY1325" s="9"/>
      <c r="AZ1325" s="9"/>
      <c r="BA1325" s="9"/>
      <c r="BB1325" s="9"/>
      <c r="BC1325" s="9"/>
      <c r="BD1325" s="9"/>
      <c r="BE1325" s="9"/>
      <c r="BF1325" s="9"/>
      <c r="BG1325" s="9"/>
      <c r="BH1325" s="9"/>
      <c r="BI1325" s="9"/>
      <c r="BJ1325" s="9"/>
      <c r="BK1325" s="9"/>
      <c r="BL1325" s="9"/>
      <c r="BM1325" s="9"/>
      <c r="BN1325" s="9"/>
      <c r="BO1325" s="9"/>
      <c r="BP1325" s="9"/>
      <c r="BQ1325" s="9"/>
      <c r="BR1325" s="9"/>
      <c r="BS1325" s="9"/>
      <c r="BT1325" s="9"/>
      <c r="BU1325" s="9"/>
      <c r="BV1325" s="9"/>
      <c r="BW1325" s="9"/>
    </row>
    <row r="1326" spans="1:75" x14ac:dyDescent="0.25">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c r="AS1326" s="9"/>
      <c r="AT1326" s="9"/>
      <c r="AU1326" s="9"/>
      <c r="AV1326" s="9"/>
      <c r="AW1326" s="9"/>
      <c r="AX1326" s="9"/>
      <c r="AY1326" s="9"/>
      <c r="AZ1326" s="9"/>
      <c r="BA1326" s="9"/>
      <c r="BB1326" s="9"/>
      <c r="BC1326" s="9"/>
      <c r="BD1326" s="9"/>
      <c r="BE1326" s="9"/>
      <c r="BF1326" s="9"/>
      <c r="BG1326" s="9"/>
      <c r="BH1326" s="9"/>
      <c r="BI1326" s="9"/>
      <c r="BJ1326" s="9"/>
      <c r="BK1326" s="9"/>
      <c r="BL1326" s="9"/>
      <c r="BM1326" s="9"/>
      <c r="BN1326" s="9"/>
      <c r="BO1326" s="9"/>
      <c r="BP1326" s="9"/>
      <c r="BQ1326" s="9"/>
      <c r="BR1326" s="9"/>
      <c r="BS1326" s="9"/>
      <c r="BT1326" s="9"/>
      <c r="BU1326" s="9"/>
      <c r="BV1326" s="9"/>
      <c r="BW1326" s="9"/>
    </row>
    <row r="1327" spans="1:75" x14ac:dyDescent="0.25">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c r="AO1327" s="9"/>
      <c r="AP1327" s="9"/>
      <c r="AQ1327" s="9"/>
      <c r="AR1327" s="9"/>
      <c r="AS1327" s="9"/>
      <c r="AT1327" s="9"/>
      <c r="AU1327" s="9"/>
      <c r="AV1327" s="9"/>
      <c r="AW1327" s="9"/>
      <c r="AX1327" s="9"/>
      <c r="AY1327" s="9"/>
      <c r="AZ1327" s="9"/>
      <c r="BA1327" s="9"/>
      <c r="BB1327" s="9"/>
      <c r="BC1327" s="9"/>
      <c r="BD1327" s="9"/>
      <c r="BE1327" s="9"/>
      <c r="BF1327" s="9"/>
      <c r="BG1327" s="9"/>
      <c r="BH1327" s="9"/>
      <c r="BI1327" s="9"/>
      <c r="BJ1327" s="9"/>
      <c r="BK1327" s="9"/>
      <c r="BL1327" s="9"/>
      <c r="BM1327" s="9"/>
      <c r="BN1327" s="9"/>
      <c r="BO1327" s="9"/>
      <c r="BP1327" s="9"/>
      <c r="BQ1327" s="9"/>
      <c r="BR1327" s="9"/>
      <c r="BS1327" s="9"/>
      <c r="BT1327" s="9"/>
      <c r="BU1327" s="9"/>
      <c r="BV1327" s="9"/>
      <c r="BW1327" s="9"/>
    </row>
    <row r="1328" spans="1:75" x14ac:dyDescent="0.25">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c r="AR1328" s="9"/>
      <c r="AS1328" s="9"/>
      <c r="AT1328" s="9"/>
      <c r="AU1328" s="9"/>
      <c r="AV1328" s="9"/>
      <c r="AW1328" s="9"/>
      <c r="AX1328" s="9"/>
      <c r="AY1328" s="9"/>
      <c r="AZ1328" s="9"/>
      <c r="BA1328" s="9"/>
      <c r="BB1328" s="9"/>
      <c r="BC1328" s="9"/>
      <c r="BD1328" s="9"/>
      <c r="BE1328" s="9"/>
      <c r="BF1328" s="9"/>
      <c r="BG1328" s="9"/>
      <c r="BH1328" s="9"/>
      <c r="BI1328" s="9"/>
      <c r="BJ1328" s="9"/>
      <c r="BK1328" s="9"/>
      <c r="BL1328" s="9"/>
      <c r="BM1328" s="9"/>
      <c r="BN1328" s="9"/>
      <c r="BO1328" s="9"/>
      <c r="BP1328" s="9"/>
      <c r="BQ1328" s="9"/>
      <c r="BR1328" s="9"/>
      <c r="BS1328" s="9"/>
      <c r="BT1328" s="9"/>
      <c r="BU1328" s="9"/>
      <c r="BV1328" s="9"/>
      <c r="BW1328" s="9"/>
    </row>
    <row r="1329" spans="1:75" x14ac:dyDescent="0.25">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c r="AO1329" s="9"/>
      <c r="AP1329" s="9"/>
      <c r="AQ1329" s="9"/>
      <c r="AR1329" s="9"/>
      <c r="AS1329" s="9"/>
      <c r="AT1329" s="9"/>
      <c r="AU1329" s="9"/>
      <c r="AV1329" s="9"/>
      <c r="AW1329" s="9"/>
      <c r="AX1329" s="9"/>
      <c r="AY1329" s="9"/>
      <c r="AZ1329" s="9"/>
      <c r="BA1329" s="9"/>
      <c r="BB1329" s="9"/>
      <c r="BC1329" s="9"/>
      <c r="BD1329" s="9"/>
      <c r="BE1329" s="9"/>
      <c r="BF1329" s="9"/>
      <c r="BG1329" s="9"/>
      <c r="BH1329" s="9"/>
      <c r="BI1329" s="9"/>
      <c r="BJ1329" s="9"/>
      <c r="BK1329" s="9"/>
      <c r="BL1329" s="9"/>
      <c r="BM1329" s="9"/>
      <c r="BN1329" s="9"/>
      <c r="BO1329" s="9"/>
      <c r="BP1329" s="9"/>
      <c r="BQ1329" s="9"/>
      <c r="BR1329" s="9"/>
      <c r="BS1329" s="9"/>
      <c r="BT1329" s="9"/>
      <c r="BU1329" s="9"/>
      <c r="BV1329" s="9"/>
      <c r="BW1329" s="9"/>
    </row>
    <row r="1330" spans="1:75" x14ac:dyDescent="0.25">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c r="AO1330" s="9"/>
      <c r="AP1330" s="9"/>
      <c r="AQ1330" s="9"/>
      <c r="AR1330" s="9"/>
      <c r="AS1330" s="9"/>
      <c r="AT1330" s="9"/>
      <c r="AU1330" s="9"/>
      <c r="AV1330" s="9"/>
      <c r="AW1330" s="9"/>
      <c r="AX1330" s="9"/>
      <c r="AY1330" s="9"/>
      <c r="AZ1330" s="9"/>
      <c r="BA1330" s="9"/>
      <c r="BB1330" s="9"/>
      <c r="BC1330" s="9"/>
      <c r="BD1330" s="9"/>
      <c r="BE1330" s="9"/>
      <c r="BF1330" s="9"/>
      <c r="BG1330" s="9"/>
      <c r="BH1330" s="9"/>
      <c r="BI1330" s="9"/>
      <c r="BJ1330" s="9"/>
      <c r="BK1330" s="9"/>
      <c r="BL1330" s="9"/>
      <c r="BM1330" s="9"/>
      <c r="BN1330" s="9"/>
      <c r="BO1330" s="9"/>
      <c r="BP1330" s="9"/>
      <c r="BQ1330" s="9"/>
      <c r="BR1330" s="9"/>
      <c r="BS1330" s="9"/>
      <c r="BT1330" s="9"/>
      <c r="BU1330" s="9"/>
      <c r="BV1330" s="9"/>
      <c r="BW1330" s="9"/>
    </row>
    <row r="1331" spans="1:75" x14ac:dyDescent="0.25">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c r="AS1331" s="9"/>
      <c r="AT1331" s="9"/>
      <c r="AU1331" s="9"/>
      <c r="AV1331" s="9"/>
      <c r="AW1331" s="9"/>
      <c r="AX1331" s="9"/>
      <c r="AY1331" s="9"/>
      <c r="AZ1331" s="9"/>
      <c r="BA1331" s="9"/>
      <c r="BB1331" s="9"/>
      <c r="BC1331" s="9"/>
      <c r="BD1331" s="9"/>
      <c r="BE1331" s="9"/>
      <c r="BF1331" s="9"/>
      <c r="BG1331" s="9"/>
      <c r="BH1331" s="9"/>
      <c r="BI1331" s="9"/>
      <c r="BJ1331" s="9"/>
      <c r="BK1331" s="9"/>
      <c r="BL1331" s="9"/>
      <c r="BM1331" s="9"/>
      <c r="BN1331" s="9"/>
      <c r="BO1331" s="9"/>
      <c r="BP1331" s="9"/>
      <c r="BQ1331" s="9"/>
      <c r="BR1331" s="9"/>
      <c r="BS1331" s="9"/>
      <c r="BT1331" s="9"/>
      <c r="BU1331" s="9"/>
      <c r="BV1331" s="9"/>
      <c r="BW1331" s="9"/>
    </row>
    <row r="1332" spans="1:75" x14ac:dyDescent="0.25">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c r="AS1332" s="9"/>
      <c r="AT1332" s="9"/>
      <c r="AU1332" s="9"/>
      <c r="AV1332" s="9"/>
      <c r="AW1332" s="9"/>
      <c r="AX1332" s="9"/>
      <c r="AY1332" s="9"/>
      <c r="AZ1332" s="9"/>
      <c r="BA1332" s="9"/>
      <c r="BB1332" s="9"/>
      <c r="BC1332" s="9"/>
      <c r="BD1332" s="9"/>
      <c r="BE1332" s="9"/>
      <c r="BF1332" s="9"/>
      <c r="BG1332" s="9"/>
      <c r="BH1332" s="9"/>
      <c r="BI1332" s="9"/>
      <c r="BJ1332" s="9"/>
      <c r="BK1332" s="9"/>
      <c r="BL1332" s="9"/>
      <c r="BM1332" s="9"/>
      <c r="BN1332" s="9"/>
      <c r="BO1332" s="9"/>
      <c r="BP1332" s="9"/>
      <c r="BQ1332" s="9"/>
      <c r="BR1332" s="9"/>
      <c r="BS1332" s="9"/>
      <c r="BT1332" s="9"/>
      <c r="BU1332" s="9"/>
      <c r="BV1332" s="9"/>
      <c r="BW1332" s="9"/>
    </row>
    <row r="1333" spans="1:75" x14ac:dyDescent="0.25">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c r="AO1333" s="9"/>
      <c r="AP1333" s="9"/>
      <c r="AQ1333" s="9"/>
      <c r="AR1333" s="9"/>
      <c r="AS1333" s="9"/>
      <c r="AT1333" s="9"/>
      <c r="AU1333" s="9"/>
      <c r="AV1333" s="9"/>
      <c r="AW1333" s="9"/>
      <c r="AX1333" s="9"/>
      <c r="AY1333" s="9"/>
      <c r="AZ1333" s="9"/>
      <c r="BA1333" s="9"/>
      <c r="BB1333" s="9"/>
      <c r="BC1333" s="9"/>
      <c r="BD1333" s="9"/>
      <c r="BE1333" s="9"/>
      <c r="BF1333" s="9"/>
      <c r="BG1333" s="9"/>
      <c r="BH1333" s="9"/>
      <c r="BI1333" s="9"/>
      <c r="BJ1333" s="9"/>
      <c r="BK1333" s="9"/>
      <c r="BL1333" s="9"/>
      <c r="BM1333" s="9"/>
      <c r="BN1333" s="9"/>
      <c r="BO1333" s="9"/>
      <c r="BP1333" s="9"/>
      <c r="BQ1333" s="9"/>
      <c r="BR1333" s="9"/>
      <c r="BS1333" s="9"/>
      <c r="BT1333" s="9"/>
      <c r="BU1333" s="9"/>
      <c r="BV1333" s="9"/>
      <c r="BW1333" s="9"/>
    </row>
    <row r="1334" spans="1:75" x14ac:dyDescent="0.25">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c r="AR1334" s="9"/>
      <c r="AS1334" s="9"/>
      <c r="AT1334" s="9"/>
      <c r="AU1334" s="9"/>
      <c r="AV1334" s="9"/>
      <c r="AW1334" s="9"/>
      <c r="AX1334" s="9"/>
      <c r="AY1334" s="9"/>
      <c r="AZ1334" s="9"/>
      <c r="BA1334" s="9"/>
      <c r="BB1334" s="9"/>
      <c r="BC1334" s="9"/>
      <c r="BD1334" s="9"/>
      <c r="BE1334" s="9"/>
      <c r="BF1334" s="9"/>
      <c r="BG1334" s="9"/>
      <c r="BH1334" s="9"/>
      <c r="BI1334" s="9"/>
      <c r="BJ1334" s="9"/>
      <c r="BK1334" s="9"/>
      <c r="BL1334" s="9"/>
      <c r="BM1334" s="9"/>
      <c r="BN1334" s="9"/>
      <c r="BO1334" s="9"/>
      <c r="BP1334" s="9"/>
      <c r="BQ1334" s="9"/>
      <c r="BR1334" s="9"/>
      <c r="BS1334" s="9"/>
      <c r="BT1334" s="9"/>
      <c r="BU1334" s="9"/>
      <c r="BV1334" s="9"/>
      <c r="BW1334" s="9"/>
    </row>
    <row r="1335" spans="1:75" x14ac:dyDescent="0.25">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c r="AR1335" s="9"/>
      <c r="AS1335" s="9"/>
      <c r="AT1335" s="9"/>
      <c r="AU1335" s="9"/>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row>
    <row r="1336" spans="1:75" x14ac:dyDescent="0.25">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c r="AO1336" s="9"/>
      <c r="AP1336" s="9"/>
      <c r="AQ1336" s="9"/>
      <c r="AR1336" s="9"/>
      <c r="AS1336" s="9"/>
      <c r="AT1336" s="9"/>
      <c r="AU1336" s="9"/>
      <c r="AV1336" s="9"/>
      <c r="AW1336" s="9"/>
      <c r="AX1336" s="9"/>
      <c r="AY1336" s="9"/>
      <c r="AZ1336" s="9"/>
      <c r="BA1336" s="9"/>
      <c r="BB1336" s="9"/>
      <c r="BC1336" s="9"/>
      <c r="BD1336" s="9"/>
      <c r="BE1336" s="9"/>
      <c r="BF1336" s="9"/>
      <c r="BG1336" s="9"/>
      <c r="BH1336" s="9"/>
      <c r="BI1336" s="9"/>
      <c r="BJ1336" s="9"/>
      <c r="BK1336" s="9"/>
      <c r="BL1336" s="9"/>
      <c r="BM1336" s="9"/>
      <c r="BN1336" s="9"/>
      <c r="BO1336" s="9"/>
      <c r="BP1336" s="9"/>
      <c r="BQ1336" s="9"/>
      <c r="BR1336" s="9"/>
      <c r="BS1336" s="9"/>
      <c r="BT1336" s="9"/>
      <c r="BU1336" s="9"/>
      <c r="BV1336" s="9"/>
      <c r="BW1336" s="9"/>
    </row>
    <row r="1337" spans="1:75" x14ac:dyDescent="0.25">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c r="AS1337" s="9"/>
      <c r="AT1337" s="9"/>
      <c r="AU1337" s="9"/>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row>
    <row r="1338" spans="1:75" x14ac:dyDescent="0.25">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c r="AO1338" s="9"/>
      <c r="AP1338" s="9"/>
      <c r="AQ1338" s="9"/>
      <c r="AR1338" s="9"/>
      <c r="AS1338" s="9"/>
      <c r="AT1338" s="9"/>
      <c r="AU1338" s="9"/>
      <c r="AV1338" s="9"/>
      <c r="AW1338" s="9"/>
      <c r="AX1338" s="9"/>
      <c r="AY1338" s="9"/>
      <c r="AZ1338" s="9"/>
      <c r="BA1338" s="9"/>
      <c r="BB1338" s="9"/>
      <c r="BC1338" s="9"/>
      <c r="BD1338" s="9"/>
      <c r="BE1338" s="9"/>
      <c r="BF1338" s="9"/>
      <c r="BG1338" s="9"/>
      <c r="BH1338" s="9"/>
      <c r="BI1338" s="9"/>
      <c r="BJ1338" s="9"/>
      <c r="BK1338" s="9"/>
      <c r="BL1338" s="9"/>
      <c r="BM1338" s="9"/>
      <c r="BN1338" s="9"/>
      <c r="BO1338" s="9"/>
      <c r="BP1338" s="9"/>
      <c r="BQ1338" s="9"/>
      <c r="BR1338" s="9"/>
      <c r="BS1338" s="9"/>
      <c r="BT1338" s="9"/>
      <c r="BU1338" s="9"/>
      <c r="BV1338" s="9"/>
      <c r="BW1338" s="9"/>
    </row>
    <row r="1339" spans="1:75" x14ac:dyDescent="0.25">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c r="AO1339" s="9"/>
      <c r="AP1339" s="9"/>
      <c r="AQ1339" s="9"/>
      <c r="AR1339" s="9"/>
      <c r="AS1339" s="9"/>
      <c r="AT1339" s="9"/>
      <c r="AU1339" s="9"/>
      <c r="AV1339" s="9"/>
      <c r="AW1339" s="9"/>
      <c r="AX1339" s="9"/>
      <c r="AY1339" s="9"/>
      <c r="AZ1339" s="9"/>
      <c r="BA1339" s="9"/>
      <c r="BB1339" s="9"/>
      <c r="BC1339" s="9"/>
      <c r="BD1339" s="9"/>
      <c r="BE1339" s="9"/>
      <c r="BF1339" s="9"/>
      <c r="BG1339" s="9"/>
      <c r="BH1339" s="9"/>
      <c r="BI1339" s="9"/>
      <c r="BJ1339" s="9"/>
      <c r="BK1339" s="9"/>
      <c r="BL1339" s="9"/>
      <c r="BM1339" s="9"/>
      <c r="BN1339" s="9"/>
      <c r="BO1339" s="9"/>
      <c r="BP1339" s="9"/>
      <c r="BQ1339" s="9"/>
      <c r="BR1339" s="9"/>
      <c r="BS1339" s="9"/>
      <c r="BT1339" s="9"/>
      <c r="BU1339" s="9"/>
      <c r="BV1339" s="9"/>
      <c r="BW1339" s="9"/>
    </row>
    <row r="1340" spans="1:75" x14ac:dyDescent="0.25">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c r="AO1340" s="9"/>
      <c r="AP1340" s="9"/>
      <c r="AQ1340" s="9"/>
      <c r="AR1340" s="9"/>
      <c r="AS1340" s="9"/>
      <c r="AT1340" s="9"/>
      <c r="AU1340" s="9"/>
      <c r="AV1340" s="9"/>
      <c r="AW1340" s="9"/>
      <c r="AX1340" s="9"/>
      <c r="AY1340" s="9"/>
      <c r="AZ1340" s="9"/>
      <c r="BA1340" s="9"/>
      <c r="BB1340" s="9"/>
      <c r="BC1340" s="9"/>
      <c r="BD1340" s="9"/>
      <c r="BE1340" s="9"/>
      <c r="BF1340" s="9"/>
      <c r="BG1340" s="9"/>
      <c r="BH1340" s="9"/>
      <c r="BI1340" s="9"/>
      <c r="BJ1340" s="9"/>
      <c r="BK1340" s="9"/>
      <c r="BL1340" s="9"/>
      <c r="BM1340" s="9"/>
      <c r="BN1340" s="9"/>
      <c r="BO1340" s="9"/>
      <c r="BP1340" s="9"/>
      <c r="BQ1340" s="9"/>
      <c r="BR1340" s="9"/>
      <c r="BS1340" s="9"/>
      <c r="BT1340" s="9"/>
      <c r="BU1340" s="9"/>
      <c r="BV1340" s="9"/>
      <c r="BW1340" s="9"/>
    </row>
    <row r="1341" spans="1:75" x14ac:dyDescent="0.25">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c r="AO1341" s="9"/>
      <c r="AP1341" s="9"/>
      <c r="AQ1341" s="9"/>
      <c r="AR1341" s="9"/>
      <c r="AS1341" s="9"/>
      <c r="AT1341" s="9"/>
      <c r="AU1341" s="9"/>
      <c r="AV1341" s="9"/>
      <c r="AW1341" s="9"/>
      <c r="AX1341" s="9"/>
      <c r="AY1341" s="9"/>
      <c r="AZ1341" s="9"/>
      <c r="BA1341" s="9"/>
      <c r="BB1341" s="9"/>
      <c r="BC1341" s="9"/>
      <c r="BD1341" s="9"/>
      <c r="BE1341" s="9"/>
      <c r="BF1341" s="9"/>
      <c r="BG1341" s="9"/>
      <c r="BH1341" s="9"/>
      <c r="BI1341" s="9"/>
      <c r="BJ1341" s="9"/>
      <c r="BK1341" s="9"/>
      <c r="BL1341" s="9"/>
      <c r="BM1341" s="9"/>
      <c r="BN1341" s="9"/>
      <c r="BO1341" s="9"/>
      <c r="BP1341" s="9"/>
      <c r="BQ1341" s="9"/>
      <c r="BR1341" s="9"/>
      <c r="BS1341" s="9"/>
      <c r="BT1341" s="9"/>
      <c r="BU1341" s="9"/>
      <c r="BV1341" s="9"/>
      <c r="BW1341" s="9"/>
    </row>
    <row r="1342" spans="1:75" x14ac:dyDescent="0.25">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c r="AR1342" s="9"/>
      <c r="AS1342" s="9"/>
      <c r="AT1342" s="9"/>
      <c r="AU1342" s="9"/>
      <c r="AV1342" s="9"/>
      <c r="AW1342" s="9"/>
      <c r="AX1342" s="9"/>
      <c r="AY1342" s="9"/>
      <c r="AZ1342" s="9"/>
      <c r="BA1342" s="9"/>
      <c r="BB1342" s="9"/>
      <c r="BC1342" s="9"/>
      <c r="BD1342" s="9"/>
      <c r="BE1342" s="9"/>
      <c r="BF1342" s="9"/>
      <c r="BG1342" s="9"/>
      <c r="BH1342" s="9"/>
      <c r="BI1342" s="9"/>
      <c r="BJ1342" s="9"/>
      <c r="BK1342" s="9"/>
      <c r="BL1342" s="9"/>
      <c r="BM1342" s="9"/>
      <c r="BN1342" s="9"/>
      <c r="BO1342" s="9"/>
      <c r="BP1342" s="9"/>
      <c r="BQ1342" s="9"/>
      <c r="BR1342" s="9"/>
      <c r="BS1342" s="9"/>
      <c r="BT1342" s="9"/>
      <c r="BU1342" s="9"/>
      <c r="BV1342" s="9"/>
      <c r="BW1342" s="9"/>
    </row>
    <row r="1343" spans="1:75" x14ac:dyDescent="0.25">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c r="AS1343" s="9"/>
      <c r="AT1343" s="9"/>
      <c r="AU1343" s="9"/>
      <c r="AV1343" s="9"/>
      <c r="AW1343" s="9"/>
      <c r="AX1343" s="9"/>
      <c r="AY1343" s="9"/>
      <c r="AZ1343" s="9"/>
      <c r="BA1343" s="9"/>
      <c r="BB1343" s="9"/>
      <c r="BC1343" s="9"/>
      <c r="BD1343" s="9"/>
      <c r="BE1343" s="9"/>
      <c r="BF1343" s="9"/>
      <c r="BG1343" s="9"/>
      <c r="BH1343" s="9"/>
      <c r="BI1343" s="9"/>
      <c r="BJ1343" s="9"/>
      <c r="BK1343" s="9"/>
      <c r="BL1343" s="9"/>
      <c r="BM1343" s="9"/>
      <c r="BN1343" s="9"/>
      <c r="BO1343" s="9"/>
      <c r="BP1343" s="9"/>
      <c r="BQ1343" s="9"/>
      <c r="BR1343" s="9"/>
      <c r="BS1343" s="9"/>
      <c r="BT1343" s="9"/>
      <c r="BU1343" s="9"/>
      <c r="BV1343" s="9"/>
      <c r="BW1343" s="9"/>
    </row>
    <row r="1344" spans="1:75" x14ac:dyDescent="0.25">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c r="AO1344" s="9"/>
      <c r="AP1344" s="9"/>
      <c r="AQ1344" s="9"/>
      <c r="AR1344" s="9"/>
      <c r="AS1344" s="9"/>
      <c r="AT1344" s="9"/>
      <c r="AU1344" s="9"/>
      <c r="AV1344" s="9"/>
      <c r="AW1344" s="9"/>
      <c r="AX1344" s="9"/>
      <c r="AY1344" s="9"/>
      <c r="AZ1344" s="9"/>
      <c r="BA1344" s="9"/>
      <c r="BB1344" s="9"/>
      <c r="BC1344" s="9"/>
      <c r="BD1344" s="9"/>
      <c r="BE1344" s="9"/>
      <c r="BF1344" s="9"/>
      <c r="BG1344" s="9"/>
      <c r="BH1344" s="9"/>
      <c r="BI1344" s="9"/>
      <c r="BJ1344" s="9"/>
      <c r="BK1344" s="9"/>
      <c r="BL1344" s="9"/>
      <c r="BM1344" s="9"/>
      <c r="BN1344" s="9"/>
      <c r="BO1344" s="9"/>
      <c r="BP1344" s="9"/>
      <c r="BQ1344" s="9"/>
      <c r="BR1344" s="9"/>
      <c r="BS1344" s="9"/>
      <c r="BT1344" s="9"/>
      <c r="BU1344" s="9"/>
      <c r="BV1344" s="9"/>
      <c r="BW1344" s="9"/>
    </row>
    <row r="1345" spans="1:75" x14ac:dyDescent="0.25">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c r="AO1345" s="9"/>
      <c r="AP1345" s="9"/>
      <c r="AQ1345" s="9"/>
      <c r="AR1345" s="9"/>
      <c r="AS1345" s="9"/>
      <c r="AT1345" s="9"/>
      <c r="AU1345" s="9"/>
      <c r="AV1345" s="9"/>
      <c r="AW1345" s="9"/>
      <c r="AX1345" s="9"/>
      <c r="AY1345" s="9"/>
      <c r="AZ1345" s="9"/>
      <c r="BA1345" s="9"/>
      <c r="BB1345" s="9"/>
      <c r="BC1345" s="9"/>
      <c r="BD1345" s="9"/>
      <c r="BE1345" s="9"/>
      <c r="BF1345" s="9"/>
      <c r="BG1345" s="9"/>
      <c r="BH1345" s="9"/>
      <c r="BI1345" s="9"/>
      <c r="BJ1345" s="9"/>
      <c r="BK1345" s="9"/>
      <c r="BL1345" s="9"/>
      <c r="BM1345" s="9"/>
      <c r="BN1345" s="9"/>
      <c r="BO1345" s="9"/>
      <c r="BP1345" s="9"/>
      <c r="BQ1345" s="9"/>
      <c r="BR1345" s="9"/>
      <c r="BS1345" s="9"/>
      <c r="BT1345" s="9"/>
      <c r="BU1345" s="9"/>
      <c r="BV1345" s="9"/>
      <c r="BW1345" s="9"/>
    </row>
    <row r="1346" spans="1:75" x14ac:dyDescent="0.25">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c r="AO1346" s="9"/>
      <c r="AP1346" s="9"/>
      <c r="AQ1346" s="9"/>
      <c r="AR1346" s="9"/>
      <c r="AS1346" s="9"/>
      <c r="AT1346" s="9"/>
      <c r="AU1346" s="9"/>
      <c r="AV1346" s="9"/>
      <c r="AW1346" s="9"/>
      <c r="AX1346" s="9"/>
      <c r="AY1346" s="9"/>
      <c r="AZ1346" s="9"/>
      <c r="BA1346" s="9"/>
      <c r="BB1346" s="9"/>
      <c r="BC1346" s="9"/>
      <c r="BD1346" s="9"/>
      <c r="BE1346" s="9"/>
      <c r="BF1346" s="9"/>
      <c r="BG1346" s="9"/>
      <c r="BH1346" s="9"/>
      <c r="BI1346" s="9"/>
      <c r="BJ1346" s="9"/>
      <c r="BK1346" s="9"/>
      <c r="BL1346" s="9"/>
      <c r="BM1346" s="9"/>
      <c r="BN1346" s="9"/>
      <c r="BO1346" s="9"/>
      <c r="BP1346" s="9"/>
      <c r="BQ1346" s="9"/>
      <c r="BR1346" s="9"/>
      <c r="BS1346" s="9"/>
      <c r="BT1346" s="9"/>
      <c r="BU1346" s="9"/>
      <c r="BV1346" s="9"/>
      <c r="BW1346" s="9"/>
    </row>
    <row r="1347" spans="1:75" x14ac:dyDescent="0.25">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c r="AR1347" s="9"/>
      <c r="AS1347" s="9"/>
      <c r="AT1347" s="9"/>
      <c r="AU1347" s="9"/>
      <c r="AV1347" s="9"/>
      <c r="AW1347" s="9"/>
      <c r="AX1347" s="9"/>
      <c r="AY1347" s="9"/>
      <c r="AZ1347" s="9"/>
      <c r="BA1347" s="9"/>
      <c r="BB1347" s="9"/>
      <c r="BC1347" s="9"/>
      <c r="BD1347" s="9"/>
      <c r="BE1347" s="9"/>
      <c r="BF1347" s="9"/>
      <c r="BG1347" s="9"/>
      <c r="BH1347" s="9"/>
      <c r="BI1347" s="9"/>
      <c r="BJ1347" s="9"/>
      <c r="BK1347" s="9"/>
      <c r="BL1347" s="9"/>
      <c r="BM1347" s="9"/>
      <c r="BN1347" s="9"/>
      <c r="BO1347" s="9"/>
      <c r="BP1347" s="9"/>
      <c r="BQ1347" s="9"/>
      <c r="BR1347" s="9"/>
      <c r="BS1347" s="9"/>
      <c r="BT1347" s="9"/>
      <c r="BU1347" s="9"/>
      <c r="BV1347" s="9"/>
      <c r="BW1347" s="9"/>
    </row>
    <row r="1348" spans="1:75" x14ac:dyDescent="0.25">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c r="AR1348" s="9"/>
      <c r="AS1348" s="9"/>
      <c r="AT1348" s="9"/>
      <c r="AU1348" s="9"/>
      <c r="AV1348" s="9"/>
      <c r="AW1348" s="9"/>
      <c r="AX1348" s="9"/>
      <c r="AY1348" s="9"/>
      <c r="AZ1348" s="9"/>
      <c r="BA1348" s="9"/>
      <c r="BB1348" s="9"/>
      <c r="BC1348" s="9"/>
      <c r="BD1348" s="9"/>
      <c r="BE1348" s="9"/>
      <c r="BF1348" s="9"/>
      <c r="BG1348" s="9"/>
      <c r="BH1348" s="9"/>
      <c r="BI1348" s="9"/>
      <c r="BJ1348" s="9"/>
      <c r="BK1348" s="9"/>
      <c r="BL1348" s="9"/>
      <c r="BM1348" s="9"/>
      <c r="BN1348" s="9"/>
      <c r="BO1348" s="9"/>
      <c r="BP1348" s="9"/>
      <c r="BQ1348" s="9"/>
      <c r="BR1348" s="9"/>
      <c r="BS1348" s="9"/>
      <c r="BT1348" s="9"/>
      <c r="BU1348" s="9"/>
      <c r="BV1348" s="9"/>
      <c r="BW1348" s="9"/>
    </row>
    <row r="1349" spans="1:75" x14ac:dyDescent="0.25">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c r="AS1349" s="9"/>
      <c r="AT1349" s="9"/>
      <c r="AU1349" s="9"/>
      <c r="AV1349" s="9"/>
      <c r="AW1349" s="9"/>
      <c r="AX1349" s="9"/>
      <c r="AY1349" s="9"/>
      <c r="AZ1349" s="9"/>
      <c r="BA1349" s="9"/>
      <c r="BB1349" s="9"/>
      <c r="BC1349" s="9"/>
      <c r="BD1349" s="9"/>
      <c r="BE1349" s="9"/>
      <c r="BF1349" s="9"/>
      <c r="BG1349" s="9"/>
      <c r="BH1349" s="9"/>
      <c r="BI1349" s="9"/>
      <c r="BJ1349" s="9"/>
      <c r="BK1349" s="9"/>
      <c r="BL1349" s="9"/>
      <c r="BM1349" s="9"/>
      <c r="BN1349" s="9"/>
      <c r="BO1349" s="9"/>
      <c r="BP1349" s="9"/>
      <c r="BQ1349" s="9"/>
      <c r="BR1349" s="9"/>
      <c r="BS1349" s="9"/>
      <c r="BT1349" s="9"/>
      <c r="BU1349" s="9"/>
      <c r="BV1349" s="9"/>
      <c r="BW1349" s="9"/>
    </row>
    <row r="1350" spans="1:75" x14ac:dyDescent="0.25">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c r="AS1350" s="9"/>
      <c r="AT1350" s="9"/>
      <c r="AU1350" s="9"/>
      <c r="AV1350" s="9"/>
      <c r="AW1350" s="9"/>
      <c r="AX1350" s="9"/>
      <c r="AY1350" s="9"/>
      <c r="AZ1350" s="9"/>
      <c r="BA1350" s="9"/>
      <c r="BB1350" s="9"/>
      <c r="BC1350" s="9"/>
      <c r="BD1350" s="9"/>
      <c r="BE1350" s="9"/>
      <c r="BF1350" s="9"/>
      <c r="BG1350" s="9"/>
      <c r="BH1350" s="9"/>
      <c r="BI1350" s="9"/>
      <c r="BJ1350" s="9"/>
      <c r="BK1350" s="9"/>
      <c r="BL1350" s="9"/>
      <c r="BM1350" s="9"/>
      <c r="BN1350" s="9"/>
      <c r="BO1350" s="9"/>
      <c r="BP1350" s="9"/>
      <c r="BQ1350" s="9"/>
      <c r="BR1350" s="9"/>
      <c r="BS1350" s="9"/>
      <c r="BT1350" s="9"/>
      <c r="BU1350" s="9"/>
      <c r="BV1350" s="9"/>
      <c r="BW1350" s="9"/>
    </row>
    <row r="1351" spans="1:75" x14ac:dyDescent="0.25">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c r="AO1351" s="9"/>
      <c r="AP1351" s="9"/>
      <c r="AQ1351" s="9"/>
      <c r="AR1351" s="9"/>
      <c r="AS1351" s="9"/>
      <c r="AT1351" s="9"/>
      <c r="AU1351" s="9"/>
      <c r="AV1351" s="9"/>
      <c r="AW1351" s="9"/>
      <c r="AX1351" s="9"/>
      <c r="AY1351" s="9"/>
      <c r="AZ1351" s="9"/>
      <c r="BA1351" s="9"/>
      <c r="BB1351" s="9"/>
      <c r="BC1351" s="9"/>
      <c r="BD1351" s="9"/>
      <c r="BE1351" s="9"/>
      <c r="BF1351" s="9"/>
      <c r="BG1351" s="9"/>
      <c r="BH1351" s="9"/>
      <c r="BI1351" s="9"/>
      <c r="BJ1351" s="9"/>
      <c r="BK1351" s="9"/>
      <c r="BL1351" s="9"/>
      <c r="BM1351" s="9"/>
      <c r="BN1351" s="9"/>
      <c r="BO1351" s="9"/>
      <c r="BP1351" s="9"/>
      <c r="BQ1351" s="9"/>
      <c r="BR1351" s="9"/>
      <c r="BS1351" s="9"/>
      <c r="BT1351" s="9"/>
      <c r="BU1351" s="9"/>
      <c r="BV1351" s="9"/>
      <c r="BW1351" s="9"/>
    </row>
    <row r="1352" spans="1:75" x14ac:dyDescent="0.25">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c r="AR1352" s="9"/>
      <c r="AS1352" s="9"/>
      <c r="AT1352" s="9"/>
      <c r="AU1352" s="9"/>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row>
    <row r="1353" spans="1:75" x14ac:dyDescent="0.25">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c r="AO1353" s="9"/>
      <c r="AP1353" s="9"/>
      <c r="AQ1353" s="9"/>
      <c r="AR1353" s="9"/>
      <c r="AS1353" s="9"/>
      <c r="AT1353" s="9"/>
      <c r="AU1353" s="9"/>
      <c r="AV1353" s="9"/>
      <c r="AW1353" s="9"/>
      <c r="AX1353" s="9"/>
      <c r="AY1353" s="9"/>
      <c r="AZ1353" s="9"/>
      <c r="BA1353" s="9"/>
      <c r="BB1353" s="9"/>
      <c r="BC1353" s="9"/>
      <c r="BD1353" s="9"/>
      <c r="BE1353" s="9"/>
      <c r="BF1353" s="9"/>
      <c r="BG1353" s="9"/>
      <c r="BH1353" s="9"/>
      <c r="BI1353" s="9"/>
      <c r="BJ1353" s="9"/>
      <c r="BK1353" s="9"/>
      <c r="BL1353" s="9"/>
      <c r="BM1353" s="9"/>
      <c r="BN1353" s="9"/>
      <c r="BO1353" s="9"/>
      <c r="BP1353" s="9"/>
      <c r="BQ1353" s="9"/>
      <c r="BR1353" s="9"/>
      <c r="BS1353" s="9"/>
      <c r="BT1353" s="9"/>
      <c r="BU1353" s="9"/>
      <c r="BV1353" s="9"/>
      <c r="BW1353" s="9"/>
    </row>
    <row r="1354" spans="1:75" x14ac:dyDescent="0.25">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c r="AS1354" s="9"/>
      <c r="AT1354" s="9"/>
      <c r="AU1354" s="9"/>
      <c r="AV1354" s="9"/>
      <c r="AW1354" s="9"/>
      <c r="AX1354" s="9"/>
      <c r="AY1354" s="9"/>
      <c r="AZ1354" s="9"/>
      <c r="BA1354" s="9"/>
      <c r="BB1354" s="9"/>
      <c r="BC1354" s="9"/>
      <c r="BD1354" s="9"/>
      <c r="BE1354" s="9"/>
      <c r="BF1354" s="9"/>
      <c r="BG1354" s="9"/>
      <c r="BH1354" s="9"/>
      <c r="BI1354" s="9"/>
      <c r="BJ1354" s="9"/>
      <c r="BK1354" s="9"/>
      <c r="BL1354" s="9"/>
      <c r="BM1354" s="9"/>
      <c r="BN1354" s="9"/>
      <c r="BO1354" s="9"/>
      <c r="BP1354" s="9"/>
      <c r="BQ1354" s="9"/>
      <c r="BR1354" s="9"/>
      <c r="BS1354" s="9"/>
      <c r="BT1354" s="9"/>
      <c r="BU1354" s="9"/>
      <c r="BV1354" s="9"/>
      <c r="BW1354" s="9"/>
    </row>
    <row r="1355" spans="1:75" x14ac:dyDescent="0.25">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c r="AS1355" s="9"/>
      <c r="AT1355" s="9"/>
      <c r="AU1355" s="9"/>
      <c r="AV1355" s="9"/>
      <c r="AW1355" s="9"/>
      <c r="AX1355" s="9"/>
      <c r="AY1355" s="9"/>
      <c r="AZ1355" s="9"/>
      <c r="BA1355" s="9"/>
      <c r="BB1355" s="9"/>
      <c r="BC1355" s="9"/>
      <c r="BD1355" s="9"/>
      <c r="BE1355" s="9"/>
      <c r="BF1355" s="9"/>
      <c r="BG1355" s="9"/>
      <c r="BH1355" s="9"/>
      <c r="BI1355" s="9"/>
      <c r="BJ1355" s="9"/>
      <c r="BK1355" s="9"/>
      <c r="BL1355" s="9"/>
      <c r="BM1355" s="9"/>
      <c r="BN1355" s="9"/>
      <c r="BO1355" s="9"/>
      <c r="BP1355" s="9"/>
      <c r="BQ1355" s="9"/>
      <c r="BR1355" s="9"/>
      <c r="BS1355" s="9"/>
      <c r="BT1355" s="9"/>
      <c r="BU1355" s="9"/>
      <c r="BV1355" s="9"/>
      <c r="BW1355" s="9"/>
    </row>
    <row r="1356" spans="1:75" x14ac:dyDescent="0.25">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c r="AS1356" s="9"/>
      <c r="AT1356" s="9"/>
      <c r="AU1356" s="9"/>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row>
    <row r="1357" spans="1:75" x14ac:dyDescent="0.25">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c r="AO1357" s="9"/>
      <c r="AP1357" s="9"/>
      <c r="AQ1357" s="9"/>
      <c r="AR1357" s="9"/>
      <c r="AS1357" s="9"/>
      <c r="AT1357" s="9"/>
      <c r="AU1357" s="9"/>
      <c r="AV1357" s="9"/>
      <c r="AW1357" s="9"/>
      <c r="AX1357" s="9"/>
      <c r="AY1357" s="9"/>
      <c r="AZ1357" s="9"/>
      <c r="BA1357" s="9"/>
      <c r="BB1357" s="9"/>
      <c r="BC1357" s="9"/>
      <c r="BD1357" s="9"/>
      <c r="BE1357" s="9"/>
      <c r="BF1357" s="9"/>
      <c r="BG1357" s="9"/>
      <c r="BH1357" s="9"/>
      <c r="BI1357" s="9"/>
      <c r="BJ1357" s="9"/>
      <c r="BK1357" s="9"/>
      <c r="BL1357" s="9"/>
      <c r="BM1357" s="9"/>
      <c r="BN1357" s="9"/>
      <c r="BO1357" s="9"/>
      <c r="BP1357" s="9"/>
      <c r="BQ1357" s="9"/>
      <c r="BR1357" s="9"/>
      <c r="BS1357" s="9"/>
      <c r="BT1357" s="9"/>
      <c r="BU1357" s="9"/>
      <c r="BV1357" s="9"/>
      <c r="BW1357" s="9"/>
    </row>
    <row r="1358" spans="1:75" x14ac:dyDescent="0.25">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c r="AR1358" s="9"/>
      <c r="AS1358" s="9"/>
      <c r="AT1358" s="9"/>
      <c r="AU1358" s="9"/>
      <c r="AV1358" s="9"/>
      <c r="AW1358" s="9"/>
      <c r="AX1358" s="9"/>
      <c r="AY1358" s="9"/>
      <c r="AZ1358" s="9"/>
      <c r="BA1358" s="9"/>
      <c r="BB1358" s="9"/>
      <c r="BC1358" s="9"/>
      <c r="BD1358" s="9"/>
      <c r="BE1358" s="9"/>
      <c r="BF1358" s="9"/>
      <c r="BG1358" s="9"/>
      <c r="BH1358" s="9"/>
      <c r="BI1358" s="9"/>
      <c r="BJ1358" s="9"/>
      <c r="BK1358" s="9"/>
      <c r="BL1358" s="9"/>
      <c r="BM1358" s="9"/>
      <c r="BN1358" s="9"/>
      <c r="BO1358" s="9"/>
      <c r="BP1358" s="9"/>
      <c r="BQ1358" s="9"/>
      <c r="BR1358" s="9"/>
      <c r="BS1358" s="9"/>
      <c r="BT1358" s="9"/>
      <c r="BU1358" s="9"/>
      <c r="BV1358" s="9"/>
      <c r="BW1358" s="9"/>
    </row>
    <row r="1359" spans="1:75" x14ac:dyDescent="0.25">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c r="AO1359" s="9"/>
      <c r="AP1359" s="9"/>
      <c r="AQ1359" s="9"/>
      <c r="AR1359" s="9"/>
      <c r="AS1359" s="9"/>
      <c r="AT1359" s="9"/>
      <c r="AU1359" s="9"/>
      <c r="AV1359" s="9"/>
      <c r="AW1359" s="9"/>
      <c r="AX1359" s="9"/>
      <c r="AY1359" s="9"/>
      <c r="AZ1359" s="9"/>
      <c r="BA1359" s="9"/>
      <c r="BB1359" s="9"/>
      <c r="BC1359" s="9"/>
      <c r="BD1359" s="9"/>
      <c r="BE1359" s="9"/>
      <c r="BF1359" s="9"/>
      <c r="BG1359" s="9"/>
      <c r="BH1359" s="9"/>
      <c r="BI1359" s="9"/>
      <c r="BJ1359" s="9"/>
      <c r="BK1359" s="9"/>
      <c r="BL1359" s="9"/>
      <c r="BM1359" s="9"/>
      <c r="BN1359" s="9"/>
      <c r="BO1359" s="9"/>
      <c r="BP1359" s="9"/>
      <c r="BQ1359" s="9"/>
      <c r="BR1359" s="9"/>
      <c r="BS1359" s="9"/>
      <c r="BT1359" s="9"/>
      <c r="BU1359" s="9"/>
      <c r="BV1359" s="9"/>
      <c r="BW1359" s="9"/>
    </row>
    <row r="1360" spans="1:75" x14ac:dyDescent="0.25">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c r="AO1360" s="9"/>
      <c r="AP1360" s="9"/>
      <c r="AQ1360" s="9"/>
      <c r="AR1360" s="9"/>
      <c r="AS1360" s="9"/>
      <c r="AT1360" s="9"/>
      <c r="AU1360" s="9"/>
      <c r="AV1360" s="9"/>
      <c r="AW1360" s="9"/>
      <c r="AX1360" s="9"/>
      <c r="AY1360" s="9"/>
      <c r="AZ1360" s="9"/>
      <c r="BA1360" s="9"/>
      <c r="BB1360" s="9"/>
      <c r="BC1360" s="9"/>
      <c r="BD1360" s="9"/>
      <c r="BE1360" s="9"/>
      <c r="BF1360" s="9"/>
      <c r="BG1360" s="9"/>
      <c r="BH1360" s="9"/>
      <c r="BI1360" s="9"/>
      <c r="BJ1360" s="9"/>
      <c r="BK1360" s="9"/>
      <c r="BL1360" s="9"/>
      <c r="BM1360" s="9"/>
      <c r="BN1360" s="9"/>
      <c r="BO1360" s="9"/>
      <c r="BP1360" s="9"/>
      <c r="BQ1360" s="9"/>
      <c r="BR1360" s="9"/>
      <c r="BS1360" s="9"/>
      <c r="BT1360" s="9"/>
      <c r="BU1360" s="9"/>
      <c r="BV1360" s="9"/>
      <c r="BW1360" s="9"/>
    </row>
    <row r="1361" spans="1:75" x14ac:dyDescent="0.25">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c r="AO1361" s="9"/>
      <c r="AP1361" s="9"/>
      <c r="AQ1361" s="9"/>
      <c r="AR1361" s="9"/>
      <c r="AS1361" s="9"/>
      <c r="AT1361" s="9"/>
      <c r="AU1361" s="9"/>
      <c r="AV1361" s="9"/>
      <c r="AW1361" s="9"/>
      <c r="AX1361" s="9"/>
      <c r="AY1361" s="9"/>
      <c r="AZ1361" s="9"/>
      <c r="BA1361" s="9"/>
      <c r="BB1361" s="9"/>
      <c r="BC1361" s="9"/>
      <c r="BD1361" s="9"/>
      <c r="BE1361" s="9"/>
      <c r="BF1361" s="9"/>
      <c r="BG1361" s="9"/>
      <c r="BH1361" s="9"/>
      <c r="BI1361" s="9"/>
      <c r="BJ1361" s="9"/>
      <c r="BK1361" s="9"/>
      <c r="BL1361" s="9"/>
      <c r="BM1361" s="9"/>
      <c r="BN1361" s="9"/>
      <c r="BO1361" s="9"/>
      <c r="BP1361" s="9"/>
      <c r="BQ1361" s="9"/>
      <c r="BR1361" s="9"/>
      <c r="BS1361" s="9"/>
      <c r="BT1361" s="9"/>
      <c r="BU1361" s="9"/>
      <c r="BV1361" s="9"/>
      <c r="BW1361" s="9"/>
    </row>
    <row r="1362" spans="1:75" x14ac:dyDescent="0.25">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c r="AO1362" s="9"/>
      <c r="AP1362" s="9"/>
      <c r="AQ1362" s="9"/>
      <c r="AR1362" s="9"/>
      <c r="AS1362" s="9"/>
      <c r="AT1362" s="9"/>
      <c r="AU1362" s="9"/>
      <c r="AV1362" s="9"/>
      <c r="AW1362" s="9"/>
      <c r="AX1362" s="9"/>
      <c r="AY1362" s="9"/>
      <c r="AZ1362" s="9"/>
      <c r="BA1362" s="9"/>
      <c r="BB1362" s="9"/>
      <c r="BC1362" s="9"/>
      <c r="BD1362" s="9"/>
      <c r="BE1362" s="9"/>
      <c r="BF1362" s="9"/>
      <c r="BG1362" s="9"/>
      <c r="BH1362" s="9"/>
      <c r="BI1362" s="9"/>
      <c r="BJ1362" s="9"/>
      <c r="BK1362" s="9"/>
      <c r="BL1362" s="9"/>
      <c r="BM1362" s="9"/>
      <c r="BN1362" s="9"/>
      <c r="BO1362" s="9"/>
      <c r="BP1362" s="9"/>
      <c r="BQ1362" s="9"/>
      <c r="BR1362" s="9"/>
      <c r="BS1362" s="9"/>
      <c r="BT1362" s="9"/>
      <c r="BU1362" s="9"/>
      <c r="BV1362" s="9"/>
      <c r="BW1362" s="9"/>
    </row>
    <row r="1363" spans="1:75" x14ac:dyDescent="0.25">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c r="AO1363" s="9"/>
      <c r="AP1363" s="9"/>
      <c r="AQ1363" s="9"/>
      <c r="AR1363" s="9"/>
      <c r="AS1363" s="9"/>
      <c r="AT1363" s="9"/>
      <c r="AU1363" s="9"/>
      <c r="AV1363" s="9"/>
      <c r="AW1363" s="9"/>
      <c r="AX1363" s="9"/>
      <c r="AY1363" s="9"/>
      <c r="AZ1363" s="9"/>
      <c r="BA1363" s="9"/>
      <c r="BB1363" s="9"/>
      <c r="BC1363" s="9"/>
      <c r="BD1363" s="9"/>
      <c r="BE1363" s="9"/>
      <c r="BF1363" s="9"/>
      <c r="BG1363" s="9"/>
      <c r="BH1363" s="9"/>
      <c r="BI1363" s="9"/>
      <c r="BJ1363" s="9"/>
      <c r="BK1363" s="9"/>
      <c r="BL1363" s="9"/>
      <c r="BM1363" s="9"/>
      <c r="BN1363" s="9"/>
      <c r="BO1363" s="9"/>
      <c r="BP1363" s="9"/>
      <c r="BQ1363" s="9"/>
      <c r="BR1363" s="9"/>
      <c r="BS1363" s="9"/>
      <c r="BT1363" s="9"/>
      <c r="BU1363" s="9"/>
      <c r="BV1363" s="9"/>
      <c r="BW1363" s="9"/>
    </row>
    <row r="1364" spans="1:75" x14ac:dyDescent="0.25">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c r="AO1364" s="9"/>
      <c r="AP1364" s="9"/>
      <c r="AQ1364" s="9"/>
      <c r="AR1364" s="9"/>
      <c r="AS1364" s="9"/>
      <c r="AT1364" s="9"/>
      <c r="AU1364" s="9"/>
      <c r="AV1364" s="9"/>
      <c r="AW1364" s="9"/>
      <c r="AX1364" s="9"/>
      <c r="AY1364" s="9"/>
      <c r="AZ1364" s="9"/>
      <c r="BA1364" s="9"/>
      <c r="BB1364" s="9"/>
      <c r="BC1364" s="9"/>
      <c r="BD1364" s="9"/>
      <c r="BE1364" s="9"/>
      <c r="BF1364" s="9"/>
      <c r="BG1364" s="9"/>
      <c r="BH1364" s="9"/>
      <c r="BI1364" s="9"/>
      <c r="BJ1364" s="9"/>
      <c r="BK1364" s="9"/>
      <c r="BL1364" s="9"/>
      <c r="BM1364" s="9"/>
      <c r="BN1364" s="9"/>
      <c r="BO1364" s="9"/>
      <c r="BP1364" s="9"/>
      <c r="BQ1364" s="9"/>
      <c r="BR1364" s="9"/>
      <c r="BS1364" s="9"/>
      <c r="BT1364" s="9"/>
      <c r="BU1364" s="9"/>
      <c r="BV1364" s="9"/>
      <c r="BW1364" s="9"/>
    </row>
    <row r="1365" spans="1:75" x14ac:dyDescent="0.25">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c r="AO1365" s="9"/>
      <c r="AP1365" s="9"/>
      <c r="AQ1365" s="9"/>
      <c r="AR1365" s="9"/>
      <c r="AS1365" s="9"/>
      <c r="AT1365" s="9"/>
      <c r="AU1365" s="9"/>
      <c r="AV1365" s="9"/>
      <c r="AW1365" s="9"/>
      <c r="AX1365" s="9"/>
      <c r="AY1365" s="9"/>
      <c r="AZ1365" s="9"/>
      <c r="BA1365" s="9"/>
      <c r="BB1365" s="9"/>
      <c r="BC1365" s="9"/>
      <c r="BD1365" s="9"/>
      <c r="BE1365" s="9"/>
      <c r="BF1365" s="9"/>
      <c r="BG1365" s="9"/>
      <c r="BH1365" s="9"/>
      <c r="BI1365" s="9"/>
      <c r="BJ1365" s="9"/>
      <c r="BK1365" s="9"/>
      <c r="BL1365" s="9"/>
      <c r="BM1365" s="9"/>
      <c r="BN1365" s="9"/>
      <c r="BO1365" s="9"/>
      <c r="BP1365" s="9"/>
      <c r="BQ1365" s="9"/>
      <c r="BR1365" s="9"/>
      <c r="BS1365" s="9"/>
      <c r="BT1365" s="9"/>
      <c r="BU1365" s="9"/>
      <c r="BV1365" s="9"/>
      <c r="BW1365" s="9"/>
    </row>
    <row r="1366" spans="1:75" x14ac:dyDescent="0.25">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c r="AR1366" s="9"/>
      <c r="AS1366" s="9"/>
      <c r="AT1366" s="9"/>
      <c r="AU1366" s="9"/>
      <c r="AV1366" s="9"/>
      <c r="AW1366" s="9"/>
      <c r="AX1366" s="9"/>
      <c r="AY1366" s="9"/>
      <c r="AZ1366" s="9"/>
      <c r="BA1366" s="9"/>
      <c r="BB1366" s="9"/>
      <c r="BC1366" s="9"/>
      <c r="BD1366" s="9"/>
      <c r="BE1366" s="9"/>
      <c r="BF1366" s="9"/>
      <c r="BG1366" s="9"/>
      <c r="BH1366" s="9"/>
      <c r="BI1366" s="9"/>
      <c r="BJ1366" s="9"/>
      <c r="BK1366" s="9"/>
      <c r="BL1366" s="9"/>
      <c r="BM1366" s="9"/>
      <c r="BN1366" s="9"/>
      <c r="BO1366" s="9"/>
      <c r="BP1366" s="9"/>
      <c r="BQ1366" s="9"/>
      <c r="BR1366" s="9"/>
      <c r="BS1366" s="9"/>
      <c r="BT1366" s="9"/>
      <c r="BU1366" s="9"/>
      <c r="BV1366" s="9"/>
      <c r="BW1366" s="9"/>
    </row>
    <row r="1367" spans="1:75" x14ac:dyDescent="0.25">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c r="AO1367" s="9"/>
      <c r="AP1367" s="9"/>
      <c r="AQ1367" s="9"/>
      <c r="AR1367" s="9"/>
      <c r="AS1367" s="9"/>
      <c r="AT1367" s="9"/>
      <c r="AU1367" s="9"/>
      <c r="AV1367" s="9"/>
      <c r="AW1367" s="9"/>
      <c r="AX1367" s="9"/>
      <c r="AY1367" s="9"/>
      <c r="AZ1367" s="9"/>
      <c r="BA1367" s="9"/>
      <c r="BB1367" s="9"/>
      <c r="BC1367" s="9"/>
      <c r="BD1367" s="9"/>
      <c r="BE1367" s="9"/>
      <c r="BF1367" s="9"/>
      <c r="BG1367" s="9"/>
      <c r="BH1367" s="9"/>
      <c r="BI1367" s="9"/>
      <c r="BJ1367" s="9"/>
      <c r="BK1367" s="9"/>
      <c r="BL1367" s="9"/>
      <c r="BM1367" s="9"/>
      <c r="BN1367" s="9"/>
      <c r="BO1367" s="9"/>
      <c r="BP1367" s="9"/>
      <c r="BQ1367" s="9"/>
      <c r="BR1367" s="9"/>
      <c r="BS1367" s="9"/>
      <c r="BT1367" s="9"/>
      <c r="BU1367" s="9"/>
      <c r="BV1367" s="9"/>
      <c r="BW1367" s="9"/>
    </row>
    <row r="1368" spans="1:75" x14ac:dyDescent="0.25">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c r="AO1368" s="9"/>
      <c r="AP1368" s="9"/>
      <c r="AQ1368" s="9"/>
      <c r="AR1368" s="9"/>
      <c r="AS1368" s="9"/>
      <c r="AT1368" s="9"/>
      <c r="AU1368" s="9"/>
      <c r="AV1368" s="9"/>
      <c r="AW1368" s="9"/>
      <c r="AX1368" s="9"/>
      <c r="AY1368" s="9"/>
      <c r="AZ1368" s="9"/>
      <c r="BA1368" s="9"/>
      <c r="BB1368" s="9"/>
      <c r="BC1368" s="9"/>
      <c r="BD1368" s="9"/>
      <c r="BE1368" s="9"/>
      <c r="BF1368" s="9"/>
      <c r="BG1368" s="9"/>
      <c r="BH1368" s="9"/>
      <c r="BI1368" s="9"/>
      <c r="BJ1368" s="9"/>
      <c r="BK1368" s="9"/>
      <c r="BL1368" s="9"/>
      <c r="BM1368" s="9"/>
      <c r="BN1368" s="9"/>
      <c r="BO1368" s="9"/>
      <c r="BP1368" s="9"/>
      <c r="BQ1368" s="9"/>
      <c r="BR1368" s="9"/>
      <c r="BS1368" s="9"/>
      <c r="BT1368" s="9"/>
      <c r="BU1368" s="9"/>
      <c r="BV1368" s="9"/>
      <c r="BW1368" s="9"/>
    </row>
    <row r="1369" spans="1:75" x14ac:dyDescent="0.25">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c r="AO1369" s="9"/>
      <c r="AP1369" s="9"/>
      <c r="AQ1369" s="9"/>
      <c r="AR1369" s="9"/>
      <c r="AS1369" s="9"/>
      <c r="AT1369" s="9"/>
      <c r="AU1369" s="9"/>
      <c r="AV1369" s="9"/>
      <c r="AW1369" s="9"/>
      <c r="AX1369" s="9"/>
      <c r="AY1369" s="9"/>
      <c r="AZ1369" s="9"/>
      <c r="BA1369" s="9"/>
      <c r="BB1369" s="9"/>
      <c r="BC1369" s="9"/>
      <c r="BD1369" s="9"/>
      <c r="BE1369" s="9"/>
      <c r="BF1369" s="9"/>
      <c r="BG1369" s="9"/>
      <c r="BH1369" s="9"/>
      <c r="BI1369" s="9"/>
      <c r="BJ1369" s="9"/>
      <c r="BK1369" s="9"/>
      <c r="BL1369" s="9"/>
      <c r="BM1369" s="9"/>
      <c r="BN1369" s="9"/>
      <c r="BO1369" s="9"/>
      <c r="BP1369" s="9"/>
      <c r="BQ1369" s="9"/>
      <c r="BR1369" s="9"/>
      <c r="BS1369" s="9"/>
      <c r="BT1369" s="9"/>
      <c r="BU1369" s="9"/>
      <c r="BV1369" s="9"/>
      <c r="BW1369" s="9"/>
    </row>
    <row r="1370" spans="1:75" x14ac:dyDescent="0.25">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c r="AS1370" s="9"/>
      <c r="AT1370" s="9"/>
      <c r="AU1370" s="9"/>
      <c r="AV1370" s="9"/>
      <c r="AW1370" s="9"/>
      <c r="AX1370" s="9"/>
      <c r="AY1370" s="9"/>
      <c r="AZ1370" s="9"/>
      <c r="BA1370" s="9"/>
      <c r="BB1370" s="9"/>
      <c r="BC1370" s="9"/>
      <c r="BD1370" s="9"/>
      <c r="BE1370" s="9"/>
      <c r="BF1370" s="9"/>
      <c r="BG1370" s="9"/>
      <c r="BH1370" s="9"/>
      <c r="BI1370" s="9"/>
      <c r="BJ1370" s="9"/>
      <c r="BK1370" s="9"/>
      <c r="BL1370" s="9"/>
      <c r="BM1370" s="9"/>
      <c r="BN1370" s="9"/>
      <c r="BO1370" s="9"/>
      <c r="BP1370" s="9"/>
      <c r="BQ1370" s="9"/>
      <c r="BR1370" s="9"/>
      <c r="BS1370" s="9"/>
      <c r="BT1370" s="9"/>
      <c r="BU1370" s="9"/>
      <c r="BV1370" s="9"/>
      <c r="BW1370" s="9"/>
    </row>
    <row r="1371" spans="1:75" x14ac:dyDescent="0.25">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c r="AS1371" s="9"/>
      <c r="AT1371" s="9"/>
      <c r="AU1371" s="9"/>
      <c r="AV1371" s="9"/>
      <c r="AW1371" s="9"/>
      <c r="AX1371" s="9"/>
      <c r="AY1371" s="9"/>
      <c r="AZ1371" s="9"/>
      <c r="BA1371" s="9"/>
      <c r="BB1371" s="9"/>
      <c r="BC1371" s="9"/>
      <c r="BD1371" s="9"/>
      <c r="BE1371" s="9"/>
      <c r="BF1371" s="9"/>
      <c r="BG1371" s="9"/>
      <c r="BH1371" s="9"/>
      <c r="BI1371" s="9"/>
      <c r="BJ1371" s="9"/>
      <c r="BK1371" s="9"/>
      <c r="BL1371" s="9"/>
      <c r="BM1371" s="9"/>
      <c r="BN1371" s="9"/>
      <c r="BO1371" s="9"/>
      <c r="BP1371" s="9"/>
      <c r="BQ1371" s="9"/>
      <c r="BR1371" s="9"/>
      <c r="BS1371" s="9"/>
      <c r="BT1371" s="9"/>
      <c r="BU1371" s="9"/>
      <c r="BV1371" s="9"/>
      <c r="BW1371" s="9"/>
    </row>
    <row r="1372" spans="1:75" x14ac:dyDescent="0.25">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c r="AR1372" s="9"/>
      <c r="AS1372" s="9"/>
      <c r="AT1372" s="9"/>
      <c r="AU1372" s="9"/>
      <c r="AV1372" s="9"/>
      <c r="AW1372" s="9"/>
      <c r="AX1372" s="9"/>
      <c r="AY1372" s="9"/>
      <c r="AZ1372" s="9"/>
      <c r="BA1372" s="9"/>
      <c r="BB1372" s="9"/>
      <c r="BC1372" s="9"/>
      <c r="BD1372" s="9"/>
      <c r="BE1372" s="9"/>
      <c r="BF1372" s="9"/>
      <c r="BG1372" s="9"/>
      <c r="BH1372" s="9"/>
      <c r="BI1372" s="9"/>
      <c r="BJ1372" s="9"/>
      <c r="BK1372" s="9"/>
      <c r="BL1372" s="9"/>
      <c r="BM1372" s="9"/>
      <c r="BN1372" s="9"/>
      <c r="BO1372" s="9"/>
      <c r="BP1372" s="9"/>
      <c r="BQ1372" s="9"/>
      <c r="BR1372" s="9"/>
      <c r="BS1372" s="9"/>
      <c r="BT1372" s="9"/>
      <c r="BU1372" s="9"/>
      <c r="BV1372" s="9"/>
      <c r="BW1372" s="9"/>
    </row>
    <row r="1373" spans="1:75" x14ac:dyDescent="0.25">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c r="AO1373" s="9"/>
      <c r="AP1373" s="9"/>
      <c r="AQ1373" s="9"/>
      <c r="AR1373" s="9"/>
      <c r="AS1373" s="9"/>
      <c r="AT1373" s="9"/>
      <c r="AU1373" s="9"/>
      <c r="AV1373" s="9"/>
      <c r="AW1373" s="9"/>
      <c r="AX1373" s="9"/>
      <c r="AY1373" s="9"/>
      <c r="AZ1373" s="9"/>
      <c r="BA1373" s="9"/>
      <c r="BB1373" s="9"/>
      <c r="BC1373" s="9"/>
      <c r="BD1373" s="9"/>
      <c r="BE1373" s="9"/>
      <c r="BF1373" s="9"/>
      <c r="BG1373" s="9"/>
      <c r="BH1373" s="9"/>
      <c r="BI1373" s="9"/>
      <c r="BJ1373" s="9"/>
      <c r="BK1373" s="9"/>
      <c r="BL1373" s="9"/>
      <c r="BM1373" s="9"/>
      <c r="BN1373" s="9"/>
      <c r="BO1373" s="9"/>
      <c r="BP1373" s="9"/>
      <c r="BQ1373" s="9"/>
      <c r="BR1373" s="9"/>
      <c r="BS1373" s="9"/>
      <c r="BT1373" s="9"/>
      <c r="BU1373" s="9"/>
      <c r="BV1373" s="9"/>
      <c r="BW1373" s="9"/>
    </row>
    <row r="1374" spans="1:75" x14ac:dyDescent="0.25">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c r="AS1374" s="9"/>
      <c r="AT1374" s="9"/>
      <c r="AU1374" s="9"/>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row>
    <row r="1375" spans="1:75" x14ac:dyDescent="0.25">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c r="AO1375" s="9"/>
      <c r="AP1375" s="9"/>
      <c r="AQ1375" s="9"/>
      <c r="AR1375" s="9"/>
      <c r="AS1375" s="9"/>
      <c r="AT1375" s="9"/>
      <c r="AU1375" s="9"/>
      <c r="AV1375" s="9"/>
      <c r="AW1375" s="9"/>
      <c r="AX1375" s="9"/>
      <c r="AY1375" s="9"/>
      <c r="AZ1375" s="9"/>
      <c r="BA1375" s="9"/>
      <c r="BB1375" s="9"/>
      <c r="BC1375" s="9"/>
      <c r="BD1375" s="9"/>
      <c r="BE1375" s="9"/>
      <c r="BF1375" s="9"/>
      <c r="BG1375" s="9"/>
      <c r="BH1375" s="9"/>
      <c r="BI1375" s="9"/>
      <c r="BJ1375" s="9"/>
      <c r="BK1375" s="9"/>
      <c r="BL1375" s="9"/>
      <c r="BM1375" s="9"/>
      <c r="BN1375" s="9"/>
      <c r="BO1375" s="9"/>
      <c r="BP1375" s="9"/>
      <c r="BQ1375" s="9"/>
      <c r="BR1375" s="9"/>
      <c r="BS1375" s="9"/>
      <c r="BT1375" s="9"/>
      <c r="BU1375" s="9"/>
      <c r="BV1375" s="9"/>
      <c r="BW1375" s="9"/>
    </row>
    <row r="1376" spans="1:75" x14ac:dyDescent="0.25">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c r="AS1376" s="9"/>
      <c r="AT1376" s="9"/>
      <c r="AU1376" s="9"/>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row>
    <row r="1377" spans="1:75" x14ac:dyDescent="0.25">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c r="AO1377" s="9"/>
      <c r="AP1377" s="9"/>
      <c r="AQ1377" s="9"/>
      <c r="AR1377" s="9"/>
      <c r="AS1377" s="9"/>
      <c r="AT1377" s="9"/>
      <c r="AU1377" s="9"/>
      <c r="AV1377" s="9"/>
      <c r="AW1377" s="9"/>
      <c r="AX1377" s="9"/>
      <c r="AY1377" s="9"/>
      <c r="AZ1377" s="9"/>
      <c r="BA1377" s="9"/>
      <c r="BB1377" s="9"/>
      <c r="BC1377" s="9"/>
      <c r="BD1377" s="9"/>
      <c r="BE1377" s="9"/>
      <c r="BF1377" s="9"/>
      <c r="BG1377" s="9"/>
      <c r="BH1377" s="9"/>
      <c r="BI1377" s="9"/>
      <c r="BJ1377" s="9"/>
      <c r="BK1377" s="9"/>
      <c r="BL1377" s="9"/>
      <c r="BM1377" s="9"/>
      <c r="BN1377" s="9"/>
      <c r="BO1377" s="9"/>
      <c r="BP1377" s="9"/>
      <c r="BQ1377" s="9"/>
      <c r="BR1377" s="9"/>
      <c r="BS1377" s="9"/>
      <c r="BT1377" s="9"/>
      <c r="BU1377" s="9"/>
      <c r="BV1377" s="9"/>
      <c r="BW1377" s="9"/>
    </row>
    <row r="1378" spans="1:75" x14ac:dyDescent="0.25">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c r="AS1378" s="9"/>
      <c r="AT1378" s="9"/>
      <c r="AU1378" s="9"/>
      <c r="AV1378" s="9"/>
      <c r="AW1378" s="9"/>
      <c r="AX1378" s="9"/>
      <c r="AY1378" s="9"/>
      <c r="AZ1378" s="9"/>
      <c r="BA1378" s="9"/>
      <c r="BB1378" s="9"/>
      <c r="BC1378" s="9"/>
      <c r="BD1378" s="9"/>
      <c r="BE1378" s="9"/>
      <c r="BF1378" s="9"/>
      <c r="BG1378" s="9"/>
      <c r="BH1378" s="9"/>
      <c r="BI1378" s="9"/>
      <c r="BJ1378" s="9"/>
      <c r="BK1378" s="9"/>
      <c r="BL1378" s="9"/>
      <c r="BM1378" s="9"/>
      <c r="BN1378" s="9"/>
      <c r="BO1378" s="9"/>
      <c r="BP1378" s="9"/>
      <c r="BQ1378" s="9"/>
      <c r="BR1378" s="9"/>
      <c r="BS1378" s="9"/>
      <c r="BT1378" s="9"/>
      <c r="BU1378" s="9"/>
      <c r="BV1378" s="9"/>
      <c r="BW1378" s="9"/>
    </row>
    <row r="1379" spans="1:75" x14ac:dyDescent="0.25">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c r="AR1379" s="9"/>
      <c r="AS1379" s="9"/>
      <c r="AT1379" s="9"/>
      <c r="AU1379" s="9"/>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row>
    <row r="1380" spans="1:75" x14ac:dyDescent="0.25">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c r="AS1380" s="9"/>
      <c r="AT1380" s="9"/>
      <c r="AU1380" s="9"/>
      <c r="AV1380" s="9"/>
      <c r="AW1380" s="9"/>
      <c r="AX1380" s="9"/>
      <c r="AY1380" s="9"/>
      <c r="AZ1380" s="9"/>
      <c r="BA1380" s="9"/>
      <c r="BB1380" s="9"/>
      <c r="BC1380" s="9"/>
      <c r="BD1380" s="9"/>
      <c r="BE1380" s="9"/>
      <c r="BF1380" s="9"/>
      <c r="BG1380" s="9"/>
      <c r="BH1380" s="9"/>
      <c r="BI1380" s="9"/>
      <c r="BJ1380" s="9"/>
      <c r="BK1380" s="9"/>
      <c r="BL1380" s="9"/>
      <c r="BM1380" s="9"/>
      <c r="BN1380" s="9"/>
      <c r="BO1380" s="9"/>
      <c r="BP1380" s="9"/>
      <c r="BQ1380" s="9"/>
      <c r="BR1380" s="9"/>
      <c r="BS1380" s="9"/>
      <c r="BT1380" s="9"/>
      <c r="BU1380" s="9"/>
      <c r="BV1380" s="9"/>
      <c r="BW1380" s="9"/>
    </row>
    <row r="1381" spans="1:75" x14ac:dyDescent="0.25">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c r="AO1381" s="9"/>
      <c r="AP1381" s="9"/>
      <c r="AQ1381" s="9"/>
      <c r="AR1381" s="9"/>
      <c r="AS1381" s="9"/>
      <c r="AT1381" s="9"/>
      <c r="AU1381" s="9"/>
      <c r="AV1381" s="9"/>
      <c r="AW1381" s="9"/>
      <c r="AX1381" s="9"/>
      <c r="AY1381" s="9"/>
      <c r="AZ1381" s="9"/>
      <c r="BA1381" s="9"/>
      <c r="BB1381" s="9"/>
      <c r="BC1381" s="9"/>
      <c r="BD1381" s="9"/>
      <c r="BE1381" s="9"/>
      <c r="BF1381" s="9"/>
      <c r="BG1381" s="9"/>
      <c r="BH1381" s="9"/>
      <c r="BI1381" s="9"/>
      <c r="BJ1381" s="9"/>
      <c r="BK1381" s="9"/>
      <c r="BL1381" s="9"/>
      <c r="BM1381" s="9"/>
      <c r="BN1381" s="9"/>
      <c r="BO1381" s="9"/>
      <c r="BP1381" s="9"/>
      <c r="BQ1381" s="9"/>
      <c r="BR1381" s="9"/>
      <c r="BS1381" s="9"/>
      <c r="BT1381" s="9"/>
      <c r="BU1381" s="9"/>
      <c r="BV1381" s="9"/>
      <c r="BW1381" s="9"/>
    </row>
    <row r="1382" spans="1:75" x14ac:dyDescent="0.25">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c r="AR1382" s="9"/>
      <c r="AS1382" s="9"/>
      <c r="AT1382" s="9"/>
      <c r="AU1382" s="9"/>
      <c r="AV1382" s="9"/>
      <c r="AW1382" s="9"/>
      <c r="AX1382" s="9"/>
      <c r="AY1382" s="9"/>
      <c r="AZ1382" s="9"/>
      <c r="BA1382" s="9"/>
      <c r="BB1382" s="9"/>
      <c r="BC1382" s="9"/>
      <c r="BD1382" s="9"/>
      <c r="BE1382" s="9"/>
      <c r="BF1382" s="9"/>
      <c r="BG1382" s="9"/>
      <c r="BH1382" s="9"/>
      <c r="BI1382" s="9"/>
      <c r="BJ1382" s="9"/>
      <c r="BK1382" s="9"/>
      <c r="BL1382" s="9"/>
      <c r="BM1382" s="9"/>
      <c r="BN1382" s="9"/>
      <c r="BO1382" s="9"/>
      <c r="BP1382" s="9"/>
      <c r="BQ1382" s="9"/>
      <c r="BR1382" s="9"/>
      <c r="BS1382" s="9"/>
      <c r="BT1382" s="9"/>
      <c r="BU1382" s="9"/>
      <c r="BV1382" s="9"/>
      <c r="BW1382" s="9"/>
    </row>
    <row r="1383" spans="1:75" x14ac:dyDescent="0.25">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c r="AO1383" s="9"/>
      <c r="AP1383" s="9"/>
      <c r="AQ1383" s="9"/>
      <c r="AR1383" s="9"/>
      <c r="AS1383" s="9"/>
      <c r="AT1383" s="9"/>
      <c r="AU1383" s="9"/>
      <c r="AV1383" s="9"/>
      <c r="AW1383" s="9"/>
      <c r="AX1383" s="9"/>
      <c r="AY1383" s="9"/>
      <c r="AZ1383" s="9"/>
      <c r="BA1383" s="9"/>
      <c r="BB1383" s="9"/>
      <c r="BC1383" s="9"/>
      <c r="BD1383" s="9"/>
      <c r="BE1383" s="9"/>
      <c r="BF1383" s="9"/>
      <c r="BG1383" s="9"/>
      <c r="BH1383" s="9"/>
      <c r="BI1383" s="9"/>
      <c r="BJ1383" s="9"/>
      <c r="BK1383" s="9"/>
      <c r="BL1383" s="9"/>
      <c r="BM1383" s="9"/>
      <c r="BN1383" s="9"/>
      <c r="BO1383" s="9"/>
      <c r="BP1383" s="9"/>
      <c r="BQ1383" s="9"/>
      <c r="BR1383" s="9"/>
      <c r="BS1383" s="9"/>
      <c r="BT1383" s="9"/>
      <c r="BU1383" s="9"/>
      <c r="BV1383" s="9"/>
      <c r="BW1383" s="9"/>
    </row>
    <row r="1384" spans="1:75" x14ac:dyDescent="0.25">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c r="AO1384" s="9"/>
      <c r="AP1384" s="9"/>
      <c r="AQ1384" s="9"/>
      <c r="AR1384" s="9"/>
      <c r="AS1384" s="9"/>
      <c r="AT1384" s="9"/>
      <c r="AU1384" s="9"/>
      <c r="AV1384" s="9"/>
      <c r="AW1384" s="9"/>
      <c r="AX1384" s="9"/>
      <c r="AY1384" s="9"/>
      <c r="AZ1384" s="9"/>
      <c r="BA1384" s="9"/>
      <c r="BB1384" s="9"/>
      <c r="BC1384" s="9"/>
      <c r="BD1384" s="9"/>
      <c r="BE1384" s="9"/>
      <c r="BF1384" s="9"/>
      <c r="BG1384" s="9"/>
      <c r="BH1384" s="9"/>
      <c r="BI1384" s="9"/>
      <c r="BJ1384" s="9"/>
      <c r="BK1384" s="9"/>
      <c r="BL1384" s="9"/>
      <c r="BM1384" s="9"/>
      <c r="BN1384" s="9"/>
      <c r="BO1384" s="9"/>
      <c r="BP1384" s="9"/>
      <c r="BQ1384" s="9"/>
      <c r="BR1384" s="9"/>
      <c r="BS1384" s="9"/>
      <c r="BT1384" s="9"/>
      <c r="BU1384" s="9"/>
      <c r="BV1384" s="9"/>
      <c r="BW1384" s="9"/>
    </row>
    <row r="1385" spans="1:75" x14ac:dyDescent="0.25">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c r="AO1385" s="9"/>
      <c r="AP1385" s="9"/>
      <c r="AQ1385" s="9"/>
      <c r="AR1385" s="9"/>
      <c r="AS1385" s="9"/>
      <c r="AT1385" s="9"/>
      <c r="AU1385" s="9"/>
      <c r="AV1385" s="9"/>
      <c r="AW1385" s="9"/>
      <c r="AX1385" s="9"/>
      <c r="AY1385" s="9"/>
      <c r="AZ1385" s="9"/>
      <c r="BA1385" s="9"/>
      <c r="BB1385" s="9"/>
      <c r="BC1385" s="9"/>
      <c r="BD1385" s="9"/>
      <c r="BE1385" s="9"/>
      <c r="BF1385" s="9"/>
      <c r="BG1385" s="9"/>
      <c r="BH1385" s="9"/>
      <c r="BI1385" s="9"/>
      <c r="BJ1385" s="9"/>
      <c r="BK1385" s="9"/>
      <c r="BL1385" s="9"/>
      <c r="BM1385" s="9"/>
      <c r="BN1385" s="9"/>
      <c r="BO1385" s="9"/>
      <c r="BP1385" s="9"/>
      <c r="BQ1385" s="9"/>
      <c r="BR1385" s="9"/>
      <c r="BS1385" s="9"/>
      <c r="BT1385" s="9"/>
      <c r="BU1385" s="9"/>
      <c r="BV1385" s="9"/>
      <c r="BW1385" s="9"/>
    </row>
    <row r="1386" spans="1:75" x14ac:dyDescent="0.25">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c r="AR1386" s="9"/>
      <c r="AS1386" s="9"/>
      <c r="AT1386" s="9"/>
      <c r="AU1386" s="9"/>
      <c r="AV1386" s="9"/>
      <c r="AW1386" s="9"/>
      <c r="AX1386" s="9"/>
      <c r="AY1386" s="9"/>
      <c r="AZ1386" s="9"/>
      <c r="BA1386" s="9"/>
      <c r="BB1386" s="9"/>
      <c r="BC1386" s="9"/>
      <c r="BD1386" s="9"/>
      <c r="BE1386" s="9"/>
      <c r="BF1386" s="9"/>
      <c r="BG1386" s="9"/>
      <c r="BH1386" s="9"/>
      <c r="BI1386" s="9"/>
      <c r="BJ1386" s="9"/>
      <c r="BK1386" s="9"/>
      <c r="BL1386" s="9"/>
      <c r="BM1386" s="9"/>
      <c r="BN1386" s="9"/>
      <c r="BO1386" s="9"/>
      <c r="BP1386" s="9"/>
      <c r="BQ1386" s="9"/>
      <c r="BR1386" s="9"/>
      <c r="BS1386" s="9"/>
      <c r="BT1386" s="9"/>
      <c r="BU1386" s="9"/>
      <c r="BV1386" s="9"/>
      <c r="BW1386" s="9"/>
    </row>
    <row r="1387" spans="1:75" x14ac:dyDescent="0.25">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c r="AO1387" s="9"/>
      <c r="AP1387" s="9"/>
      <c r="AQ1387" s="9"/>
      <c r="AR1387" s="9"/>
      <c r="AS1387" s="9"/>
      <c r="AT1387" s="9"/>
      <c r="AU1387" s="9"/>
      <c r="AV1387" s="9"/>
      <c r="AW1387" s="9"/>
      <c r="AX1387" s="9"/>
      <c r="AY1387" s="9"/>
      <c r="AZ1387" s="9"/>
      <c r="BA1387" s="9"/>
      <c r="BB1387" s="9"/>
      <c r="BC1387" s="9"/>
      <c r="BD1387" s="9"/>
      <c r="BE1387" s="9"/>
      <c r="BF1387" s="9"/>
      <c r="BG1387" s="9"/>
      <c r="BH1387" s="9"/>
      <c r="BI1387" s="9"/>
      <c r="BJ1387" s="9"/>
      <c r="BK1387" s="9"/>
      <c r="BL1387" s="9"/>
      <c r="BM1387" s="9"/>
      <c r="BN1387" s="9"/>
      <c r="BO1387" s="9"/>
      <c r="BP1387" s="9"/>
      <c r="BQ1387" s="9"/>
      <c r="BR1387" s="9"/>
      <c r="BS1387" s="9"/>
      <c r="BT1387" s="9"/>
      <c r="BU1387" s="9"/>
      <c r="BV1387" s="9"/>
      <c r="BW1387" s="9"/>
    </row>
    <row r="1388" spans="1:75" x14ac:dyDescent="0.25">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c r="AR1388" s="9"/>
      <c r="AS1388" s="9"/>
      <c r="AT1388" s="9"/>
      <c r="AU1388" s="9"/>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row>
    <row r="1389" spans="1:75" x14ac:dyDescent="0.25">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c r="AR1389" s="9"/>
      <c r="AS1389" s="9"/>
      <c r="AT1389" s="9"/>
      <c r="AU1389" s="9"/>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row>
    <row r="1390" spans="1:75" x14ac:dyDescent="0.25">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c r="AS1390" s="9"/>
      <c r="AT1390" s="9"/>
      <c r="AU1390" s="9"/>
      <c r="AV1390" s="9"/>
      <c r="AW1390" s="9"/>
      <c r="AX1390" s="9"/>
      <c r="AY1390" s="9"/>
      <c r="AZ1390" s="9"/>
      <c r="BA1390" s="9"/>
      <c r="BB1390" s="9"/>
      <c r="BC1390" s="9"/>
      <c r="BD1390" s="9"/>
      <c r="BE1390" s="9"/>
      <c r="BF1390" s="9"/>
      <c r="BG1390" s="9"/>
      <c r="BH1390" s="9"/>
      <c r="BI1390" s="9"/>
      <c r="BJ1390" s="9"/>
      <c r="BK1390" s="9"/>
      <c r="BL1390" s="9"/>
      <c r="BM1390" s="9"/>
      <c r="BN1390" s="9"/>
      <c r="BO1390" s="9"/>
      <c r="BP1390" s="9"/>
      <c r="BQ1390" s="9"/>
      <c r="BR1390" s="9"/>
      <c r="BS1390" s="9"/>
      <c r="BT1390" s="9"/>
      <c r="BU1390" s="9"/>
      <c r="BV1390" s="9"/>
      <c r="BW1390" s="9"/>
    </row>
    <row r="1391" spans="1:75" x14ac:dyDescent="0.25">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c r="AS1391" s="9"/>
      <c r="AT1391" s="9"/>
      <c r="AU1391" s="9"/>
      <c r="AV1391" s="9"/>
      <c r="AW1391" s="9"/>
      <c r="AX1391" s="9"/>
      <c r="AY1391" s="9"/>
      <c r="AZ1391" s="9"/>
      <c r="BA1391" s="9"/>
      <c r="BB1391" s="9"/>
      <c r="BC1391" s="9"/>
      <c r="BD1391" s="9"/>
      <c r="BE1391" s="9"/>
      <c r="BF1391" s="9"/>
      <c r="BG1391" s="9"/>
      <c r="BH1391" s="9"/>
      <c r="BI1391" s="9"/>
      <c r="BJ1391" s="9"/>
      <c r="BK1391" s="9"/>
      <c r="BL1391" s="9"/>
      <c r="BM1391" s="9"/>
      <c r="BN1391" s="9"/>
      <c r="BO1391" s="9"/>
      <c r="BP1391" s="9"/>
      <c r="BQ1391" s="9"/>
      <c r="BR1391" s="9"/>
      <c r="BS1391" s="9"/>
      <c r="BT1391" s="9"/>
      <c r="BU1391" s="9"/>
      <c r="BV1391" s="9"/>
      <c r="BW1391" s="9"/>
    </row>
    <row r="1392" spans="1:75" x14ac:dyDescent="0.25">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c r="AO1392" s="9"/>
      <c r="AP1392" s="9"/>
      <c r="AQ1392" s="9"/>
      <c r="AR1392" s="9"/>
      <c r="AS1392" s="9"/>
      <c r="AT1392" s="9"/>
      <c r="AU1392" s="9"/>
      <c r="AV1392" s="9"/>
      <c r="AW1392" s="9"/>
      <c r="AX1392" s="9"/>
      <c r="AY1392" s="9"/>
      <c r="AZ1392" s="9"/>
      <c r="BA1392" s="9"/>
      <c r="BB1392" s="9"/>
      <c r="BC1392" s="9"/>
      <c r="BD1392" s="9"/>
      <c r="BE1392" s="9"/>
      <c r="BF1392" s="9"/>
      <c r="BG1392" s="9"/>
      <c r="BH1392" s="9"/>
      <c r="BI1392" s="9"/>
      <c r="BJ1392" s="9"/>
      <c r="BK1392" s="9"/>
      <c r="BL1392" s="9"/>
      <c r="BM1392" s="9"/>
      <c r="BN1392" s="9"/>
      <c r="BO1392" s="9"/>
      <c r="BP1392" s="9"/>
      <c r="BQ1392" s="9"/>
      <c r="BR1392" s="9"/>
      <c r="BS1392" s="9"/>
      <c r="BT1392" s="9"/>
      <c r="BU1392" s="9"/>
      <c r="BV1392" s="9"/>
      <c r="BW1392" s="9"/>
    </row>
    <row r="1393" spans="1:75" x14ac:dyDescent="0.25">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c r="AR1393" s="9"/>
      <c r="AS1393" s="9"/>
      <c r="AT1393" s="9"/>
      <c r="AU1393" s="9"/>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row>
    <row r="1394" spans="1:75" x14ac:dyDescent="0.25">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c r="AS1394" s="9"/>
      <c r="AT1394" s="9"/>
      <c r="AU1394" s="9"/>
      <c r="AV1394" s="9"/>
      <c r="AW1394" s="9"/>
      <c r="AX1394" s="9"/>
      <c r="AY1394" s="9"/>
      <c r="AZ1394" s="9"/>
      <c r="BA1394" s="9"/>
      <c r="BB1394" s="9"/>
      <c r="BC1394" s="9"/>
      <c r="BD1394" s="9"/>
      <c r="BE1394" s="9"/>
      <c r="BF1394" s="9"/>
      <c r="BG1394" s="9"/>
      <c r="BH1394" s="9"/>
      <c r="BI1394" s="9"/>
      <c r="BJ1394" s="9"/>
      <c r="BK1394" s="9"/>
      <c r="BL1394" s="9"/>
      <c r="BM1394" s="9"/>
      <c r="BN1394" s="9"/>
      <c r="BO1394" s="9"/>
      <c r="BP1394" s="9"/>
      <c r="BQ1394" s="9"/>
      <c r="BR1394" s="9"/>
      <c r="BS1394" s="9"/>
      <c r="BT1394" s="9"/>
      <c r="BU1394" s="9"/>
      <c r="BV1394" s="9"/>
      <c r="BW1394" s="9"/>
    </row>
    <row r="1395" spans="1:75" x14ac:dyDescent="0.25">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c r="AR1395" s="9"/>
      <c r="AS1395" s="9"/>
      <c r="AT1395" s="9"/>
      <c r="AU1395" s="9"/>
      <c r="AV1395" s="9"/>
      <c r="AW1395" s="9"/>
      <c r="AX1395" s="9"/>
      <c r="AY1395" s="9"/>
      <c r="AZ1395" s="9"/>
      <c r="BA1395" s="9"/>
      <c r="BB1395" s="9"/>
      <c r="BC1395" s="9"/>
      <c r="BD1395" s="9"/>
      <c r="BE1395" s="9"/>
      <c r="BF1395" s="9"/>
      <c r="BG1395" s="9"/>
      <c r="BH1395" s="9"/>
      <c r="BI1395" s="9"/>
      <c r="BJ1395" s="9"/>
      <c r="BK1395" s="9"/>
      <c r="BL1395" s="9"/>
      <c r="BM1395" s="9"/>
      <c r="BN1395" s="9"/>
      <c r="BO1395" s="9"/>
      <c r="BP1395" s="9"/>
      <c r="BQ1395" s="9"/>
      <c r="BR1395" s="9"/>
      <c r="BS1395" s="9"/>
      <c r="BT1395" s="9"/>
      <c r="BU1395" s="9"/>
      <c r="BV1395" s="9"/>
      <c r="BW1395" s="9"/>
    </row>
    <row r="1396" spans="1:75" x14ac:dyDescent="0.25">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c r="AS1396" s="9"/>
      <c r="AT1396" s="9"/>
      <c r="AU1396" s="9"/>
      <c r="AV1396" s="9"/>
      <c r="AW1396" s="9"/>
      <c r="AX1396" s="9"/>
      <c r="AY1396" s="9"/>
      <c r="AZ1396" s="9"/>
      <c r="BA1396" s="9"/>
      <c r="BB1396" s="9"/>
      <c r="BC1396" s="9"/>
      <c r="BD1396" s="9"/>
      <c r="BE1396" s="9"/>
      <c r="BF1396" s="9"/>
      <c r="BG1396" s="9"/>
      <c r="BH1396" s="9"/>
      <c r="BI1396" s="9"/>
      <c r="BJ1396" s="9"/>
      <c r="BK1396" s="9"/>
      <c r="BL1396" s="9"/>
      <c r="BM1396" s="9"/>
      <c r="BN1396" s="9"/>
      <c r="BO1396" s="9"/>
      <c r="BP1396" s="9"/>
      <c r="BQ1396" s="9"/>
      <c r="BR1396" s="9"/>
      <c r="BS1396" s="9"/>
      <c r="BT1396" s="9"/>
      <c r="BU1396" s="9"/>
      <c r="BV1396" s="9"/>
      <c r="BW1396" s="9"/>
    </row>
    <row r="1397" spans="1:75" x14ac:dyDescent="0.25">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c r="AR1397" s="9"/>
      <c r="AS1397" s="9"/>
      <c r="AT1397" s="9"/>
      <c r="AU1397" s="9"/>
      <c r="AV1397" s="9"/>
      <c r="AW1397" s="9"/>
      <c r="AX1397" s="9"/>
      <c r="AY1397" s="9"/>
      <c r="AZ1397" s="9"/>
      <c r="BA1397" s="9"/>
      <c r="BB1397" s="9"/>
      <c r="BC1397" s="9"/>
      <c r="BD1397" s="9"/>
      <c r="BE1397" s="9"/>
      <c r="BF1397" s="9"/>
      <c r="BG1397" s="9"/>
      <c r="BH1397" s="9"/>
      <c r="BI1397" s="9"/>
      <c r="BJ1397" s="9"/>
      <c r="BK1397" s="9"/>
      <c r="BL1397" s="9"/>
      <c r="BM1397" s="9"/>
      <c r="BN1397" s="9"/>
      <c r="BO1397" s="9"/>
      <c r="BP1397" s="9"/>
      <c r="BQ1397" s="9"/>
      <c r="BR1397" s="9"/>
      <c r="BS1397" s="9"/>
      <c r="BT1397" s="9"/>
      <c r="BU1397" s="9"/>
      <c r="BV1397" s="9"/>
      <c r="BW1397" s="9"/>
    </row>
    <row r="1398" spans="1:75" x14ac:dyDescent="0.25">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c r="AS1398" s="9"/>
      <c r="AT1398" s="9"/>
      <c r="AU1398" s="9"/>
      <c r="AV1398" s="9"/>
      <c r="AW1398" s="9"/>
      <c r="AX1398" s="9"/>
      <c r="AY1398" s="9"/>
      <c r="AZ1398" s="9"/>
      <c r="BA1398" s="9"/>
      <c r="BB1398" s="9"/>
      <c r="BC1398" s="9"/>
      <c r="BD1398" s="9"/>
      <c r="BE1398" s="9"/>
      <c r="BF1398" s="9"/>
      <c r="BG1398" s="9"/>
      <c r="BH1398" s="9"/>
      <c r="BI1398" s="9"/>
      <c r="BJ1398" s="9"/>
      <c r="BK1398" s="9"/>
      <c r="BL1398" s="9"/>
      <c r="BM1398" s="9"/>
      <c r="BN1398" s="9"/>
      <c r="BO1398" s="9"/>
      <c r="BP1398" s="9"/>
      <c r="BQ1398" s="9"/>
      <c r="BR1398" s="9"/>
      <c r="BS1398" s="9"/>
      <c r="BT1398" s="9"/>
      <c r="BU1398" s="9"/>
      <c r="BV1398" s="9"/>
      <c r="BW1398" s="9"/>
    </row>
    <row r="1399" spans="1:75" x14ac:dyDescent="0.25">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c r="AR1399" s="9"/>
      <c r="AS1399" s="9"/>
      <c r="AT1399" s="9"/>
      <c r="AU1399" s="9"/>
      <c r="AV1399" s="9"/>
      <c r="AW1399" s="9"/>
      <c r="AX1399" s="9"/>
      <c r="AY1399" s="9"/>
      <c r="AZ1399" s="9"/>
      <c r="BA1399" s="9"/>
      <c r="BB1399" s="9"/>
      <c r="BC1399" s="9"/>
      <c r="BD1399" s="9"/>
      <c r="BE1399" s="9"/>
      <c r="BF1399" s="9"/>
      <c r="BG1399" s="9"/>
      <c r="BH1399" s="9"/>
      <c r="BI1399" s="9"/>
      <c r="BJ1399" s="9"/>
      <c r="BK1399" s="9"/>
      <c r="BL1399" s="9"/>
      <c r="BM1399" s="9"/>
      <c r="BN1399" s="9"/>
      <c r="BO1399" s="9"/>
      <c r="BP1399" s="9"/>
      <c r="BQ1399" s="9"/>
      <c r="BR1399" s="9"/>
      <c r="BS1399" s="9"/>
      <c r="BT1399" s="9"/>
      <c r="BU1399" s="9"/>
      <c r="BV1399" s="9"/>
      <c r="BW1399" s="9"/>
    </row>
    <row r="1400" spans="1:75" x14ac:dyDescent="0.25">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c r="AR1400" s="9"/>
      <c r="AS1400" s="9"/>
      <c r="AT1400" s="9"/>
      <c r="AU1400" s="9"/>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row>
    <row r="1401" spans="1:75" x14ac:dyDescent="0.25">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c r="AR1401" s="9"/>
      <c r="AS1401" s="9"/>
      <c r="AT1401" s="9"/>
      <c r="AU1401" s="9"/>
      <c r="AV1401" s="9"/>
      <c r="AW1401" s="9"/>
      <c r="AX1401" s="9"/>
      <c r="AY1401" s="9"/>
      <c r="AZ1401" s="9"/>
      <c r="BA1401" s="9"/>
      <c r="BB1401" s="9"/>
      <c r="BC1401" s="9"/>
      <c r="BD1401" s="9"/>
      <c r="BE1401" s="9"/>
      <c r="BF1401" s="9"/>
      <c r="BG1401" s="9"/>
      <c r="BH1401" s="9"/>
      <c r="BI1401" s="9"/>
      <c r="BJ1401" s="9"/>
      <c r="BK1401" s="9"/>
      <c r="BL1401" s="9"/>
      <c r="BM1401" s="9"/>
      <c r="BN1401" s="9"/>
      <c r="BO1401" s="9"/>
      <c r="BP1401" s="9"/>
      <c r="BQ1401" s="9"/>
      <c r="BR1401" s="9"/>
      <c r="BS1401" s="9"/>
      <c r="BT1401" s="9"/>
      <c r="BU1401" s="9"/>
      <c r="BV1401" s="9"/>
      <c r="BW1401" s="9"/>
    </row>
    <row r="1402" spans="1:75" x14ac:dyDescent="0.25">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c r="AO1402" s="9"/>
      <c r="AP1402" s="9"/>
      <c r="AQ1402" s="9"/>
      <c r="AR1402" s="9"/>
      <c r="AS1402" s="9"/>
      <c r="AT1402" s="9"/>
      <c r="AU1402" s="9"/>
      <c r="AV1402" s="9"/>
      <c r="AW1402" s="9"/>
      <c r="AX1402" s="9"/>
      <c r="AY1402" s="9"/>
      <c r="AZ1402" s="9"/>
      <c r="BA1402" s="9"/>
      <c r="BB1402" s="9"/>
      <c r="BC1402" s="9"/>
      <c r="BD1402" s="9"/>
      <c r="BE1402" s="9"/>
      <c r="BF1402" s="9"/>
      <c r="BG1402" s="9"/>
      <c r="BH1402" s="9"/>
      <c r="BI1402" s="9"/>
      <c r="BJ1402" s="9"/>
      <c r="BK1402" s="9"/>
      <c r="BL1402" s="9"/>
      <c r="BM1402" s="9"/>
      <c r="BN1402" s="9"/>
      <c r="BO1402" s="9"/>
      <c r="BP1402" s="9"/>
      <c r="BQ1402" s="9"/>
      <c r="BR1402" s="9"/>
      <c r="BS1402" s="9"/>
      <c r="BT1402" s="9"/>
      <c r="BU1402" s="9"/>
      <c r="BV1402" s="9"/>
      <c r="BW1402" s="9"/>
    </row>
    <row r="1403" spans="1:75" x14ac:dyDescent="0.25">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c r="AS1403" s="9"/>
      <c r="AT1403" s="9"/>
      <c r="AU1403" s="9"/>
      <c r="AV1403" s="9"/>
      <c r="AW1403" s="9"/>
      <c r="AX1403" s="9"/>
      <c r="AY1403" s="9"/>
      <c r="AZ1403" s="9"/>
      <c r="BA1403" s="9"/>
      <c r="BB1403" s="9"/>
      <c r="BC1403" s="9"/>
      <c r="BD1403" s="9"/>
      <c r="BE1403" s="9"/>
      <c r="BF1403" s="9"/>
      <c r="BG1403" s="9"/>
      <c r="BH1403" s="9"/>
      <c r="BI1403" s="9"/>
      <c r="BJ1403" s="9"/>
      <c r="BK1403" s="9"/>
      <c r="BL1403" s="9"/>
      <c r="BM1403" s="9"/>
      <c r="BN1403" s="9"/>
      <c r="BO1403" s="9"/>
      <c r="BP1403" s="9"/>
      <c r="BQ1403" s="9"/>
      <c r="BR1403" s="9"/>
      <c r="BS1403" s="9"/>
      <c r="BT1403" s="9"/>
      <c r="BU1403" s="9"/>
      <c r="BV1403" s="9"/>
      <c r="BW1403" s="9"/>
    </row>
    <row r="1404" spans="1:75" x14ac:dyDescent="0.25">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c r="AS1404" s="9"/>
      <c r="AT1404" s="9"/>
      <c r="AU1404" s="9"/>
      <c r="AV1404" s="9"/>
      <c r="AW1404" s="9"/>
      <c r="AX1404" s="9"/>
      <c r="AY1404" s="9"/>
      <c r="AZ1404" s="9"/>
      <c r="BA1404" s="9"/>
      <c r="BB1404" s="9"/>
      <c r="BC1404" s="9"/>
      <c r="BD1404" s="9"/>
      <c r="BE1404" s="9"/>
      <c r="BF1404" s="9"/>
      <c r="BG1404" s="9"/>
      <c r="BH1404" s="9"/>
      <c r="BI1404" s="9"/>
      <c r="BJ1404" s="9"/>
      <c r="BK1404" s="9"/>
      <c r="BL1404" s="9"/>
      <c r="BM1404" s="9"/>
      <c r="BN1404" s="9"/>
      <c r="BO1404" s="9"/>
      <c r="BP1404" s="9"/>
      <c r="BQ1404" s="9"/>
      <c r="BR1404" s="9"/>
      <c r="BS1404" s="9"/>
      <c r="BT1404" s="9"/>
      <c r="BU1404" s="9"/>
      <c r="BV1404" s="9"/>
      <c r="BW1404" s="9"/>
    </row>
    <row r="1405" spans="1:75" x14ac:dyDescent="0.25">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c r="AO1405" s="9"/>
      <c r="AP1405" s="9"/>
      <c r="AQ1405" s="9"/>
      <c r="AR1405" s="9"/>
      <c r="AS1405" s="9"/>
      <c r="AT1405" s="9"/>
      <c r="AU1405" s="9"/>
      <c r="AV1405" s="9"/>
      <c r="AW1405" s="9"/>
      <c r="AX1405" s="9"/>
      <c r="AY1405" s="9"/>
      <c r="AZ1405" s="9"/>
      <c r="BA1405" s="9"/>
      <c r="BB1405" s="9"/>
      <c r="BC1405" s="9"/>
      <c r="BD1405" s="9"/>
      <c r="BE1405" s="9"/>
      <c r="BF1405" s="9"/>
      <c r="BG1405" s="9"/>
      <c r="BH1405" s="9"/>
      <c r="BI1405" s="9"/>
      <c r="BJ1405" s="9"/>
      <c r="BK1405" s="9"/>
      <c r="BL1405" s="9"/>
      <c r="BM1405" s="9"/>
      <c r="BN1405" s="9"/>
      <c r="BO1405" s="9"/>
      <c r="BP1405" s="9"/>
      <c r="BQ1405" s="9"/>
      <c r="BR1405" s="9"/>
      <c r="BS1405" s="9"/>
      <c r="BT1405" s="9"/>
      <c r="BU1405" s="9"/>
      <c r="BV1405" s="9"/>
      <c r="BW1405" s="9"/>
    </row>
    <row r="1406" spans="1:75" x14ac:dyDescent="0.25">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c r="AR1406" s="9"/>
      <c r="AS1406" s="9"/>
      <c r="AT1406" s="9"/>
      <c r="AU1406" s="9"/>
      <c r="AV1406" s="9"/>
      <c r="AW1406" s="9"/>
      <c r="AX1406" s="9"/>
      <c r="AY1406" s="9"/>
      <c r="AZ1406" s="9"/>
      <c r="BA1406" s="9"/>
      <c r="BB1406" s="9"/>
      <c r="BC1406" s="9"/>
      <c r="BD1406" s="9"/>
      <c r="BE1406" s="9"/>
      <c r="BF1406" s="9"/>
      <c r="BG1406" s="9"/>
      <c r="BH1406" s="9"/>
      <c r="BI1406" s="9"/>
      <c r="BJ1406" s="9"/>
      <c r="BK1406" s="9"/>
      <c r="BL1406" s="9"/>
      <c r="BM1406" s="9"/>
      <c r="BN1406" s="9"/>
      <c r="BO1406" s="9"/>
      <c r="BP1406" s="9"/>
      <c r="BQ1406" s="9"/>
      <c r="BR1406" s="9"/>
      <c r="BS1406" s="9"/>
      <c r="BT1406" s="9"/>
      <c r="BU1406" s="9"/>
      <c r="BV1406" s="9"/>
      <c r="BW1406" s="9"/>
    </row>
    <row r="1407" spans="1:75" x14ac:dyDescent="0.25">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c r="AO1407" s="9"/>
      <c r="AP1407" s="9"/>
      <c r="AQ1407" s="9"/>
      <c r="AR1407" s="9"/>
      <c r="AS1407" s="9"/>
      <c r="AT1407" s="9"/>
      <c r="AU1407" s="9"/>
      <c r="AV1407" s="9"/>
      <c r="AW1407" s="9"/>
      <c r="AX1407" s="9"/>
      <c r="AY1407" s="9"/>
      <c r="AZ1407" s="9"/>
      <c r="BA1407" s="9"/>
      <c r="BB1407" s="9"/>
      <c r="BC1407" s="9"/>
      <c r="BD1407" s="9"/>
      <c r="BE1407" s="9"/>
      <c r="BF1407" s="9"/>
      <c r="BG1407" s="9"/>
      <c r="BH1407" s="9"/>
      <c r="BI1407" s="9"/>
      <c r="BJ1407" s="9"/>
      <c r="BK1407" s="9"/>
      <c r="BL1407" s="9"/>
      <c r="BM1407" s="9"/>
      <c r="BN1407" s="9"/>
      <c r="BO1407" s="9"/>
      <c r="BP1407" s="9"/>
      <c r="BQ1407" s="9"/>
      <c r="BR1407" s="9"/>
      <c r="BS1407" s="9"/>
      <c r="BT1407" s="9"/>
      <c r="BU1407" s="9"/>
      <c r="BV1407" s="9"/>
      <c r="BW1407" s="9"/>
    </row>
    <row r="1408" spans="1:75" x14ac:dyDescent="0.25">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c r="AR1408" s="9"/>
      <c r="AS1408" s="9"/>
      <c r="AT1408" s="9"/>
      <c r="AU1408" s="9"/>
      <c r="AV1408" s="9"/>
      <c r="AW1408" s="9"/>
      <c r="AX1408" s="9"/>
      <c r="AY1408" s="9"/>
      <c r="AZ1408" s="9"/>
      <c r="BA1408" s="9"/>
      <c r="BB1408" s="9"/>
      <c r="BC1408" s="9"/>
      <c r="BD1408" s="9"/>
      <c r="BE1408" s="9"/>
      <c r="BF1408" s="9"/>
      <c r="BG1408" s="9"/>
      <c r="BH1408" s="9"/>
      <c r="BI1408" s="9"/>
      <c r="BJ1408" s="9"/>
      <c r="BK1408" s="9"/>
      <c r="BL1408" s="9"/>
      <c r="BM1408" s="9"/>
      <c r="BN1408" s="9"/>
      <c r="BO1408" s="9"/>
      <c r="BP1408" s="9"/>
      <c r="BQ1408" s="9"/>
      <c r="BR1408" s="9"/>
      <c r="BS1408" s="9"/>
      <c r="BT1408" s="9"/>
      <c r="BU1408" s="9"/>
      <c r="BV1408" s="9"/>
      <c r="BW1408" s="9"/>
    </row>
    <row r="1409" spans="1:75" x14ac:dyDescent="0.25">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c r="AO1409" s="9"/>
      <c r="AP1409" s="9"/>
      <c r="AQ1409" s="9"/>
      <c r="AR1409" s="9"/>
      <c r="AS1409" s="9"/>
      <c r="AT1409" s="9"/>
      <c r="AU1409" s="9"/>
      <c r="AV1409" s="9"/>
      <c r="AW1409" s="9"/>
      <c r="AX1409" s="9"/>
      <c r="AY1409" s="9"/>
      <c r="AZ1409" s="9"/>
      <c r="BA1409" s="9"/>
      <c r="BB1409" s="9"/>
      <c r="BC1409" s="9"/>
      <c r="BD1409" s="9"/>
      <c r="BE1409" s="9"/>
      <c r="BF1409" s="9"/>
      <c r="BG1409" s="9"/>
      <c r="BH1409" s="9"/>
      <c r="BI1409" s="9"/>
      <c r="BJ1409" s="9"/>
      <c r="BK1409" s="9"/>
      <c r="BL1409" s="9"/>
      <c r="BM1409" s="9"/>
      <c r="BN1409" s="9"/>
      <c r="BO1409" s="9"/>
      <c r="BP1409" s="9"/>
      <c r="BQ1409" s="9"/>
      <c r="BR1409" s="9"/>
      <c r="BS1409" s="9"/>
      <c r="BT1409" s="9"/>
      <c r="BU1409" s="9"/>
      <c r="BV1409" s="9"/>
      <c r="BW1409" s="9"/>
    </row>
    <row r="1410" spans="1:75" x14ac:dyDescent="0.25">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c r="AR1410" s="9"/>
      <c r="AS1410" s="9"/>
      <c r="AT1410" s="9"/>
      <c r="AU1410" s="9"/>
      <c r="AV1410" s="9"/>
      <c r="AW1410" s="9"/>
      <c r="AX1410" s="9"/>
      <c r="AY1410" s="9"/>
      <c r="AZ1410" s="9"/>
      <c r="BA1410" s="9"/>
      <c r="BB1410" s="9"/>
      <c r="BC1410" s="9"/>
      <c r="BD1410" s="9"/>
      <c r="BE1410" s="9"/>
      <c r="BF1410" s="9"/>
      <c r="BG1410" s="9"/>
      <c r="BH1410" s="9"/>
      <c r="BI1410" s="9"/>
      <c r="BJ1410" s="9"/>
      <c r="BK1410" s="9"/>
      <c r="BL1410" s="9"/>
      <c r="BM1410" s="9"/>
      <c r="BN1410" s="9"/>
      <c r="BO1410" s="9"/>
      <c r="BP1410" s="9"/>
      <c r="BQ1410" s="9"/>
      <c r="BR1410" s="9"/>
      <c r="BS1410" s="9"/>
      <c r="BT1410" s="9"/>
      <c r="BU1410" s="9"/>
      <c r="BV1410" s="9"/>
      <c r="BW1410" s="9"/>
    </row>
    <row r="1411" spans="1:75" x14ac:dyDescent="0.25">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c r="AO1411" s="9"/>
      <c r="AP1411" s="9"/>
      <c r="AQ1411" s="9"/>
      <c r="AR1411" s="9"/>
      <c r="AS1411" s="9"/>
      <c r="AT1411" s="9"/>
      <c r="AU1411" s="9"/>
      <c r="AV1411" s="9"/>
      <c r="AW1411" s="9"/>
      <c r="AX1411" s="9"/>
      <c r="AY1411" s="9"/>
      <c r="AZ1411" s="9"/>
      <c r="BA1411" s="9"/>
      <c r="BB1411" s="9"/>
      <c r="BC1411" s="9"/>
      <c r="BD1411" s="9"/>
      <c r="BE1411" s="9"/>
      <c r="BF1411" s="9"/>
      <c r="BG1411" s="9"/>
      <c r="BH1411" s="9"/>
      <c r="BI1411" s="9"/>
      <c r="BJ1411" s="9"/>
      <c r="BK1411" s="9"/>
      <c r="BL1411" s="9"/>
      <c r="BM1411" s="9"/>
      <c r="BN1411" s="9"/>
      <c r="BO1411" s="9"/>
      <c r="BP1411" s="9"/>
      <c r="BQ1411" s="9"/>
      <c r="BR1411" s="9"/>
      <c r="BS1411" s="9"/>
      <c r="BT1411" s="9"/>
      <c r="BU1411" s="9"/>
      <c r="BV1411" s="9"/>
      <c r="BW1411" s="9"/>
    </row>
    <row r="1412" spans="1:75" x14ac:dyDescent="0.25">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c r="AR1412" s="9"/>
      <c r="AS1412" s="9"/>
      <c r="AT1412" s="9"/>
      <c r="AU1412" s="9"/>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row>
    <row r="1413" spans="1:75" x14ac:dyDescent="0.25">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c r="AS1413" s="9"/>
      <c r="AT1413" s="9"/>
      <c r="AU1413" s="9"/>
      <c r="AV1413" s="9"/>
      <c r="AW1413" s="9"/>
      <c r="AX1413" s="9"/>
      <c r="AY1413" s="9"/>
      <c r="AZ1413" s="9"/>
      <c r="BA1413" s="9"/>
      <c r="BB1413" s="9"/>
      <c r="BC1413" s="9"/>
      <c r="BD1413" s="9"/>
      <c r="BE1413" s="9"/>
      <c r="BF1413" s="9"/>
      <c r="BG1413" s="9"/>
      <c r="BH1413" s="9"/>
      <c r="BI1413" s="9"/>
      <c r="BJ1413" s="9"/>
      <c r="BK1413" s="9"/>
      <c r="BL1413" s="9"/>
      <c r="BM1413" s="9"/>
      <c r="BN1413" s="9"/>
      <c r="BO1413" s="9"/>
      <c r="BP1413" s="9"/>
      <c r="BQ1413" s="9"/>
      <c r="BR1413" s="9"/>
      <c r="BS1413" s="9"/>
      <c r="BT1413" s="9"/>
      <c r="BU1413" s="9"/>
      <c r="BV1413" s="9"/>
      <c r="BW1413" s="9"/>
    </row>
    <row r="1414" spans="1:75" x14ac:dyDescent="0.25">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c r="AR1414" s="9"/>
      <c r="AS1414" s="9"/>
      <c r="AT1414" s="9"/>
      <c r="AU1414" s="9"/>
      <c r="AV1414" s="9"/>
      <c r="AW1414" s="9"/>
      <c r="AX1414" s="9"/>
      <c r="AY1414" s="9"/>
      <c r="AZ1414" s="9"/>
      <c r="BA1414" s="9"/>
      <c r="BB1414" s="9"/>
      <c r="BC1414" s="9"/>
      <c r="BD1414" s="9"/>
      <c r="BE1414" s="9"/>
      <c r="BF1414" s="9"/>
      <c r="BG1414" s="9"/>
      <c r="BH1414" s="9"/>
      <c r="BI1414" s="9"/>
      <c r="BJ1414" s="9"/>
      <c r="BK1414" s="9"/>
      <c r="BL1414" s="9"/>
      <c r="BM1414" s="9"/>
      <c r="BN1414" s="9"/>
      <c r="BO1414" s="9"/>
      <c r="BP1414" s="9"/>
      <c r="BQ1414" s="9"/>
      <c r="BR1414" s="9"/>
      <c r="BS1414" s="9"/>
      <c r="BT1414" s="9"/>
      <c r="BU1414" s="9"/>
      <c r="BV1414" s="9"/>
      <c r="BW1414" s="9"/>
    </row>
    <row r="1415" spans="1:75" x14ac:dyDescent="0.25">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c r="AO1415" s="9"/>
      <c r="AP1415" s="9"/>
      <c r="AQ1415" s="9"/>
      <c r="AR1415" s="9"/>
      <c r="AS1415" s="9"/>
      <c r="AT1415" s="9"/>
      <c r="AU1415" s="9"/>
      <c r="AV1415" s="9"/>
      <c r="AW1415" s="9"/>
      <c r="AX1415" s="9"/>
      <c r="AY1415" s="9"/>
      <c r="AZ1415" s="9"/>
      <c r="BA1415" s="9"/>
      <c r="BB1415" s="9"/>
      <c r="BC1415" s="9"/>
      <c r="BD1415" s="9"/>
      <c r="BE1415" s="9"/>
      <c r="BF1415" s="9"/>
      <c r="BG1415" s="9"/>
      <c r="BH1415" s="9"/>
      <c r="BI1415" s="9"/>
      <c r="BJ1415" s="9"/>
      <c r="BK1415" s="9"/>
      <c r="BL1415" s="9"/>
      <c r="BM1415" s="9"/>
      <c r="BN1415" s="9"/>
      <c r="BO1415" s="9"/>
      <c r="BP1415" s="9"/>
      <c r="BQ1415" s="9"/>
      <c r="BR1415" s="9"/>
      <c r="BS1415" s="9"/>
      <c r="BT1415" s="9"/>
      <c r="BU1415" s="9"/>
      <c r="BV1415" s="9"/>
      <c r="BW1415" s="9"/>
    </row>
    <row r="1416" spans="1:75" x14ac:dyDescent="0.25">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c r="AO1416" s="9"/>
      <c r="AP1416" s="9"/>
      <c r="AQ1416" s="9"/>
      <c r="AR1416" s="9"/>
      <c r="AS1416" s="9"/>
      <c r="AT1416" s="9"/>
      <c r="AU1416" s="9"/>
      <c r="AV1416" s="9"/>
      <c r="AW1416" s="9"/>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9"/>
    </row>
    <row r="1417" spans="1:75" x14ac:dyDescent="0.25">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c r="AR1417" s="9"/>
      <c r="AS1417" s="9"/>
      <c r="AT1417" s="9"/>
      <c r="AU1417" s="9"/>
      <c r="AV1417" s="9"/>
      <c r="AW1417" s="9"/>
      <c r="AX1417" s="9"/>
      <c r="AY1417" s="9"/>
      <c r="AZ1417" s="9"/>
      <c r="BA1417" s="9"/>
      <c r="BB1417" s="9"/>
      <c r="BC1417" s="9"/>
      <c r="BD1417" s="9"/>
      <c r="BE1417" s="9"/>
      <c r="BF1417" s="9"/>
      <c r="BG1417" s="9"/>
      <c r="BH1417" s="9"/>
      <c r="BI1417" s="9"/>
      <c r="BJ1417" s="9"/>
      <c r="BK1417" s="9"/>
      <c r="BL1417" s="9"/>
      <c r="BM1417" s="9"/>
      <c r="BN1417" s="9"/>
      <c r="BO1417" s="9"/>
      <c r="BP1417" s="9"/>
      <c r="BQ1417" s="9"/>
      <c r="BR1417" s="9"/>
      <c r="BS1417" s="9"/>
      <c r="BT1417" s="9"/>
      <c r="BU1417" s="9"/>
      <c r="BV1417" s="9"/>
      <c r="BW1417" s="9"/>
    </row>
    <row r="1418" spans="1:75" x14ac:dyDescent="0.25">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c r="AO1418" s="9"/>
      <c r="AP1418" s="9"/>
      <c r="AQ1418" s="9"/>
      <c r="AR1418" s="9"/>
      <c r="AS1418" s="9"/>
      <c r="AT1418" s="9"/>
      <c r="AU1418" s="9"/>
      <c r="AV1418" s="9"/>
      <c r="AW1418" s="9"/>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9"/>
    </row>
    <row r="1419" spans="1:75" x14ac:dyDescent="0.25">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c r="AO1419" s="9"/>
      <c r="AP1419" s="9"/>
      <c r="AQ1419" s="9"/>
      <c r="AR1419" s="9"/>
      <c r="AS1419" s="9"/>
      <c r="AT1419" s="9"/>
      <c r="AU1419" s="9"/>
      <c r="AV1419" s="9"/>
      <c r="AW1419" s="9"/>
      <c r="AX1419" s="9"/>
      <c r="AY1419" s="9"/>
      <c r="AZ1419" s="9"/>
      <c r="BA1419" s="9"/>
      <c r="BB1419" s="9"/>
      <c r="BC1419" s="9"/>
      <c r="BD1419" s="9"/>
      <c r="BE1419" s="9"/>
      <c r="BF1419" s="9"/>
      <c r="BG1419" s="9"/>
      <c r="BH1419" s="9"/>
      <c r="BI1419" s="9"/>
      <c r="BJ1419" s="9"/>
      <c r="BK1419" s="9"/>
      <c r="BL1419" s="9"/>
      <c r="BM1419" s="9"/>
      <c r="BN1419" s="9"/>
      <c r="BO1419" s="9"/>
      <c r="BP1419" s="9"/>
      <c r="BQ1419" s="9"/>
      <c r="BR1419" s="9"/>
      <c r="BS1419" s="9"/>
      <c r="BT1419" s="9"/>
      <c r="BU1419" s="9"/>
      <c r="BV1419" s="9"/>
      <c r="BW1419" s="9"/>
    </row>
    <row r="1420" spans="1:75" x14ac:dyDescent="0.25">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c r="AR1420" s="9"/>
      <c r="AS1420" s="9"/>
      <c r="AT1420" s="9"/>
      <c r="AU1420" s="9"/>
      <c r="AV1420" s="9"/>
      <c r="AW1420" s="9"/>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9"/>
    </row>
    <row r="1421" spans="1:75" x14ac:dyDescent="0.25">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c r="AS1421" s="9"/>
      <c r="AT1421" s="9"/>
      <c r="AU1421" s="9"/>
      <c r="AV1421" s="9"/>
      <c r="AW1421" s="9"/>
      <c r="AX1421" s="9"/>
      <c r="AY1421" s="9"/>
      <c r="AZ1421" s="9"/>
      <c r="BA1421" s="9"/>
      <c r="BB1421" s="9"/>
      <c r="BC1421" s="9"/>
      <c r="BD1421" s="9"/>
      <c r="BE1421" s="9"/>
      <c r="BF1421" s="9"/>
      <c r="BG1421" s="9"/>
      <c r="BH1421" s="9"/>
      <c r="BI1421" s="9"/>
      <c r="BJ1421" s="9"/>
      <c r="BK1421" s="9"/>
      <c r="BL1421" s="9"/>
      <c r="BM1421" s="9"/>
      <c r="BN1421" s="9"/>
      <c r="BO1421" s="9"/>
      <c r="BP1421" s="9"/>
      <c r="BQ1421" s="9"/>
      <c r="BR1421" s="9"/>
      <c r="BS1421" s="9"/>
      <c r="BT1421" s="9"/>
      <c r="BU1421" s="9"/>
      <c r="BV1421" s="9"/>
      <c r="BW1421" s="9"/>
    </row>
    <row r="1422" spans="1:75" x14ac:dyDescent="0.25">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row>
    <row r="1423" spans="1:75" x14ac:dyDescent="0.25">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c r="AS1423" s="9"/>
      <c r="AT1423" s="9"/>
      <c r="AU1423" s="9"/>
      <c r="AV1423" s="9"/>
      <c r="AW1423" s="9"/>
      <c r="AX1423" s="9"/>
      <c r="AY1423" s="9"/>
      <c r="AZ1423" s="9"/>
      <c r="BA1423" s="9"/>
      <c r="BB1423" s="9"/>
      <c r="BC1423" s="9"/>
      <c r="BD1423" s="9"/>
      <c r="BE1423" s="9"/>
      <c r="BF1423" s="9"/>
      <c r="BG1423" s="9"/>
      <c r="BH1423" s="9"/>
      <c r="BI1423" s="9"/>
      <c r="BJ1423" s="9"/>
      <c r="BK1423" s="9"/>
      <c r="BL1423" s="9"/>
      <c r="BM1423" s="9"/>
      <c r="BN1423" s="9"/>
      <c r="BO1423" s="9"/>
      <c r="BP1423" s="9"/>
      <c r="BQ1423" s="9"/>
      <c r="BR1423" s="9"/>
      <c r="BS1423" s="9"/>
      <c r="BT1423" s="9"/>
      <c r="BU1423" s="9"/>
      <c r="BV1423" s="9"/>
      <c r="BW1423" s="9"/>
    </row>
    <row r="1424" spans="1:75" x14ac:dyDescent="0.25">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c r="AO1424" s="9"/>
      <c r="AP1424" s="9"/>
      <c r="AQ1424" s="9"/>
      <c r="AR1424" s="9"/>
      <c r="AS1424" s="9"/>
      <c r="AT1424" s="9"/>
      <c r="AU1424" s="9"/>
      <c r="AV1424" s="9"/>
      <c r="AW1424" s="9"/>
      <c r="AX1424" s="9"/>
      <c r="AY1424" s="9"/>
      <c r="AZ1424" s="9"/>
      <c r="BA1424" s="9"/>
      <c r="BB1424" s="9"/>
      <c r="BC1424" s="9"/>
      <c r="BD1424" s="9"/>
      <c r="BE1424" s="9"/>
      <c r="BF1424" s="9"/>
      <c r="BG1424" s="9"/>
      <c r="BH1424" s="9"/>
      <c r="BI1424" s="9"/>
      <c r="BJ1424" s="9"/>
      <c r="BK1424" s="9"/>
      <c r="BL1424" s="9"/>
      <c r="BM1424" s="9"/>
      <c r="BN1424" s="9"/>
      <c r="BO1424" s="9"/>
      <c r="BP1424" s="9"/>
      <c r="BQ1424" s="9"/>
      <c r="BR1424" s="9"/>
      <c r="BS1424" s="9"/>
      <c r="BT1424" s="9"/>
      <c r="BU1424" s="9"/>
      <c r="BV1424" s="9"/>
      <c r="BW1424" s="9"/>
    </row>
    <row r="1425" spans="1:75" x14ac:dyDescent="0.25">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c r="AO1425" s="9"/>
      <c r="AP1425" s="9"/>
      <c r="AQ1425" s="9"/>
      <c r="AR1425" s="9"/>
      <c r="AS1425" s="9"/>
      <c r="AT1425" s="9"/>
      <c r="AU1425" s="9"/>
      <c r="AV1425" s="9"/>
      <c r="AW1425" s="9"/>
      <c r="AX1425" s="9"/>
      <c r="AY1425" s="9"/>
      <c r="AZ1425" s="9"/>
      <c r="BA1425" s="9"/>
      <c r="BB1425" s="9"/>
      <c r="BC1425" s="9"/>
      <c r="BD1425" s="9"/>
      <c r="BE1425" s="9"/>
      <c r="BF1425" s="9"/>
      <c r="BG1425" s="9"/>
      <c r="BH1425" s="9"/>
      <c r="BI1425" s="9"/>
      <c r="BJ1425" s="9"/>
      <c r="BK1425" s="9"/>
      <c r="BL1425" s="9"/>
      <c r="BM1425" s="9"/>
      <c r="BN1425" s="9"/>
      <c r="BO1425" s="9"/>
      <c r="BP1425" s="9"/>
      <c r="BQ1425" s="9"/>
      <c r="BR1425" s="9"/>
      <c r="BS1425" s="9"/>
      <c r="BT1425" s="9"/>
      <c r="BU1425" s="9"/>
      <c r="BV1425" s="9"/>
      <c r="BW1425" s="9"/>
    </row>
    <row r="1426" spans="1:75" x14ac:dyDescent="0.25">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c r="AR1426" s="9"/>
      <c r="AS1426" s="9"/>
      <c r="AT1426" s="9"/>
      <c r="AU1426" s="9"/>
      <c r="AV1426" s="9"/>
      <c r="AW1426" s="9"/>
      <c r="AX1426" s="9"/>
      <c r="AY1426" s="9"/>
      <c r="AZ1426" s="9"/>
      <c r="BA1426" s="9"/>
      <c r="BB1426" s="9"/>
      <c r="BC1426" s="9"/>
      <c r="BD1426" s="9"/>
      <c r="BE1426" s="9"/>
      <c r="BF1426" s="9"/>
      <c r="BG1426" s="9"/>
      <c r="BH1426" s="9"/>
      <c r="BI1426" s="9"/>
      <c r="BJ1426" s="9"/>
      <c r="BK1426" s="9"/>
      <c r="BL1426" s="9"/>
      <c r="BM1426" s="9"/>
      <c r="BN1426" s="9"/>
      <c r="BO1426" s="9"/>
      <c r="BP1426" s="9"/>
      <c r="BQ1426" s="9"/>
      <c r="BR1426" s="9"/>
      <c r="BS1426" s="9"/>
      <c r="BT1426" s="9"/>
      <c r="BU1426" s="9"/>
      <c r="BV1426" s="9"/>
      <c r="BW1426" s="9"/>
    </row>
    <row r="1427" spans="1:75" x14ac:dyDescent="0.25">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c r="AO1427" s="9"/>
      <c r="AP1427" s="9"/>
      <c r="AQ1427" s="9"/>
      <c r="AR1427" s="9"/>
      <c r="AS1427" s="9"/>
      <c r="AT1427" s="9"/>
      <c r="AU1427" s="9"/>
      <c r="AV1427" s="9"/>
      <c r="AW1427" s="9"/>
      <c r="AX1427" s="9"/>
      <c r="AY1427" s="9"/>
      <c r="AZ1427" s="9"/>
      <c r="BA1427" s="9"/>
      <c r="BB1427" s="9"/>
      <c r="BC1427" s="9"/>
      <c r="BD1427" s="9"/>
      <c r="BE1427" s="9"/>
      <c r="BF1427" s="9"/>
      <c r="BG1427" s="9"/>
      <c r="BH1427" s="9"/>
      <c r="BI1427" s="9"/>
      <c r="BJ1427" s="9"/>
      <c r="BK1427" s="9"/>
      <c r="BL1427" s="9"/>
      <c r="BM1427" s="9"/>
      <c r="BN1427" s="9"/>
      <c r="BO1427" s="9"/>
      <c r="BP1427" s="9"/>
      <c r="BQ1427" s="9"/>
      <c r="BR1427" s="9"/>
      <c r="BS1427" s="9"/>
      <c r="BT1427" s="9"/>
      <c r="BU1427" s="9"/>
      <c r="BV1427" s="9"/>
      <c r="BW1427" s="9"/>
    </row>
    <row r="1428" spans="1:75" x14ac:dyDescent="0.25">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c r="AO1428" s="9"/>
      <c r="AP1428" s="9"/>
      <c r="AQ1428" s="9"/>
      <c r="AR1428" s="9"/>
      <c r="AS1428" s="9"/>
      <c r="AT1428" s="9"/>
      <c r="AU1428" s="9"/>
      <c r="AV1428" s="9"/>
      <c r="AW1428" s="9"/>
      <c r="AX1428" s="9"/>
      <c r="AY1428" s="9"/>
      <c r="AZ1428" s="9"/>
      <c r="BA1428" s="9"/>
      <c r="BB1428" s="9"/>
      <c r="BC1428" s="9"/>
      <c r="BD1428" s="9"/>
      <c r="BE1428" s="9"/>
      <c r="BF1428" s="9"/>
      <c r="BG1428" s="9"/>
      <c r="BH1428" s="9"/>
      <c r="BI1428" s="9"/>
      <c r="BJ1428" s="9"/>
      <c r="BK1428" s="9"/>
      <c r="BL1428" s="9"/>
      <c r="BM1428" s="9"/>
      <c r="BN1428" s="9"/>
      <c r="BO1428" s="9"/>
      <c r="BP1428" s="9"/>
      <c r="BQ1428" s="9"/>
      <c r="BR1428" s="9"/>
      <c r="BS1428" s="9"/>
      <c r="BT1428" s="9"/>
      <c r="BU1428" s="9"/>
      <c r="BV1428" s="9"/>
      <c r="BW1428" s="9"/>
    </row>
    <row r="1429" spans="1:75" x14ac:dyDescent="0.25">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c r="AO1429" s="9"/>
      <c r="AP1429" s="9"/>
      <c r="AQ1429" s="9"/>
      <c r="AR1429" s="9"/>
      <c r="AS1429" s="9"/>
      <c r="AT1429" s="9"/>
      <c r="AU1429" s="9"/>
      <c r="AV1429" s="9"/>
      <c r="AW1429" s="9"/>
      <c r="AX1429" s="9"/>
      <c r="AY1429" s="9"/>
      <c r="AZ1429" s="9"/>
      <c r="BA1429" s="9"/>
      <c r="BB1429" s="9"/>
      <c r="BC1429" s="9"/>
      <c r="BD1429" s="9"/>
      <c r="BE1429" s="9"/>
      <c r="BF1429" s="9"/>
      <c r="BG1429" s="9"/>
      <c r="BH1429" s="9"/>
      <c r="BI1429" s="9"/>
      <c r="BJ1429" s="9"/>
      <c r="BK1429" s="9"/>
      <c r="BL1429" s="9"/>
      <c r="BM1429" s="9"/>
      <c r="BN1429" s="9"/>
      <c r="BO1429" s="9"/>
      <c r="BP1429" s="9"/>
      <c r="BQ1429" s="9"/>
      <c r="BR1429" s="9"/>
      <c r="BS1429" s="9"/>
      <c r="BT1429" s="9"/>
      <c r="BU1429" s="9"/>
      <c r="BV1429" s="9"/>
      <c r="BW1429" s="9"/>
    </row>
    <row r="1430" spans="1:75" x14ac:dyDescent="0.25">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c r="AR1430" s="9"/>
      <c r="AS1430" s="9"/>
      <c r="AT1430" s="9"/>
      <c r="AU1430" s="9"/>
      <c r="AV1430" s="9"/>
      <c r="AW1430" s="9"/>
      <c r="AX1430" s="9"/>
      <c r="AY1430" s="9"/>
      <c r="AZ1430" s="9"/>
      <c r="BA1430" s="9"/>
      <c r="BB1430" s="9"/>
      <c r="BC1430" s="9"/>
      <c r="BD1430" s="9"/>
      <c r="BE1430" s="9"/>
      <c r="BF1430" s="9"/>
      <c r="BG1430" s="9"/>
      <c r="BH1430" s="9"/>
      <c r="BI1430" s="9"/>
      <c r="BJ1430" s="9"/>
      <c r="BK1430" s="9"/>
      <c r="BL1430" s="9"/>
      <c r="BM1430" s="9"/>
      <c r="BN1430" s="9"/>
      <c r="BO1430" s="9"/>
      <c r="BP1430" s="9"/>
      <c r="BQ1430" s="9"/>
      <c r="BR1430" s="9"/>
      <c r="BS1430" s="9"/>
      <c r="BT1430" s="9"/>
      <c r="BU1430" s="9"/>
      <c r="BV1430" s="9"/>
      <c r="BW1430" s="9"/>
    </row>
    <row r="1431" spans="1:75" x14ac:dyDescent="0.25">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c r="AO1431" s="9"/>
      <c r="AP1431" s="9"/>
      <c r="AQ1431" s="9"/>
      <c r="AR1431" s="9"/>
      <c r="AS1431" s="9"/>
      <c r="AT1431" s="9"/>
      <c r="AU1431" s="9"/>
      <c r="AV1431" s="9"/>
      <c r="AW1431" s="9"/>
      <c r="AX1431" s="9"/>
      <c r="AY1431" s="9"/>
      <c r="AZ1431" s="9"/>
      <c r="BA1431" s="9"/>
      <c r="BB1431" s="9"/>
      <c r="BC1431" s="9"/>
      <c r="BD1431" s="9"/>
      <c r="BE1431" s="9"/>
      <c r="BF1431" s="9"/>
      <c r="BG1431" s="9"/>
      <c r="BH1431" s="9"/>
      <c r="BI1431" s="9"/>
      <c r="BJ1431" s="9"/>
      <c r="BK1431" s="9"/>
      <c r="BL1431" s="9"/>
      <c r="BM1431" s="9"/>
      <c r="BN1431" s="9"/>
      <c r="BO1431" s="9"/>
      <c r="BP1431" s="9"/>
      <c r="BQ1431" s="9"/>
      <c r="BR1431" s="9"/>
      <c r="BS1431" s="9"/>
      <c r="BT1431" s="9"/>
      <c r="BU1431" s="9"/>
      <c r="BV1431" s="9"/>
      <c r="BW1431" s="9"/>
    </row>
    <row r="1432" spans="1:75" x14ac:dyDescent="0.25">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c r="AS1432" s="9"/>
      <c r="AT1432" s="9"/>
      <c r="AU1432" s="9"/>
      <c r="AV1432" s="9"/>
      <c r="AW1432" s="9"/>
      <c r="AX1432" s="9"/>
      <c r="AY1432" s="9"/>
      <c r="AZ1432" s="9"/>
      <c r="BA1432" s="9"/>
      <c r="BB1432" s="9"/>
      <c r="BC1432" s="9"/>
      <c r="BD1432" s="9"/>
      <c r="BE1432" s="9"/>
      <c r="BF1432" s="9"/>
      <c r="BG1432" s="9"/>
      <c r="BH1432" s="9"/>
      <c r="BI1432" s="9"/>
      <c r="BJ1432" s="9"/>
      <c r="BK1432" s="9"/>
      <c r="BL1432" s="9"/>
      <c r="BM1432" s="9"/>
      <c r="BN1432" s="9"/>
      <c r="BO1432" s="9"/>
      <c r="BP1432" s="9"/>
      <c r="BQ1432" s="9"/>
      <c r="BR1432" s="9"/>
      <c r="BS1432" s="9"/>
      <c r="BT1432" s="9"/>
      <c r="BU1432" s="9"/>
      <c r="BV1432" s="9"/>
      <c r="BW1432" s="9"/>
    </row>
    <row r="1433" spans="1:75" x14ac:dyDescent="0.25">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c r="AR1433" s="9"/>
      <c r="AS1433" s="9"/>
      <c r="AT1433" s="9"/>
      <c r="AU1433" s="9"/>
      <c r="AV1433" s="9"/>
      <c r="AW1433" s="9"/>
      <c r="AX1433" s="9"/>
      <c r="AY1433" s="9"/>
      <c r="AZ1433" s="9"/>
      <c r="BA1433" s="9"/>
      <c r="BB1433" s="9"/>
      <c r="BC1433" s="9"/>
      <c r="BD1433" s="9"/>
      <c r="BE1433" s="9"/>
      <c r="BF1433" s="9"/>
      <c r="BG1433" s="9"/>
      <c r="BH1433" s="9"/>
      <c r="BI1433" s="9"/>
      <c r="BJ1433" s="9"/>
      <c r="BK1433" s="9"/>
      <c r="BL1433" s="9"/>
      <c r="BM1433" s="9"/>
      <c r="BN1433" s="9"/>
      <c r="BO1433" s="9"/>
      <c r="BP1433" s="9"/>
      <c r="BQ1433" s="9"/>
      <c r="BR1433" s="9"/>
      <c r="BS1433" s="9"/>
      <c r="BT1433" s="9"/>
      <c r="BU1433" s="9"/>
      <c r="BV1433" s="9"/>
      <c r="BW1433" s="9"/>
    </row>
    <row r="1434" spans="1:75" x14ac:dyDescent="0.25">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c r="AS1434" s="9"/>
      <c r="AT1434" s="9"/>
      <c r="AU1434" s="9"/>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row>
    <row r="1435" spans="1:75" x14ac:dyDescent="0.25">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c r="AS1435" s="9"/>
      <c r="AT1435" s="9"/>
      <c r="AU1435" s="9"/>
      <c r="AV1435" s="9"/>
      <c r="AW1435" s="9"/>
      <c r="AX1435" s="9"/>
      <c r="AY1435" s="9"/>
      <c r="AZ1435" s="9"/>
      <c r="BA1435" s="9"/>
      <c r="BB1435" s="9"/>
      <c r="BC1435" s="9"/>
      <c r="BD1435" s="9"/>
      <c r="BE1435" s="9"/>
      <c r="BF1435" s="9"/>
      <c r="BG1435" s="9"/>
      <c r="BH1435" s="9"/>
      <c r="BI1435" s="9"/>
      <c r="BJ1435" s="9"/>
      <c r="BK1435" s="9"/>
      <c r="BL1435" s="9"/>
      <c r="BM1435" s="9"/>
      <c r="BN1435" s="9"/>
      <c r="BO1435" s="9"/>
      <c r="BP1435" s="9"/>
      <c r="BQ1435" s="9"/>
      <c r="BR1435" s="9"/>
      <c r="BS1435" s="9"/>
      <c r="BT1435" s="9"/>
      <c r="BU1435" s="9"/>
      <c r="BV1435" s="9"/>
      <c r="BW1435" s="9"/>
    </row>
    <row r="1436" spans="1:75" x14ac:dyDescent="0.25">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c r="AS1436" s="9"/>
      <c r="AT1436" s="9"/>
      <c r="AU1436" s="9"/>
      <c r="AV1436" s="9"/>
      <c r="AW1436" s="9"/>
      <c r="AX1436" s="9"/>
      <c r="AY1436" s="9"/>
      <c r="AZ1436" s="9"/>
      <c r="BA1436" s="9"/>
      <c r="BB1436" s="9"/>
      <c r="BC1436" s="9"/>
      <c r="BD1436" s="9"/>
      <c r="BE1436" s="9"/>
      <c r="BF1436" s="9"/>
      <c r="BG1436" s="9"/>
      <c r="BH1436" s="9"/>
      <c r="BI1436" s="9"/>
      <c r="BJ1436" s="9"/>
      <c r="BK1436" s="9"/>
      <c r="BL1436" s="9"/>
      <c r="BM1436" s="9"/>
      <c r="BN1436" s="9"/>
      <c r="BO1436" s="9"/>
      <c r="BP1436" s="9"/>
      <c r="BQ1436" s="9"/>
      <c r="BR1436" s="9"/>
      <c r="BS1436" s="9"/>
      <c r="BT1436" s="9"/>
      <c r="BU1436" s="9"/>
      <c r="BV1436" s="9"/>
      <c r="BW1436" s="9"/>
    </row>
    <row r="1437" spans="1:75" x14ac:dyDescent="0.25">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c r="AS1437" s="9"/>
      <c r="AT1437" s="9"/>
      <c r="AU1437" s="9"/>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row>
    <row r="1438" spans="1:75" x14ac:dyDescent="0.25">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c r="AS1438" s="9"/>
      <c r="AT1438" s="9"/>
      <c r="AU1438" s="9"/>
      <c r="AV1438" s="9"/>
      <c r="AW1438" s="9"/>
      <c r="AX1438" s="9"/>
      <c r="AY1438" s="9"/>
      <c r="AZ1438" s="9"/>
      <c r="BA1438" s="9"/>
      <c r="BB1438" s="9"/>
      <c r="BC1438" s="9"/>
      <c r="BD1438" s="9"/>
      <c r="BE1438" s="9"/>
      <c r="BF1438" s="9"/>
      <c r="BG1438" s="9"/>
      <c r="BH1438" s="9"/>
      <c r="BI1438" s="9"/>
      <c r="BJ1438" s="9"/>
      <c r="BK1438" s="9"/>
      <c r="BL1438" s="9"/>
      <c r="BM1438" s="9"/>
      <c r="BN1438" s="9"/>
      <c r="BO1438" s="9"/>
      <c r="BP1438" s="9"/>
      <c r="BQ1438" s="9"/>
      <c r="BR1438" s="9"/>
      <c r="BS1438" s="9"/>
      <c r="BT1438" s="9"/>
      <c r="BU1438" s="9"/>
      <c r="BV1438" s="9"/>
      <c r="BW1438" s="9"/>
    </row>
    <row r="1439" spans="1:75" x14ac:dyDescent="0.25">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c r="AR1439" s="9"/>
      <c r="AS1439" s="9"/>
      <c r="AT1439" s="9"/>
      <c r="AU1439" s="9"/>
      <c r="AV1439" s="9"/>
      <c r="AW1439" s="9"/>
      <c r="AX1439" s="9"/>
      <c r="AY1439" s="9"/>
      <c r="AZ1439" s="9"/>
      <c r="BA1439" s="9"/>
      <c r="BB1439" s="9"/>
      <c r="BC1439" s="9"/>
      <c r="BD1439" s="9"/>
      <c r="BE1439" s="9"/>
      <c r="BF1439" s="9"/>
      <c r="BG1439" s="9"/>
      <c r="BH1439" s="9"/>
      <c r="BI1439" s="9"/>
      <c r="BJ1439" s="9"/>
      <c r="BK1439" s="9"/>
      <c r="BL1439" s="9"/>
      <c r="BM1439" s="9"/>
      <c r="BN1439" s="9"/>
      <c r="BO1439" s="9"/>
      <c r="BP1439" s="9"/>
      <c r="BQ1439" s="9"/>
      <c r="BR1439" s="9"/>
      <c r="BS1439" s="9"/>
      <c r="BT1439" s="9"/>
      <c r="BU1439" s="9"/>
      <c r="BV1439" s="9"/>
      <c r="BW1439" s="9"/>
    </row>
    <row r="1440" spans="1:75" x14ac:dyDescent="0.25">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c r="AR1440" s="9"/>
      <c r="AS1440" s="9"/>
      <c r="AT1440" s="9"/>
      <c r="AU1440" s="9"/>
      <c r="AV1440" s="9"/>
      <c r="AW1440" s="9"/>
      <c r="AX1440" s="9"/>
      <c r="AY1440" s="9"/>
      <c r="AZ1440" s="9"/>
      <c r="BA1440" s="9"/>
      <c r="BB1440" s="9"/>
      <c r="BC1440" s="9"/>
      <c r="BD1440" s="9"/>
      <c r="BE1440" s="9"/>
      <c r="BF1440" s="9"/>
      <c r="BG1440" s="9"/>
      <c r="BH1440" s="9"/>
      <c r="BI1440" s="9"/>
      <c r="BJ1440" s="9"/>
      <c r="BK1440" s="9"/>
      <c r="BL1440" s="9"/>
      <c r="BM1440" s="9"/>
      <c r="BN1440" s="9"/>
      <c r="BO1440" s="9"/>
      <c r="BP1440" s="9"/>
      <c r="BQ1440" s="9"/>
      <c r="BR1440" s="9"/>
      <c r="BS1440" s="9"/>
      <c r="BT1440" s="9"/>
      <c r="BU1440" s="9"/>
      <c r="BV1440" s="9"/>
      <c r="BW1440" s="9"/>
    </row>
    <row r="1441" spans="1:75" x14ac:dyDescent="0.25">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c r="AS1441" s="9"/>
      <c r="AT1441" s="9"/>
      <c r="AU1441" s="9"/>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row>
    <row r="1442" spans="1:75" x14ac:dyDescent="0.25">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c r="AS1442" s="9"/>
      <c r="AT1442" s="9"/>
      <c r="AU1442" s="9"/>
      <c r="AV1442" s="9"/>
      <c r="AW1442" s="9"/>
      <c r="AX1442" s="9"/>
      <c r="AY1442" s="9"/>
      <c r="AZ1442" s="9"/>
      <c r="BA1442" s="9"/>
      <c r="BB1442" s="9"/>
      <c r="BC1442" s="9"/>
      <c r="BD1442" s="9"/>
      <c r="BE1442" s="9"/>
      <c r="BF1442" s="9"/>
      <c r="BG1442" s="9"/>
      <c r="BH1442" s="9"/>
      <c r="BI1442" s="9"/>
      <c r="BJ1442" s="9"/>
      <c r="BK1442" s="9"/>
      <c r="BL1442" s="9"/>
      <c r="BM1442" s="9"/>
      <c r="BN1442" s="9"/>
      <c r="BO1442" s="9"/>
      <c r="BP1442" s="9"/>
      <c r="BQ1442" s="9"/>
      <c r="BR1442" s="9"/>
      <c r="BS1442" s="9"/>
      <c r="BT1442" s="9"/>
      <c r="BU1442" s="9"/>
      <c r="BV1442" s="9"/>
      <c r="BW1442" s="9"/>
    </row>
    <row r="1443" spans="1:75" x14ac:dyDescent="0.25">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c r="AR1443" s="9"/>
      <c r="AS1443" s="9"/>
      <c r="AT1443" s="9"/>
      <c r="AU1443" s="9"/>
      <c r="AV1443" s="9"/>
      <c r="AW1443" s="9"/>
      <c r="AX1443" s="9"/>
      <c r="AY1443" s="9"/>
      <c r="AZ1443" s="9"/>
      <c r="BA1443" s="9"/>
      <c r="BB1443" s="9"/>
      <c r="BC1443" s="9"/>
      <c r="BD1443" s="9"/>
      <c r="BE1443" s="9"/>
      <c r="BF1443" s="9"/>
      <c r="BG1443" s="9"/>
      <c r="BH1443" s="9"/>
      <c r="BI1443" s="9"/>
      <c r="BJ1443" s="9"/>
      <c r="BK1443" s="9"/>
      <c r="BL1443" s="9"/>
      <c r="BM1443" s="9"/>
      <c r="BN1443" s="9"/>
      <c r="BO1443" s="9"/>
      <c r="BP1443" s="9"/>
      <c r="BQ1443" s="9"/>
      <c r="BR1443" s="9"/>
      <c r="BS1443" s="9"/>
      <c r="BT1443" s="9"/>
      <c r="BU1443" s="9"/>
      <c r="BV1443" s="9"/>
      <c r="BW1443" s="9"/>
    </row>
    <row r="1444" spans="1:75" x14ac:dyDescent="0.25">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c r="AS1444" s="9"/>
      <c r="AT1444" s="9"/>
      <c r="AU1444" s="9"/>
      <c r="AV1444" s="9"/>
      <c r="AW1444" s="9"/>
      <c r="AX1444" s="9"/>
      <c r="AY1444" s="9"/>
      <c r="AZ1444" s="9"/>
      <c r="BA1444" s="9"/>
      <c r="BB1444" s="9"/>
      <c r="BC1444" s="9"/>
      <c r="BD1444" s="9"/>
      <c r="BE1444" s="9"/>
      <c r="BF1444" s="9"/>
      <c r="BG1444" s="9"/>
      <c r="BH1444" s="9"/>
      <c r="BI1444" s="9"/>
      <c r="BJ1444" s="9"/>
      <c r="BK1444" s="9"/>
      <c r="BL1444" s="9"/>
      <c r="BM1444" s="9"/>
      <c r="BN1444" s="9"/>
      <c r="BO1444" s="9"/>
      <c r="BP1444" s="9"/>
      <c r="BQ1444" s="9"/>
      <c r="BR1444" s="9"/>
      <c r="BS1444" s="9"/>
      <c r="BT1444" s="9"/>
      <c r="BU1444" s="9"/>
      <c r="BV1444" s="9"/>
      <c r="BW1444" s="9"/>
    </row>
    <row r="1445" spans="1:75" x14ac:dyDescent="0.25">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c r="AS1445" s="9"/>
      <c r="AT1445" s="9"/>
      <c r="AU1445" s="9"/>
      <c r="AV1445" s="9"/>
      <c r="AW1445" s="9"/>
      <c r="AX1445" s="9"/>
      <c r="AY1445" s="9"/>
      <c r="AZ1445" s="9"/>
      <c r="BA1445" s="9"/>
      <c r="BB1445" s="9"/>
      <c r="BC1445" s="9"/>
      <c r="BD1445" s="9"/>
      <c r="BE1445" s="9"/>
      <c r="BF1445" s="9"/>
      <c r="BG1445" s="9"/>
      <c r="BH1445" s="9"/>
      <c r="BI1445" s="9"/>
      <c r="BJ1445" s="9"/>
      <c r="BK1445" s="9"/>
      <c r="BL1445" s="9"/>
      <c r="BM1445" s="9"/>
      <c r="BN1445" s="9"/>
      <c r="BO1445" s="9"/>
      <c r="BP1445" s="9"/>
      <c r="BQ1445" s="9"/>
      <c r="BR1445" s="9"/>
      <c r="BS1445" s="9"/>
      <c r="BT1445" s="9"/>
      <c r="BU1445" s="9"/>
      <c r="BV1445" s="9"/>
      <c r="BW1445" s="9"/>
    </row>
    <row r="1446" spans="1:75" x14ac:dyDescent="0.25">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c r="AS1446" s="9"/>
      <c r="AT1446" s="9"/>
      <c r="AU1446" s="9"/>
      <c r="AV1446" s="9"/>
      <c r="AW1446" s="9"/>
      <c r="AX1446" s="9"/>
      <c r="AY1446" s="9"/>
      <c r="AZ1446" s="9"/>
      <c r="BA1446" s="9"/>
      <c r="BB1446" s="9"/>
      <c r="BC1446" s="9"/>
      <c r="BD1446" s="9"/>
      <c r="BE1446" s="9"/>
      <c r="BF1446" s="9"/>
      <c r="BG1446" s="9"/>
      <c r="BH1446" s="9"/>
      <c r="BI1446" s="9"/>
      <c r="BJ1446" s="9"/>
      <c r="BK1446" s="9"/>
      <c r="BL1446" s="9"/>
      <c r="BM1446" s="9"/>
      <c r="BN1446" s="9"/>
      <c r="BO1446" s="9"/>
      <c r="BP1446" s="9"/>
      <c r="BQ1446" s="9"/>
      <c r="BR1446" s="9"/>
      <c r="BS1446" s="9"/>
      <c r="BT1446" s="9"/>
      <c r="BU1446" s="9"/>
      <c r="BV1446" s="9"/>
      <c r="BW1446" s="9"/>
    </row>
    <row r="1447" spans="1:75" x14ac:dyDescent="0.25">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c r="AO1447" s="9"/>
      <c r="AP1447" s="9"/>
      <c r="AQ1447" s="9"/>
      <c r="AR1447" s="9"/>
      <c r="AS1447" s="9"/>
      <c r="AT1447" s="9"/>
      <c r="AU1447" s="9"/>
      <c r="AV1447" s="9"/>
      <c r="AW1447" s="9"/>
      <c r="AX1447" s="9"/>
      <c r="AY1447" s="9"/>
      <c r="AZ1447" s="9"/>
      <c r="BA1447" s="9"/>
      <c r="BB1447" s="9"/>
      <c r="BC1447" s="9"/>
      <c r="BD1447" s="9"/>
      <c r="BE1447" s="9"/>
      <c r="BF1447" s="9"/>
      <c r="BG1447" s="9"/>
      <c r="BH1447" s="9"/>
      <c r="BI1447" s="9"/>
      <c r="BJ1447" s="9"/>
      <c r="BK1447" s="9"/>
      <c r="BL1447" s="9"/>
      <c r="BM1447" s="9"/>
      <c r="BN1447" s="9"/>
      <c r="BO1447" s="9"/>
      <c r="BP1447" s="9"/>
      <c r="BQ1447" s="9"/>
      <c r="BR1447" s="9"/>
      <c r="BS1447" s="9"/>
      <c r="BT1447" s="9"/>
      <c r="BU1447" s="9"/>
      <c r="BV1447" s="9"/>
      <c r="BW1447" s="9"/>
    </row>
    <row r="1448" spans="1:75" x14ac:dyDescent="0.25">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c r="AR1448" s="9"/>
      <c r="AS1448" s="9"/>
      <c r="AT1448" s="9"/>
      <c r="AU1448" s="9"/>
      <c r="AV1448" s="9"/>
      <c r="AW1448" s="9"/>
      <c r="AX1448" s="9"/>
      <c r="AY1448" s="9"/>
      <c r="AZ1448" s="9"/>
      <c r="BA1448" s="9"/>
      <c r="BB1448" s="9"/>
      <c r="BC1448" s="9"/>
      <c r="BD1448" s="9"/>
      <c r="BE1448" s="9"/>
      <c r="BF1448" s="9"/>
      <c r="BG1448" s="9"/>
      <c r="BH1448" s="9"/>
      <c r="BI1448" s="9"/>
      <c r="BJ1448" s="9"/>
      <c r="BK1448" s="9"/>
      <c r="BL1448" s="9"/>
      <c r="BM1448" s="9"/>
      <c r="BN1448" s="9"/>
      <c r="BO1448" s="9"/>
      <c r="BP1448" s="9"/>
      <c r="BQ1448" s="9"/>
      <c r="BR1448" s="9"/>
      <c r="BS1448" s="9"/>
      <c r="BT1448" s="9"/>
      <c r="BU1448" s="9"/>
      <c r="BV1448" s="9"/>
      <c r="BW1448" s="9"/>
    </row>
    <row r="1449" spans="1:75" x14ac:dyDescent="0.25">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c r="AO1449" s="9"/>
      <c r="AP1449" s="9"/>
      <c r="AQ1449" s="9"/>
      <c r="AR1449" s="9"/>
      <c r="AS1449" s="9"/>
      <c r="AT1449" s="9"/>
      <c r="AU1449" s="9"/>
      <c r="AV1449" s="9"/>
      <c r="AW1449" s="9"/>
      <c r="AX1449" s="9"/>
      <c r="AY1449" s="9"/>
      <c r="AZ1449" s="9"/>
      <c r="BA1449" s="9"/>
      <c r="BB1449" s="9"/>
      <c r="BC1449" s="9"/>
      <c r="BD1449" s="9"/>
      <c r="BE1449" s="9"/>
      <c r="BF1449" s="9"/>
      <c r="BG1449" s="9"/>
      <c r="BH1449" s="9"/>
      <c r="BI1449" s="9"/>
      <c r="BJ1449" s="9"/>
      <c r="BK1449" s="9"/>
      <c r="BL1449" s="9"/>
      <c r="BM1449" s="9"/>
      <c r="BN1449" s="9"/>
      <c r="BO1449" s="9"/>
      <c r="BP1449" s="9"/>
      <c r="BQ1449" s="9"/>
      <c r="BR1449" s="9"/>
      <c r="BS1449" s="9"/>
      <c r="BT1449" s="9"/>
      <c r="BU1449" s="9"/>
      <c r="BV1449" s="9"/>
      <c r="BW1449" s="9"/>
    </row>
    <row r="1450" spans="1:75" x14ac:dyDescent="0.25">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c r="AO1450" s="9"/>
      <c r="AP1450" s="9"/>
      <c r="AQ1450" s="9"/>
      <c r="AR1450" s="9"/>
      <c r="AS1450" s="9"/>
      <c r="AT1450" s="9"/>
      <c r="AU1450" s="9"/>
      <c r="AV1450" s="9"/>
      <c r="AW1450" s="9"/>
      <c r="AX1450" s="9"/>
      <c r="AY1450" s="9"/>
      <c r="AZ1450" s="9"/>
      <c r="BA1450" s="9"/>
      <c r="BB1450" s="9"/>
      <c r="BC1450" s="9"/>
      <c r="BD1450" s="9"/>
      <c r="BE1450" s="9"/>
      <c r="BF1450" s="9"/>
      <c r="BG1450" s="9"/>
      <c r="BH1450" s="9"/>
      <c r="BI1450" s="9"/>
      <c r="BJ1450" s="9"/>
      <c r="BK1450" s="9"/>
      <c r="BL1450" s="9"/>
      <c r="BM1450" s="9"/>
      <c r="BN1450" s="9"/>
      <c r="BO1450" s="9"/>
      <c r="BP1450" s="9"/>
      <c r="BQ1450" s="9"/>
      <c r="BR1450" s="9"/>
      <c r="BS1450" s="9"/>
      <c r="BT1450" s="9"/>
      <c r="BU1450" s="9"/>
      <c r="BV1450" s="9"/>
      <c r="BW1450" s="9"/>
    </row>
    <row r="1451" spans="1:75" x14ac:dyDescent="0.25">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c r="AO1451" s="9"/>
      <c r="AP1451" s="9"/>
      <c r="AQ1451" s="9"/>
      <c r="AR1451" s="9"/>
      <c r="AS1451" s="9"/>
      <c r="AT1451" s="9"/>
      <c r="AU1451" s="9"/>
      <c r="AV1451" s="9"/>
      <c r="AW1451" s="9"/>
      <c r="AX1451" s="9"/>
      <c r="AY1451" s="9"/>
      <c r="AZ1451" s="9"/>
      <c r="BA1451" s="9"/>
      <c r="BB1451" s="9"/>
      <c r="BC1451" s="9"/>
      <c r="BD1451" s="9"/>
      <c r="BE1451" s="9"/>
      <c r="BF1451" s="9"/>
      <c r="BG1451" s="9"/>
      <c r="BH1451" s="9"/>
      <c r="BI1451" s="9"/>
      <c r="BJ1451" s="9"/>
      <c r="BK1451" s="9"/>
      <c r="BL1451" s="9"/>
      <c r="BM1451" s="9"/>
      <c r="BN1451" s="9"/>
      <c r="BO1451" s="9"/>
      <c r="BP1451" s="9"/>
      <c r="BQ1451" s="9"/>
      <c r="BR1451" s="9"/>
      <c r="BS1451" s="9"/>
      <c r="BT1451" s="9"/>
      <c r="BU1451" s="9"/>
      <c r="BV1451" s="9"/>
      <c r="BW1451" s="9"/>
    </row>
    <row r="1452" spans="1:75" x14ac:dyDescent="0.25">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c r="AO1452" s="9"/>
      <c r="AP1452" s="9"/>
      <c r="AQ1452" s="9"/>
      <c r="AR1452" s="9"/>
      <c r="AS1452" s="9"/>
      <c r="AT1452" s="9"/>
      <c r="AU1452" s="9"/>
      <c r="AV1452" s="9"/>
      <c r="AW1452" s="9"/>
      <c r="AX1452" s="9"/>
      <c r="AY1452" s="9"/>
      <c r="AZ1452" s="9"/>
      <c r="BA1452" s="9"/>
      <c r="BB1452" s="9"/>
      <c r="BC1452" s="9"/>
      <c r="BD1452" s="9"/>
      <c r="BE1452" s="9"/>
      <c r="BF1452" s="9"/>
      <c r="BG1452" s="9"/>
      <c r="BH1452" s="9"/>
      <c r="BI1452" s="9"/>
      <c r="BJ1452" s="9"/>
      <c r="BK1452" s="9"/>
      <c r="BL1452" s="9"/>
      <c r="BM1452" s="9"/>
      <c r="BN1452" s="9"/>
      <c r="BO1452" s="9"/>
      <c r="BP1452" s="9"/>
      <c r="BQ1452" s="9"/>
      <c r="BR1452" s="9"/>
      <c r="BS1452" s="9"/>
      <c r="BT1452" s="9"/>
      <c r="BU1452" s="9"/>
      <c r="BV1452" s="9"/>
      <c r="BW1452" s="9"/>
    </row>
    <row r="1453" spans="1:75" x14ac:dyDescent="0.25">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c r="AR1453" s="9"/>
      <c r="AS1453" s="9"/>
      <c r="AT1453" s="9"/>
      <c r="AU1453" s="9"/>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row>
    <row r="1454" spans="1:75" x14ac:dyDescent="0.25">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row>
    <row r="1455" spans="1:75" x14ac:dyDescent="0.25">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c r="AS1455" s="9"/>
      <c r="AT1455" s="9"/>
      <c r="AU1455" s="9"/>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row>
    <row r="1456" spans="1:75" x14ac:dyDescent="0.25">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row>
    <row r="1457" spans="1:75" x14ac:dyDescent="0.25">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c r="AS1457" s="9"/>
      <c r="AT1457" s="9"/>
      <c r="AU1457" s="9"/>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row>
    <row r="1458" spans="1:75" x14ac:dyDescent="0.25">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c r="AR1458" s="9"/>
      <c r="AS1458" s="9"/>
      <c r="AT1458" s="9"/>
      <c r="AU1458" s="9"/>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row>
    <row r="1459" spans="1:75" x14ac:dyDescent="0.25">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c r="AS1459" s="9"/>
      <c r="AT1459" s="9"/>
      <c r="AU1459" s="9"/>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row>
    <row r="1460" spans="1:75" x14ac:dyDescent="0.25">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c r="AO1460" s="9"/>
      <c r="AP1460" s="9"/>
      <c r="AQ1460" s="9"/>
      <c r="AR1460" s="9"/>
      <c r="AS1460" s="9"/>
      <c r="AT1460" s="9"/>
      <c r="AU1460" s="9"/>
      <c r="AV1460" s="9"/>
      <c r="AW1460" s="9"/>
      <c r="AX1460" s="9"/>
      <c r="AY1460" s="9"/>
      <c r="AZ1460" s="9"/>
      <c r="BA1460" s="9"/>
      <c r="BB1460" s="9"/>
      <c r="BC1460" s="9"/>
      <c r="BD1460" s="9"/>
      <c r="BE1460" s="9"/>
      <c r="BF1460" s="9"/>
      <c r="BG1460" s="9"/>
      <c r="BH1460" s="9"/>
      <c r="BI1460" s="9"/>
      <c r="BJ1460" s="9"/>
      <c r="BK1460" s="9"/>
      <c r="BL1460" s="9"/>
      <c r="BM1460" s="9"/>
      <c r="BN1460" s="9"/>
      <c r="BO1460" s="9"/>
      <c r="BP1460" s="9"/>
      <c r="BQ1460" s="9"/>
      <c r="BR1460" s="9"/>
      <c r="BS1460" s="9"/>
      <c r="BT1460" s="9"/>
      <c r="BU1460" s="9"/>
      <c r="BV1460" s="9"/>
      <c r="BW1460" s="9"/>
    </row>
    <row r="1461" spans="1:75" x14ac:dyDescent="0.25">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c r="AR1461" s="9"/>
      <c r="AS1461" s="9"/>
      <c r="AT1461" s="9"/>
      <c r="AU1461" s="9"/>
      <c r="AV1461" s="9"/>
      <c r="AW1461" s="9"/>
      <c r="AX1461" s="9"/>
      <c r="AY1461" s="9"/>
      <c r="AZ1461" s="9"/>
      <c r="BA1461" s="9"/>
      <c r="BB1461" s="9"/>
      <c r="BC1461" s="9"/>
      <c r="BD1461" s="9"/>
      <c r="BE1461" s="9"/>
      <c r="BF1461" s="9"/>
      <c r="BG1461" s="9"/>
      <c r="BH1461" s="9"/>
      <c r="BI1461" s="9"/>
      <c r="BJ1461" s="9"/>
      <c r="BK1461" s="9"/>
      <c r="BL1461" s="9"/>
      <c r="BM1461" s="9"/>
      <c r="BN1461" s="9"/>
      <c r="BO1461" s="9"/>
      <c r="BP1461" s="9"/>
      <c r="BQ1461" s="9"/>
      <c r="BR1461" s="9"/>
      <c r="BS1461" s="9"/>
      <c r="BT1461" s="9"/>
      <c r="BU1461" s="9"/>
      <c r="BV1461" s="9"/>
      <c r="BW1461" s="9"/>
    </row>
    <row r="1462" spans="1:75" x14ac:dyDescent="0.25">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c r="AS1462" s="9"/>
      <c r="AT1462" s="9"/>
      <c r="AU1462" s="9"/>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row>
    <row r="1463" spans="1:75" x14ac:dyDescent="0.25">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c r="AS1463" s="9"/>
      <c r="AT1463" s="9"/>
      <c r="AU1463" s="9"/>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row>
    <row r="1464" spans="1:75" x14ac:dyDescent="0.25">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c r="AR1464" s="9"/>
      <c r="AS1464" s="9"/>
      <c r="AT1464" s="9"/>
      <c r="AU1464" s="9"/>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row>
    <row r="1465" spans="1:75" x14ac:dyDescent="0.25">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c r="AR1465" s="9"/>
      <c r="AS1465" s="9"/>
      <c r="AT1465" s="9"/>
      <c r="AU1465" s="9"/>
      <c r="AV1465" s="9"/>
      <c r="AW1465" s="9"/>
      <c r="AX1465" s="9"/>
      <c r="AY1465" s="9"/>
      <c r="AZ1465" s="9"/>
      <c r="BA1465" s="9"/>
      <c r="BB1465" s="9"/>
      <c r="BC1465" s="9"/>
      <c r="BD1465" s="9"/>
      <c r="BE1465" s="9"/>
      <c r="BF1465" s="9"/>
      <c r="BG1465" s="9"/>
      <c r="BH1465" s="9"/>
      <c r="BI1465" s="9"/>
      <c r="BJ1465" s="9"/>
      <c r="BK1465" s="9"/>
      <c r="BL1465" s="9"/>
      <c r="BM1465" s="9"/>
      <c r="BN1465" s="9"/>
      <c r="BO1465" s="9"/>
      <c r="BP1465" s="9"/>
      <c r="BQ1465" s="9"/>
      <c r="BR1465" s="9"/>
      <c r="BS1465" s="9"/>
      <c r="BT1465" s="9"/>
      <c r="BU1465" s="9"/>
      <c r="BV1465" s="9"/>
      <c r="BW1465" s="9"/>
    </row>
    <row r="1466" spans="1:75" x14ac:dyDescent="0.25">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c r="AR1466" s="9"/>
      <c r="AS1466" s="9"/>
      <c r="AT1466" s="9"/>
      <c r="AU1466" s="9"/>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row>
    <row r="1467" spans="1:75" x14ac:dyDescent="0.25">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c r="AS1467" s="9"/>
      <c r="AT1467" s="9"/>
      <c r="AU1467" s="9"/>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row>
    <row r="1468" spans="1:75" x14ac:dyDescent="0.25">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c r="AS1468" s="9"/>
      <c r="AT1468" s="9"/>
      <c r="AU1468" s="9"/>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row>
    <row r="1469" spans="1:75" x14ac:dyDescent="0.25">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c r="AS1469" s="9"/>
      <c r="AT1469" s="9"/>
      <c r="AU1469" s="9"/>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row>
    <row r="1470" spans="1:75" x14ac:dyDescent="0.25">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c r="AS1470" s="9"/>
      <c r="AT1470" s="9"/>
      <c r="AU1470" s="9"/>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row>
    <row r="1471" spans="1:75" x14ac:dyDescent="0.25">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c r="AR1471" s="9"/>
      <c r="AS1471" s="9"/>
      <c r="AT1471" s="9"/>
      <c r="AU1471" s="9"/>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row>
    <row r="1472" spans="1:75" x14ac:dyDescent="0.25">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c r="AS1472" s="9"/>
      <c r="AT1472" s="9"/>
      <c r="AU1472" s="9"/>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row>
    <row r="1473" spans="1:75" x14ac:dyDescent="0.25">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c r="AR1473" s="9"/>
      <c r="AS1473" s="9"/>
      <c r="AT1473" s="9"/>
      <c r="AU1473" s="9"/>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row>
    <row r="1474" spans="1:75" x14ac:dyDescent="0.25">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c r="AR1474" s="9"/>
      <c r="AS1474" s="9"/>
      <c r="AT1474" s="9"/>
      <c r="AU1474" s="9"/>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row>
    <row r="1475" spans="1:75" x14ac:dyDescent="0.25">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c r="AR1475" s="9"/>
      <c r="AS1475" s="9"/>
      <c r="AT1475" s="9"/>
      <c r="AU1475" s="9"/>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row>
    <row r="1476" spans="1:75" x14ac:dyDescent="0.25">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c r="AS1476" s="9"/>
      <c r="AT1476" s="9"/>
      <c r="AU1476" s="9"/>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row>
    <row r="1477" spans="1:75" x14ac:dyDescent="0.25">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c r="AR1477" s="9"/>
      <c r="AS1477" s="9"/>
      <c r="AT1477" s="9"/>
      <c r="AU1477" s="9"/>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row>
    <row r="1478" spans="1:75" x14ac:dyDescent="0.25">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c r="AS1478" s="9"/>
      <c r="AT1478" s="9"/>
      <c r="AU1478" s="9"/>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row>
    <row r="1479" spans="1:75" x14ac:dyDescent="0.25">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c r="AS1479" s="9"/>
      <c r="AT1479" s="9"/>
      <c r="AU1479" s="9"/>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row>
    <row r="1480" spans="1:75" x14ac:dyDescent="0.25">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c r="AR1480" s="9"/>
      <c r="AS1480" s="9"/>
      <c r="AT1480" s="9"/>
      <c r="AU1480" s="9"/>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row>
    <row r="1481" spans="1:75" x14ac:dyDescent="0.25">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c r="AS1481" s="9"/>
      <c r="AT1481" s="9"/>
      <c r="AU1481" s="9"/>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row>
    <row r="1482" spans="1:75" x14ac:dyDescent="0.25">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c r="AR1482" s="9"/>
      <c r="AS1482" s="9"/>
      <c r="AT1482" s="9"/>
      <c r="AU1482" s="9"/>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row>
    <row r="1483" spans="1:75" x14ac:dyDescent="0.25">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c r="AR1483" s="9"/>
      <c r="AS1483" s="9"/>
      <c r="AT1483" s="9"/>
      <c r="AU1483" s="9"/>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row>
    <row r="1484" spans="1:75" x14ac:dyDescent="0.25">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c r="AR1484" s="9"/>
      <c r="AS1484" s="9"/>
      <c r="AT1484" s="9"/>
      <c r="AU1484" s="9"/>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row>
    <row r="1485" spans="1:75" x14ac:dyDescent="0.25">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c r="AR1485" s="9"/>
      <c r="AS1485" s="9"/>
      <c r="AT1485" s="9"/>
      <c r="AU1485" s="9"/>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row>
    <row r="1486" spans="1:75" x14ac:dyDescent="0.25">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c r="AS1486" s="9"/>
      <c r="AT1486" s="9"/>
      <c r="AU1486" s="9"/>
      <c r="AV1486" s="9"/>
      <c r="AW1486" s="9"/>
      <c r="AX1486" s="9"/>
      <c r="AY1486" s="9"/>
      <c r="AZ1486" s="9"/>
      <c r="BA1486" s="9"/>
      <c r="BB1486" s="9"/>
      <c r="BC1486" s="9"/>
      <c r="BD1486" s="9"/>
      <c r="BE1486" s="9"/>
      <c r="BF1486" s="9"/>
      <c r="BG1486" s="9"/>
      <c r="BH1486" s="9"/>
      <c r="BI1486" s="9"/>
      <c r="BJ1486" s="9"/>
      <c r="BK1486" s="9"/>
      <c r="BL1486" s="9"/>
      <c r="BM1486" s="9"/>
      <c r="BN1486" s="9"/>
      <c r="BO1486" s="9"/>
      <c r="BP1486" s="9"/>
      <c r="BQ1486" s="9"/>
      <c r="BR1486" s="9"/>
      <c r="BS1486" s="9"/>
      <c r="BT1486" s="9"/>
      <c r="BU1486" s="9"/>
      <c r="BV1486" s="9"/>
      <c r="BW1486" s="9"/>
    </row>
    <row r="1487" spans="1:75" x14ac:dyDescent="0.25">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c r="AO1487" s="9"/>
      <c r="AP1487" s="9"/>
      <c r="AQ1487" s="9"/>
      <c r="AR1487" s="9"/>
      <c r="AS1487" s="9"/>
      <c r="AT1487" s="9"/>
      <c r="AU1487" s="9"/>
      <c r="AV1487" s="9"/>
      <c r="AW1487" s="9"/>
      <c r="AX1487" s="9"/>
      <c r="AY1487" s="9"/>
      <c r="AZ1487" s="9"/>
      <c r="BA1487" s="9"/>
      <c r="BB1487" s="9"/>
      <c r="BC1487" s="9"/>
      <c r="BD1487" s="9"/>
      <c r="BE1487" s="9"/>
      <c r="BF1487" s="9"/>
      <c r="BG1487" s="9"/>
      <c r="BH1487" s="9"/>
      <c r="BI1487" s="9"/>
      <c r="BJ1487" s="9"/>
      <c r="BK1487" s="9"/>
      <c r="BL1487" s="9"/>
      <c r="BM1487" s="9"/>
      <c r="BN1487" s="9"/>
      <c r="BO1487" s="9"/>
      <c r="BP1487" s="9"/>
      <c r="BQ1487" s="9"/>
      <c r="BR1487" s="9"/>
      <c r="BS1487" s="9"/>
      <c r="BT1487" s="9"/>
      <c r="BU1487" s="9"/>
      <c r="BV1487" s="9"/>
      <c r="BW1487" s="9"/>
    </row>
    <row r="1488" spans="1:75" x14ac:dyDescent="0.25">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c r="AS1488" s="9"/>
      <c r="AT1488" s="9"/>
      <c r="AU1488" s="9"/>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row>
    <row r="1489" spans="1:75" x14ac:dyDescent="0.25">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c r="AS1489" s="9"/>
      <c r="AT1489" s="9"/>
      <c r="AU1489" s="9"/>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row>
    <row r="1490" spans="1:75" x14ac:dyDescent="0.25">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c r="AR1490" s="9"/>
      <c r="AS1490" s="9"/>
      <c r="AT1490" s="9"/>
      <c r="AU1490" s="9"/>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row>
    <row r="1491" spans="1:75" x14ac:dyDescent="0.25">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c r="AR1491" s="9"/>
      <c r="AS1491" s="9"/>
      <c r="AT1491" s="9"/>
      <c r="AU1491" s="9"/>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row>
    <row r="1492" spans="1:75" x14ac:dyDescent="0.25">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c r="AS1492" s="9"/>
      <c r="AT1492" s="9"/>
      <c r="AU1492" s="9"/>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row>
    <row r="1493" spans="1:75" x14ac:dyDescent="0.25">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c r="AS1493" s="9"/>
      <c r="AT1493" s="9"/>
      <c r="AU1493" s="9"/>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row>
    <row r="1494" spans="1:75" x14ac:dyDescent="0.25">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c r="AS1494" s="9"/>
      <c r="AT1494" s="9"/>
      <c r="AU1494" s="9"/>
      <c r="AV1494" s="9"/>
      <c r="AW1494" s="9"/>
      <c r="AX1494" s="9"/>
      <c r="AY1494" s="9"/>
      <c r="AZ1494" s="9"/>
      <c r="BA1494" s="9"/>
      <c r="BB1494" s="9"/>
      <c r="BC1494" s="9"/>
      <c r="BD1494" s="9"/>
      <c r="BE1494" s="9"/>
      <c r="BF1494" s="9"/>
      <c r="BG1494" s="9"/>
      <c r="BH1494" s="9"/>
      <c r="BI1494" s="9"/>
      <c r="BJ1494" s="9"/>
      <c r="BK1494" s="9"/>
      <c r="BL1494" s="9"/>
      <c r="BM1494" s="9"/>
      <c r="BN1494" s="9"/>
      <c r="BO1494" s="9"/>
      <c r="BP1494" s="9"/>
      <c r="BQ1494" s="9"/>
      <c r="BR1494" s="9"/>
      <c r="BS1494" s="9"/>
      <c r="BT1494" s="9"/>
      <c r="BU1494" s="9"/>
      <c r="BV1494" s="9"/>
      <c r="BW1494" s="9"/>
    </row>
    <row r="1495" spans="1:75" x14ac:dyDescent="0.25">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c r="AR1495" s="9"/>
      <c r="AS1495" s="9"/>
      <c r="AT1495" s="9"/>
      <c r="AU1495" s="9"/>
      <c r="AV1495" s="9"/>
      <c r="AW1495" s="9"/>
      <c r="AX1495" s="9"/>
      <c r="AY1495" s="9"/>
      <c r="AZ1495" s="9"/>
      <c r="BA1495" s="9"/>
      <c r="BB1495" s="9"/>
      <c r="BC1495" s="9"/>
      <c r="BD1495" s="9"/>
      <c r="BE1495" s="9"/>
      <c r="BF1495" s="9"/>
      <c r="BG1495" s="9"/>
      <c r="BH1495" s="9"/>
      <c r="BI1495" s="9"/>
      <c r="BJ1495" s="9"/>
      <c r="BK1495" s="9"/>
      <c r="BL1495" s="9"/>
      <c r="BM1495" s="9"/>
      <c r="BN1495" s="9"/>
      <c r="BO1495" s="9"/>
      <c r="BP1495" s="9"/>
      <c r="BQ1495" s="9"/>
      <c r="BR1495" s="9"/>
      <c r="BS1495" s="9"/>
      <c r="BT1495" s="9"/>
      <c r="BU1495" s="9"/>
      <c r="BV1495" s="9"/>
      <c r="BW1495" s="9"/>
    </row>
    <row r="1496" spans="1:75" x14ac:dyDescent="0.25">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c r="AR1496" s="9"/>
      <c r="AS1496" s="9"/>
      <c r="AT1496" s="9"/>
      <c r="AU1496" s="9"/>
      <c r="AV1496" s="9"/>
      <c r="AW1496" s="9"/>
      <c r="AX1496" s="9"/>
      <c r="AY1496" s="9"/>
      <c r="AZ1496" s="9"/>
      <c r="BA1496" s="9"/>
      <c r="BB1496" s="9"/>
      <c r="BC1496" s="9"/>
      <c r="BD1496" s="9"/>
      <c r="BE1496" s="9"/>
      <c r="BF1496" s="9"/>
      <c r="BG1496" s="9"/>
      <c r="BH1496" s="9"/>
      <c r="BI1496" s="9"/>
      <c r="BJ1496" s="9"/>
      <c r="BK1496" s="9"/>
      <c r="BL1496" s="9"/>
      <c r="BM1496" s="9"/>
      <c r="BN1496" s="9"/>
      <c r="BO1496" s="9"/>
      <c r="BP1496" s="9"/>
      <c r="BQ1496" s="9"/>
      <c r="BR1496" s="9"/>
      <c r="BS1496" s="9"/>
      <c r="BT1496" s="9"/>
      <c r="BU1496" s="9"/>
      <c r="BV1496" s="9"/>
      <c r="BW1496" s="9"/>
    </row>
    <row r="1497" spans="1:75" x14ac:dyDescent="0.25">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c r="AS1497" s="9"/>
      <c r="AT1497" s="9"/>
      <c r="AU1497" s="9"/>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row>
    <row r="1498" spans="1:75" x14ac:dyDescent="0.25">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c r="AS1498" s="9"/>
      <c r="AT1498" s="9"/>
      <c r="AU1498" s="9"/>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row>
    <row r="1499" spans="1:75" x14ac:dyDescent="0.25">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c r="AS1499" s="9"/>
      <c r="AT1499" s="9"/>
      <c r="AU1499" s="9"/>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row>
    <row r="1500" spans="1:75" x14ac:dyDescent="0.25">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c r="AS1500" s="9"/>
      <c r="AT1500" s="9"/>
      <c r="AU1500" s="9"/>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row>
    <row r="1501" spans="1:75" x14ac:dyDescent="0.25">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row>
    <row r="1502" spans="1:75" x14ac:dyDescent="0.25">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row>
    <row r="1503" spans="1:75" x14ac:dyDescent="0.25">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c r="AS1503" s="9"/>
      <c r="AT1503" s="9"/>
      <c r="AU1503" s="9"/>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row>
    <row r="1504" spans="1:75" x14ac:dyDescent="0.25">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row>
    <row r="1505" spans="1:75" x14ac:dyDescent="0.25">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row>
    <row r="1506" spans="1:75" x14ac:dyDescent="0.25">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row>
    <row r="1507" spans="1:75" x14ac:dyDescent="0.25">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row>
    <row r="1508" spans="1:75" x14ac:dyDescent="0.25">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row>
    <row r="1509" spans="1:75" x14ac:dyDescent="0.25">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row>
    <row r="1510" spans="1:75" x14ac:dyDescent="0.25">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row>
    <row r="1511" spans="1:75" x14ac:dyDescent="0.25">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row>
    <row r="1512" spans="1:75" x14ac:dyDescent="0.25">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row>
    <row r="1513" spans="1:75" x14ac:dyDescent="0.25">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row>
    <row r="1514" spans="1:75" x14ac:dyDescent="0.25">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c r="AS1514" s="9"/>
      <c r="AT1514" s="9"/>
      <c r="AU1514" s="9"/>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row>
    <row r="1515" spans="1:75" x14ac:dyDescent="0.25">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c r="AS1515" s="9"/>
      <c r="AT1515" s="9"/>
      <c r="AU1515" s="9"/>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row>
    <row r="1516" spans="1:75" x14ac:dyDescent="0.25">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c r="AS1516" s="9"/>
      <c r="AT1516" s="9"/>
      <c r="AU1516" s="9"/>
      <c r="AV1516" s="9"/>
      <c r="AW1516" s="9"/>
      <c r="AX1516" s="9"/>
      <c r="AY1516" s="9"/>
      <c r="AZ1516" s="9"/>
      <c r="BA1516" s="9"/>
      <c r="BB1516" s="9"/>
      <c r="BC1516" s="9"/>
      <c r="BD1516" s="9"/>
      <c r="BE1516" s="9"/>
      <c r="BF1516" s="9"/>
      <c r="BG1516" s="9"/>
      <c r="BH1516" s="9"/>
      <c r="BI1516" s="9"/>
      <c r="BJ1516" s="9"/>
      <c r="BK1516" s="9"/>
      <c r="BL1516" s="9"/>
      <c r="BM1516" s="9"/>
      <c r="BN1516" s="9"/>
      <c r="BO1516" s="9"/>
      <c r="BP1516" s="9"/>
      <c r="BQ1516" s="9"/>
      <c r="BR1516" s="9"/>
      <c r="BS1516" s="9"/>
      <c r="BT1516" s="9"/>
      <c r="BU1516" s="9"/>
      <c r="BV1516" s="9"/>
      <c r="BW1516" s="9"/>
    </row>
    <row r="1517" spans="1:75" x14ac:dyDescent="0.25">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c r="AS1517" s="9"/>
      <c r="AT1517" s="9"/>
      <c r="AU1517" s="9"/>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row>
    <row r="1518" spans="1:75" x14ac:dyDescent="0.25">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c r="AS1518" s="9"/>
      <c r="AT1518" s="9"/>
      <c r="AU1518" s="9"/>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row>
    <row r="1519" spans="1:75" x14ac:dyDescent="0.25">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c r="AS1519" s="9"/>
      <c r="AT1519" s="9"/>
      <c r="AU1519" s="9"/>
      <c r="AV1519" s="9"/>
      <c r="AW1519" s="9"/>
      <c r="AX1519" s="9"/>
      <c r="AY1519" s="9"/>
      <c r="AZ1519" s="9"/>
      <c r="BA1519" s="9"/>
      <c r="BB1519" s="9"/>
      <c r="BC1519" s="9"/>
      <c r="BD1519" s="9"/>
      <c r="BE1519" s="9"/>
      <c r="BF1519" s="9"/>
      <c r="BG1519" s="9"/>
      <c r="BH1519" s="9"/>
      <c r="BI1519" s="9"/>
      <c r="BJ1519" s="9"/>
      <c r="BK1519" s="9"/>
      <c r="BL1519" s="9"/>
      <c r="BM1519" s="9"/>
      <c r="BN1519" s="9"/>
      <c r="BO1519" s="9"/>
      <c r="BP1519" s="9"/>
      <c r="BQ1519" s="9"/>
      <c r="BR1519" s="9"/>
      <c r="BS1519" s="9"/>
      <c r="BT1519" s="9"/>
      <c r="BU1519" s="9"/>
      <c r="BV1519" s="9"/>
      <c r="BW1519" s="9"/>
    </row>
    <row r="1520" spans="1:75" x14ac:dyDescent="0.25">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c r="AO1520" s="9"/>
      <c r="AP1520" s="9"/>
      <c r="AQ1520" s="9"/>
      <c r="AR1520" s="9"/>
      <c r="AS1520" s="9"/>
      <c r="AT1520" s="9"/>
      <c r="AU1520" s="9"/>
      <c r="AV1520" s="9"/>
      <c r="AW1520" s="9"/>
      <c r="AX1520" s="9"/>
      <c r="AY1520" s="9"/>
      <c r="AZ1520" s="9"/>
      <c r="BA1520" s="9"/>
      <c r="BB1520" s="9"/>
      <c r="BC1520" s="9"/>
      <c r="BD1520" s="9"/>
      <c r="BE1520" s="9"/>
      <c r="BF1520" s="9"/>
      <c r="BG1520" s="9"/>
      <c r="BH1520" s="9"/>
      <c r="BI1520" s="9"/>
      <c r="BJ1520" s="9"/>
      <c r="BK1520" s="9"/>
      <c r="BL1520" s="9"/>
      <c r="BM1520" s="9"/>
      <c r="BN1520" s="9"/>
      <c r="BO1520" s="9"/>
      <c r="BP1520" s="9"/>
      <c r="BQ1520" s="9"/>
      <c r="BR1520" s="9"/>
      <c r="BS1520" s="9"/>
      <c r="BT1520" s="9"/>
      <c r="BU1520" s="9"/>
      <c r="BV1520" s="9"/>
      <c r="BW1520" s="9"/>
    </row>
    <row r="1521" spans="1:75" x14ac:dyDescent="0.25">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c r="AR1521" s="9"/>
      <c r="AS1521" s="9"/>
      <c r="AT1521" s="9"/>
      <c r="AU1521" s="9"/>
      <c r="AV1521" s="9"/>
      <c r="AW1521" s="9"/>
      <c r="AX1521" s="9"/>
      <c r="AY1521" s="9"/>
      <c r="AZ1521" s="9"/>
      <c r="BA1521" s="9"/>
      <c r="BB1521" s="9"/>
      <c r="BC1521" s="9"/>
      <c r="BD1521" s="9"/>
      <c r="BE1521" s="9"/>
      <c r="BF1521" s="9"/>
      <c r="BG1521" s="9"/>
      <c r="BH1521" s="9"/>
      <c r="BI1521" s="9"/>
      <c r="BJ1521" s="9"/>
      <c r="BK1521" s="9"/>
      <c r="BL1521" s="9"/>
      <c r="BM1521" s="9"/>
      <c r="BN1521" s="9"/>
      <c r="BO1521" s="9"/>
      <c r="BP1521" s="9"/>
      <c r="BQ1521" s="9"/>
      <c r="BR1521" s="9"/>
      <c r="BS1521" s="9"/>
      <c r="BT1521" s="9"/>
      <c r="BU1521" s="9"/>
      <c r="BV1521" s="9"/>
      <c r="BW1521" s="9"/>
    </row>
    <row r="1522" spans="1:75" x14ac:dyDescent="0.25">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c r="AS1522" s="9"/>
      <c r="AT1522" s="9"/>
      <c r="AU1522" s="9"/>
      <c r="AV1522" s="9"/>
      <c r="AW1522" s="9"/>
      <c r="AX1522" s="9"/>
      <c r="AY1522" s="9"/>
      <c r="AZ1522" s="9"/>
      <c r="BA1522" s="9"/>
      <c r="BB1522" s="9"/>
      <c r="BC1522" s="9"/>
      <c r="BD1522" s="9"/>
      <c r="BE1522" s="9"/>
      <c r="BF1522" s="9"/>
      <c r="BG1522" s="9"/>
      <c r="BH1522" s="9"/>
      <c r="BI1522" s="9"/>
      <c r="BJ1522" s="9"/>
      <c r="BK1522" s="9"/>
      <c r="BL1522" s="9"/>
      <c r="BM1522" s="9"/>
      <c r="BN1522" s="9"/>
      <c r="BO1522" s="9"/>
      <c r="BP1522" s="9"/>
      <c r="BQ1522" s="9"/>
      <c r="BR1522" s="9"/>
      <c r="BS1522" s="9"/>
      <c r="BT1522" s="9"/>
      <c r="BU1522" s="9"/>
      <c r="BV1522" s="9"/>
      <c r="BW1522" s="9"/>
    </row>
    <row r="1523" spans="1:75" x14ac:dyDescent="0.25">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c r="AR1523" s="9"/>
      <c r="AS1523" s="9"/>
      <c r="AT1523" s="9"/>
      <c r="AU1523" s="9"/>
      <c r="AV1523" s="9"/>
      <c r="AW1523" s="9"/>
      <c r="AX1523" s="9"/>
      <c r="AY1523" s="9"/>
      <c r="AZ1523" s="9"/>
      <c r="BA1523" s="9"/>
      <c r="BB1523" s="9"/>
      <c r="BC1523" s="9"/>
      <c r="BD1523" s="9"/>
      <c r="BE1523" s="9"/>
      <c r="BF1523" s="9"/>
      <c r="BG1523" s="9"/>
      <c r="BH1523" s="9"/>
      <c r="BI1523" s="9"/>
      <c r="BJ1523" s="9"/>
      <c r="BK1523" s="9"/>
      <c r="BL1523" s="9"/>
      <c r="BM1523" s="9"/>
      <c r="BN1523" s="9"/>
      <c r="BO1523" s="9"/>
      <c r="BP1523" s="9"/>
      <c r="BQ1523" s="9"/>
      <c r="BR1523" s="9"/>
      <c r="BS1523" s="9"/>
      <c r="BT1523" s="9"/>
      <c r="BU1523" s="9"/>
      <c r="BV1523" s="9"/>
      <c r="BW1523" s="9"/>
    </row>
    <row r="1524" spans="1:75" x14ac:dyDescent="0.25">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c r="AO1524" s="9"/>
      <c r="AP1524" s="9"/>
      <c r="AQ1524" s="9"/>
      <c r="AR1524" s="9"/>
      <c r="AS1524" s="9"/>
      <c r="AT1524" s="9"/>
      <c r="AU1524" s="9"/>
      <c r="AV1524" s="9"/>
      <c r="AW1524" s="9"/>
      <c r="AX1524" s="9"/>
      <c r="AY1524" s="9"/>
      <c r="AZ1524" s="9"/>
      <c r="BA1524" s="9"/>
      <c r="BB1524" s="9"/>
      <c r="BC1524" s="9"/>
      <c r="BD1524" s="9"/>
      <c r="BE1524" s="9"/>
      <c r="BF1524" s="9"/>
      <c r="BG1524" s="9"/>
      <c r="BH1524" s="9"/>
      <c r="BI1524" s="9"/>
      <c r="BJ1524" s="9"/>
      <c r="BK1524" s="9"/>
      <c r="BL1524" s="9"/>
      <c r="BM1524" s="9"/>
      <c r="BN1524" s="9"/>
      <c r="BO1524" s="9"/>
      <c r="BP1524" s="9"/>
      <c r="BQ1524" s="9"/>
      <c r="BR1524" s="9"/>
      <c r="BS1524" s="9"/>
      <c r="BT1524" s="9"/>
      <c r="BU1524" s="9"/>
      <c r="BV1524" s="9"/>
      <c r="BW1524" s="9"/>
    </row>
    <row r="1525" spans="1:75" x14ac:dyDescent="0.25">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c r="AS1525" s="9"/>
      <c r="AT1525" s="9"/>
      <c r="AU1525" s="9"/>
      <c r="AV1525" s="9"/>
      <c r="AW1525" s="9"/>
      <c r="AX1525" s="9"/>
      <c r="AY1525" s="9"/>
      <c r="AZ1525" s="9"/>
      <c r="BA1525" s="9"/>
      <c r="BB1525" s="9"/>
      <c r="BC1525" s="9"/>
      <c r="BD1525" s="9"/>
      <c r="BE1525" s="9"/>
      <c r="BF1525" s="9"/>
      <c r="BG1525" s="9"/>
      <c r="BH1525" s="9"/>
      <c r="BI1525" s="9"/>
      <c r="BJ1525" s="9"/>
      <c r="BK1525" s="9"/>
      <c r="BL1525" s="9"/>
      <c r="BM1525" s="9"/>
      <c r="BN1525" s="9"/>
      <c r="BO1525" s="9"/>
      <c r="BP1525" s="9"/>
      <c r="BQ1525" s="9"/>
      <c r="BR1525" s="9"/>
      <c r="BS1525" s="9"/>
      <c r="BT1525" s="9"/>
      <c r="BU1525" s="9"/>
      <c r="BV1525" s="9"/>
      <c r="BW1525" s="9"/>
    </row>
    <row r="1526" spans="1:75" x14ac:dyDescent="0.25">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c r="AS1526" s="9"/>
      <c r="AT1526" s="9"/>
      <c r="AU1526" s="9"/>
      <c r="AV1526" s="9"/>
      <c r="AW1526" s="9"/>
      <c r="AX1526" s="9"/>
      <c r="AY1526" s="9"/>
      <c r="AZ1526" s="9"/>
      <c r="BA1526" s="9"/>
      <c r="BB1526" s="9"/>
      <c r="BC1526" s="9"/>
      <c r="BD1526" s="9"/>
      <c r="BE1526" s="9"/>
      <c r="BF1526" s="9"/>
      <c r="BG1526" s="9"/>
      <c r="BH1526" s="9"/>
      <c r="BI1526" s="9"/>
      <c r="BJ1526" s="9"/>
      <c r="BK1526" s="9"/>
      <c r="BL1526" s="9"/>
      <c r="BM1526" s="9"/>
      <c r="BN1526" s="9"/>
      <c r="BO1526" s="9"/>
      <c r="BP1526" s="9"/>
      <c r="BQ1526" s="9"/>
      <c r="BR1526" s="9"/>
      <c r="BS1526" s="9"/>
      <c r="BT1526" s="9"/>
      <c r="BU1526" s="9"/>
      <c r="BV1526" s="9"/>
      <c r="BW1526" s="9"/>
    </row>
    <row r="1527" spans="1:75" x14ac:dyDescent="0.25">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c r="AO1527" s="9"/>
      <c r="AP1527" s="9"/>
      <c r="AQ1527" s="9"/>
      <c r="AR1527" s="9"/>
      <c r="AS1527" s="9"/>
      <c r="AT1527" s="9"/>
      <c r="AU1527" s="9"/>
      <c r="AV1527" s="9"/>
      <c r="AW1527" s="9"/>
      <c r="AX1527" s="9"/>
      <c r="AY1527" s="9"/>
      <c r="AZ1527" s="9"/>
      <c r="BA1527" s="9"/>
      <c r="BB1527" s="9"/>
      <c r="BC1527" s="9"/>
      <c r="BD1527" s="9"/>
      <c r="BE1527" s="9"/>
      <c r="BF1527" s="9"/>
      <c r="BG1527" s="9"/>
      <c r="BH1527" s="9"/>
      <c r="BI1527" s="9"/>
      <c r="BJ1527" s="9"/>
      <c r="BK1527" s="9"/>
      <c r="BL1527" s="9"/>
      <c r="BM1527" s="9"/>
      <c r="BN1527" s="9"/>
      <c r="BO1527" s="9"/>
      <c r="BP1527" s="9"/>
      <c r="BQ1527" s="9"/>
      <c r="BR1527" s="9"/>
      <c r="BS1527" s="9"/>
      <c r="BT1527" s="9"/>
      <c r="BU1527" s="9"/>
      <c r="BV1527" s="9"/>
      <c r="BW1527" s="9"/>
    </row>
    <row r="1528" spans="1:75" x14ac:dyDescent="0.25">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c r="AO1528" s="9"/>
      <c r="AP1528" s="9"/>
      <c r="AQ1528" s="9"/>
      <c r="AR1528" s="9"/>
      <c r="AS1528" s="9"/>
      <c r="AT1528" s="9"/>
      <c r="AU1528" s="9"/>
      <c r="AV1528" s="9"/>
      <c r="AW1528" s="9"/>
      <c r="AX1528" s="9"/>
      <c r="AY1528" s="9"/>
      <c r="AZ1528" s="9"/>
      <c r="BA1528" s="9"/>
      <c r="BB1528" s="9"/>
      <c r="BC1528" s="9"/>
      <c r="BD1528" s="9"/>
      <c r="BE1528" s="9"/>
      <c r="BF1528" s="9"/>
      <c r="BG1528" s="9"/>
      <c r="BH1528" s="9"/>
      <c r="BI1528" s="9"/>
      <c r="BJ1528" s="9"/>
      <c r="BK1528" s="9"/>
      <c r="BL1528" s="9"/>
      <c r="BM1528" s="9"/>
      <c r="BN1528" s="9"/>
      <c r="BO1528" s="9"/>
      <c r="BP1528" s="9"/>
      <c r="BQ1528" s="9"/>
      <c r="BR1528" s="9"/>
      <c r="BS1528" s="9"/>
      <c r="BT1528" s="9"/>
      <c r="BU1528" s="9"/>
      <c r="BV1528" s="9"/>
      <c r="BW1528" s="9"/>
    </row>
    <row r="1529" spans="1:75" x14ac:dyDescent="0.25">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c r="AO1529" s="9"/>
      <c r="AP1529" s="9"/>
      <c r="AQ1529" s="9"/>
      <c r="AR1529" s="9"/>
      <c r="AS1529" s="9"/>
      <c r="AT1529" s="9"/>
      <c r="AU1529" s="9"/>
      <c r="AV1529" s="9"/>
      <c r="AW1529" s="9"/>
      <c r="AX1529" s="9"/>
      <c r="AY1529" s="9"/>
      <c r="AZ1529" s="9"/>
      <c r="BA1529" s="9"/>
      <c r="BB1529" s="9"/>
      <c r="BC1529" s="9"/>
      <c r="BD1529" s="9"/>
      <c r="BE1529" s="9"/>
      <c r="BF1529" s="9"/>
      <c r="BG1529" s="9"/>
      <c r="BH1529" s="9"/>
      <c r="BI1529" s="9"/>
      <c r="BJ1529" s="9"/>
      <c r="BK1529" s="9"/>
      <c r="BL1529" s="9"/>
      <c r="BM1529" s="9"/>
      <c r="BN1529" s="9"/>
      <c r="BO1529" s="9"/>
      <c r="BP1529" s="9"/>
      <c r="BQ1529" s="9"/>
      <c r="BR1529" s="9"/>
      <c r="BS1529" s="9"/>
      <c r="BT1529" s="9"/>
      <c r="BU1529" s="9"/>
      <c r="BV1529" s="9"/>
      <c r="BW1529" s="9"/>
    </row>
    <row r="1530" spans="1:75" x14ac:dyDescent="0.25">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c r="AO1530" s="9"/>
      <c r="AP1530" s="9"/>
      <c r="AQ1530" s="9"/>
      <c r="AR1530" s="9"/>
      <c r="AS1530" s="9"/>
      <c r="AT1530" s="9"/>
      <c r="AU1530" s="9"/>
      <c r="AV1530" s="9"/>
      <c r="AW1530" s="9"/>
      <c r="AX1530" s="9"/>
      <c r="AY1530" s="9"/>
      <c r="AZ1530" s="9"/>
      <c r="BA1530" s="9"/>
      <c r="BB1530" s="9"/>
      <c r="BC1530" s="9"/>
      <c r="BD1530" s="9"/>
      <c r="BE1530" s="9"/>
      <c r="BF1530" s="9"/>
      <c r="BG1530" s="9"/>
      <c r="BH1530" s="9"/>
      <c r="BI1530" s="9"/>
      <c r="BJ1530" s="9"/>
      <c r="BK1530" s="9"/>
      <c r="BL1530" s="9"/>
      <c r="BM1530" s="9"/>
      <c r="BN1530" s="9"/>
      <c r="BO1530" s="9"/>
      <c r="BP1530" s="9"/>
      <c r="BQ1530" s="9"/>
      <c r="BR1530" s="9"/>
      <c r="BS1530" s="9"/>
      <c r="BT1530" s="9"/>
      <c r="BU1530" s="9"/>
      <c r="BV1530" s="9"/>
      <c r="BW1530" s="9"/>
    </row>
    <row r="1531" spans="1:75" x14ac:dyDescent="0.25">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c r="AO1531" s="9"/>
      <c r="AP1531" s="9"/>
      <c r="AQ1531" s="9"/>
      <c r="AR1531" s="9"/>
      <c r="AS1531" s="9"/>
      <c r="AT1531" s="9"/>
      <c r="AU1531" s="9"/>
      <c r="AV1531" s="9"/>
      <c r="AW1531" s="9"/>
      <c r="AX1531" s="9"/>
      <c r="AY1531" s="9"/>
      <c r="AZ1531" s="9"/>
      <c r="BA1531" s="9"/>
      <c r="BB1531" s="9"/>
      <c r="BC1531" s="9"/>
      <c r="BD1531" s="9"/>
      <c r="BE1531" s="9"/>
      <c r="BF1531" s="9"/>
      <c r="BG1531" s="9"/>
      <c r="BH1531" s="9"/>
      <c r="BI1531" s="9"/>
      <c r="BJ1531" s="9"/>
      <c r="BK1531" s="9"/>
      <c r="BL1531" s="9"/>
      <c r="BM1531" s="9"/>
      <c r="BN1531" s="9"/>
      <c r="BO1531" s="9"/>
      <c r="BP1531" s="9"/>
      <c r="BQ1531" s="9"/>
      <c r="BR1531" s="9"/>
      <c r="BS1531" s="9"/>
      <c r="BT1531" s="9"/>
      <c r="BU1531" s="9"/>
      <c r="BV1531" s="9"/>
      <c r="BW1531" s="9"/>
    </row>
    <row r="1532" spans="1:75" x14ac:dyDescent="0.25">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c r="AR1532" s="9"/>
      <c r="AS1532" s="9"/>
      <c r="AT1532" s="9"/>
      <c r="AU1532" s="9"/>
      <c r="AV1532" s="9"/>
      <c r="AW1532" s="9"/>
      <c r="AX1532" s="9"/>
      <c r="AY1532" s="9"/>
      <c r="AZ1532" s="9"/>
      <c r="BA1532" s="9"/>
      <c r="BB1532" s="9"/>
      <c r="BC1532" s="9"/>
      <c r="BD1532" s="9"/>
      <c r="BE1532" s="9"/>
      <c r="BF1532" s="9"/>
      <c r="BG1532" s="9"/>
      <c r="BH1532" s="9"/>
      <c r="BI1532" s="9"/>
      <c r="BJ1532" s="9"/>
      <c r="BK1532" s="9"/>
      <c r="BL1532" s="9"/>
      <c r="BM1532" s="9"/>
      <c r="BN1532" s="9"/>
      <c r="BO1532" s="9"/>
      <c r="BP1532" s="9"/>
      <c r="BQ1532" s="9"/>
      <c r="BR1532" s="9"/>
      <c r="BS1532" s="9"/>
      <c r="BT1532" s="9"/>
      <c r="BU1532" s="9"/>
      <c r="BV1532" s="9"/>
      <c r="BW1532" s="9"/>
    </row>
    <row r="1533" spans="1:75" x14ac:dyDescent="0.25">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c r="AO1533" s="9"/>
      <c r="AP1533" s="9"/>
      <c r="AQ1533" s="9"/>
      <c r="AR1533" s="9"/>
      <c r="AS1533" s="9"/>
      <c r="AT1533" s="9"/>
      <c r="AU1533" s="9"/>
      <c r="AV1533" s="9"/>
      <c r="AW1533" s="9"/>
      <c r="AX1533" s="9"/>
      <c r="AY1533" s="9"/>
      <c r="AZ1533" s="9"/>
      <c r="BA1533" s="9"/>
      <c r="BB1533" s="9"/>
      <c r="BC1533" s="9"/>
      <c r="BD1533" s="9"/>
      <c r="BE1533" s="9"/>
      <c r="BF1533" s="9"/>
      <c r="BG1533" s="9"/>
      <c r="BH1533" s="9"/>
      <c r="BI1533" s="9"/>
      <c r="BJ1533" s="9"/>
      <c r="BK1533" s="9"/>
      <c r="BL1533" s="9"/>
      <c r="BM1533" s="9"/>
      <c r="BN1533" s="9"/>
      <c r="BO1533" s="9"/>
      <c r="BP1533" s="9"/>
      <c r="BQ1533" s="9"/>
      <c r="BR1533" s="9"/>
      <c r="BS1533" s="9"/>
      <c r="BT1533" s="9"/>
      <c r="BU1533" s="9"/>
      <c r="BV1533" s="9"/>
      <c r="BW1533" s="9"/>
    </row>
    <row r="1534" spans="1:75" x14ac:dyDescent="0.25">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c r="AS1534" s="9"/>
      <c r="AT1534" s="9"/>
      <c r="AU1534" s="9"/>
      <c r="AV1534" s="9"/>
      <c r="AW1534" s="9"/>
      <c r="AX1534" s="9"/>
      <c r="AY1534" s="9"/>
      <c r="AZ1534" s="9"/>
      <c r="BA1534" s="9"/>
      <c r="BB1534" s="9"/>
      <c r="BC1534" s="9"/>
      <c r="BD1534" s="9"/>
      <c r="BE1534" s="9"/>
      <c r="BF1534" s="9"/>
      <c r="BG1534" s="9"/>
      <c r="BH1534" s="9"/>
      <c r="BI1534" s="9"/>
      <c r="BJ1534" s="9"/>
      <c r="BK1534" s="9"/>
      <c r="BL1534" s="9"/>
      <c r="BM1534" s="9"/>
      <c r="BN1534" s="9"/>
      <c r="BO1534" s="9"/>
      <c r="BP1534" s="9"/>
      <c r="BQ1534" s="9"/>
      <c r="BR1534" s="9"/>
      <c r="BS1534" s="9"/>
      <c r="BT1534" s="9"/>
      <c r="BU1534" s="9"/>
      <c r="BV1534" s="9"/>
      <c r="BW1534" s="9"/>
    </row>
    <row r="1535" spans="1:75" x14ac:dyDescent="0.25">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c r="AO1535" s="9"/>
      <c r="AP1535" s="9"/>
      <c r="AQ1535" s="9"/>
      <c r="AR1535" s="9"/>
      <c r="AS1535" s="9"/>
      <c r="AT1535" s="9"/>
      <c r="AU1535" s="9"/>
      <c r="AV1535" s="9"/>
      <c r="AW1535" s="9"/>
      <c r="AX1535" s="9"/>
      <c r="AY1535" s="9"/>
      <c r="AZ1535" s="9"/>
      <c r="BA1535" s="9"/>
      <c r="BB1535" s="9"/>
      <c r="BC1535" s="9"/>
      <c r="BD1535" s="9"/>
      <c r="BE1535" s="9"/>
      <c r="BF1535" s="9"/>
      <c r="BG1535" s="9"/>
      <c r="BH1535" s="9"/>
      <c r="BI1535" s="9"/>
      <c r="BJ1535" s="9"/>
      <c r="BK1535" s="9"/>
      <c r="BL1535" s="9"/>
      <c r="BM1535" s="9"/>
      <c r="BN1535" s="9"/>
      <c r="BO1535" s="9"/>
      <c r="BP1535" s="9"/>
      <c r="BQ1535" s="9"/>
      <c r="BR1535" s="9"/>
      <c r="BS1535" s="9"/>
      <c r="BT1535" s="9"/>
      <c r="BU1535" s="9"/>
      <c r="BV1535" s="9"/>
      <c r="BW1535" s="9"/>
    </row>
    <row r="1536" spans="1:75" x14ac:dyDescent="0.25">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c r="AO1536" s="9"/>
      <c r="AP1536" s="9"/>
      <c r="AQ1536" s="9"/>
      <c r="AR1536" s="9"/>
      <c r="AS1536" s="9"/>
      <c r="AT1536" s="9"/>
      <c r="AU1536" s="9"/>
      <c r="AV1536" s="9"/>
      <c r="AW1536" s="9"/>
      <c r="AX1536" s="9"/>
      <c r="AY1536" s="9"/>
      <c r="AZ1536" s="9"/>
      <c r="BA1536" s="9"/>
      <c r="BB1536" s="9"/>
      <c r="BC1536" s="9"/>
      <c r="BD1536" s="9"/>
      <c r="BE1536" s="9"/>
      <c r="BF1536" s="9"/>
      <c r="BG1536" s="9"/>
      <c r="BH1536" s="9"/>
      <c r="BI1536" s="9"/>
      <c r="BJ1536" s="9"/>
      <c r="BK1536" s="9"/>
      <c r="BL1536" s="9"/>
      <c r="BM1536" s="9"/>
      <c r="BN1536" s="9"/>
      <c r="BO1536" s="9"/>
      <c r="BP1536" s="9"/>
      <c r="BQ1536" s="9"/>
      <c r="BR1536" s="9"/>
      <c r="BS1536" s="9"/>
      <c r="BT1536" s="9"/>
      <c r="BU1536" s="9"/>
      <c r="BV1536" s="9"/>
      <c r="BW1536" s="9"/>
    </row>
    <row r="1537" spans="1:75" x14ac:dyDescent="0.25">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c r="AO1537" s="9"/>
      <c r="AP1537" s="9"/>
      <c r="AQ1537" s="9"/>
      <c r="AR1537" s="9"/>
      <c r="AS1537" s="9"/>
      <c r="AT1537" s="9"/>
      <c r="AU1537" s="9"/>
      <c r="AV1537" s="9"/>
      <c r="AW1537" s="9"/>
      <c r="AX1537" s="9"/>
      <c r="AY1537" s="9"/>
      <c r="AZ1537" s="9"/>
      <c r="BA1537" s="9"/>
      <c r="BB1537" s="9"/>
      <c r="BC1537" s="9"/>
      <c r="BD1537" s="9"/>
      <c r="BE1537" s="9"/>
      <c r="BF1537" s="9"/>
      <c r="BG1537" s="9"/>
      <c r="BH1537" s="9"/>
      <c r="BI1537" s="9"/>
      <c r="BJ1537" s="9"/>
      <c r="BK1537" s="9"/>
      <c r="BL1537" s="9"/>
      <c r="BM1537" s="9"/>
      <c r="BN1537" s="9"/>
      <c r="BO1537" s="9"/>
      <c r="BP1537" s="9"/>
      <c r="BQ1537" s="9"/>
      <c r="BR1537" s="9"/>
      <c r="BS1537" s="9"/>
      <c r="BT1537" s="9"/>
      <c r="BU1537" s="9"/>
      <c r="BV1537" s="9"/>
      <c r="BW1537" s="9"/>
    </row>
    <row r="1538" spans="1:75" x14ac:dyDescent="0.25">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c r="AS1538" s="9"/>
      <c r="AT1538" s="9"/>
      <c r="AU1538" s="9"/>
      <c r="AV1538" s="9"/>
      <c r="AW1538" s="9"/>
      <c r="AX1538" s="9"/>
      <c r="AY1538" s="9"/>
      <c r="AZ1538" s="9"/>
      <c r="BA1538" s="9"/>
      <c r="BB1538" s="9"/>
      <c r="BC1538" s="9"/>
      <c r="BD1538" s="9"/>
      <c r="BE1538" s="9"/>
      <c r="BF1538" s="9"/>
      <c r="BG1538" s="9"/>
      <c r="BH1538" s="9"/>
      <c r="BI1538" s="9"/>
      <c r="BJ1538" s="9"/>
      <c r="BK1538" s="9"/>
      <c r="BL1538" s="9"/>
      <c r="BM1538" s="9"/>
      <c r="BN1538" s="9"/>
      <c r="BO1538" s="9"/>
      <c r="BP1538" s="9"/>
      <c r="BQ1538" s="9"/>
      <c r="BR1538" s="9"/>
      <c r="BS1538" s="9"/>
      <c r="BT1538" s="9"/>
      <c r="BU1538" s="9"/>
      <c r="BV1538" s="9"/>
      <c r="BW1538" s="9"/>
    </row>
    <row r="1539" spans="1:75" x14ac:dyDescent="0.25">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c r="AS1539" s="9"/>
      <c r="AT1539" s="9"/>
      <c r="AU1539" s="9"/>
      <c r="AV1539" s="9"/>
      <c r="AW1539" s="9"/>
      <c r="AX1539" s="9"/>
      <c r="AY1539" s="9"/>
      <c r="AZ1539" s="9"/>
      <c r="BA1539" s="9"/>
      <c r="BB1539" s="9"/>
      <c r="BC1539" s="9"/>
      <c r="BD1539" s="9"/>
      <c r="BE1539" s="9"/>
      <c r="BF1539" s="9"/>
      <c r="BG1539" s="9"/>
      <c r="BH1539" s="9"/>
      <c r="BI1539" s="9"/>
      <c r="BJ1539" s="9"/>
      <c r="BK1539" s="9"/>
      <c r="BL1539" s="9"/>
      <c r="BM1539" s="9"/>
      <c r="BN1539" s="9"/>
      <c r="BO1539" s="9"/>
      <c r="BP1539" s="9"/>
      <c r="BQ1539" s="9"/>
      <c r="BR1539" s="9"/>
      <c r="BS1539" s="9"/>
      <c r="BT1539" s="9"/>
      <c r="BU1539" s="9"/>
      <c r="BV1539" s="9"/>
      <c r="BW1539" s="9"/>
    </row>
    <row r="1540" spans="1:75" x14ac:dyDescent="0.25">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c r="AR1540" s="9"/>
      <c r="AS1540" s="9"/>
      <c r="AT1540" s="9"/>
      <c r="AU1540" s="9"/>
      <c r="AV1540" s="9"/>
      <c r="AW1540" s="9"/>
      <c r="AX1540" s="9"/>
      <c r="AY1540" s="9"/>
      <c r="AZ1540" s="9"/>
      <c r="BA1540" s="9"/>
      <c r="BB1540" s="9"/>
      <c r="BC1540" s="9"/>
      <c r="BD1540" s="9"/>
      <c r="BE1540" s="9"/>
      <c r="BF1540" s="9"/>
      <c r="BG1540" s="9"/>
      <c r="BH1540" s="9"/>
      <c r="BI1540" s="9"/>
      <c r="BJ1540" s="9"/>
      <c r="BK1540" s="9"/>
      <c r="BL1540" s="9"/>
      <c r="BM1540" s="9"/>
      <c r="BN1540" s="9"/>
      <c r="BO1540" s="9"/>
      <c r="BP1540" s="9"/>
      <c r="BQ1540" s="9"/>
      <c r="BR1540" s="9"/>
      <c r="BS1540" s="9"/>
      <c r="BT1540" s="9"/>
      <c r="BU1540" s="9"/>
      <c r="BV1540" s="9"/>
      <c r="BW1540" s="9"/>
    </row>
    <row r="1541" spans="1:75" x14ac:dyDescent="0.25">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c r="AO1541" s="9"/>
      <c r="AP1541" s="9"/>
      <c r="AQ1541" s="9"/>
      <c r="AR1541" s="9"/>
      <c r="AS1541" s="9"/>
      <c r="AT1541" s="9"/>
      <c r="AU1541" s="9"/>
      <c r="AV1541" s="9"/>
      <c r="AW1541" s="9"/>
      <c r="AX1541" s="9"/>
      <c r="AY1541" s="9"/>
      <c r="AZ1541" s="9"/>
      <c r="BA1541" s="9"/>
      <c r="BB1541" s="9"/>
      <c r="BC1541" s="9"/>
      <c r="BD1541" s="9"/>
      <c r="BE1541" s="9"/>
      <c r="BF1541" s="9"/>
      <c r="BG1541" s="9"/>
      <c r="BH1541" s="9"/>
      <c r="BI1541" s="9"/>
      <c r="BJ1541" s="9"/>
      <c r="BK1541" s="9"/>
      <c r="BL1541" s="9"/>
      <c r="BM1541" s="9"/>
      <c r="BN1541" s="9"/>
      <c r="BO1541" s="9"/>
      <c r="BP1541" s="9"/>
      <c r="BQ1541" s="9"/>
      <c r="BR1541" s="9"/>
      <c r="BS1541" s="9"/>
      <c r="BT1541" s="9"/>
      <c r="BU1541" s="9"/>
      <c r="BV1541" s="9"/>
      <c r="BW1541" s="9"/>
    </row>
    <row r="1542" spans="1:75" x14ac:dyDescent="0.25">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c r="AR1542" s="9"/>
      <c r="AS1542" s="9"/>
      <c r="AT1542" s="9"/>
      <c r="AU1542" s="9"/>
      <c r="AV1542" s="9"/>
      <c r="AW1542" s="9"/>
      <c r="AX1542" s="9"/>
      <c r="AY1542" s="9"/>
      <c r="AZ1542" s="9"/>
      <c r="BA1542" s="9"/>
      <c r="BB1542" s="9"/>
      <c r="BC1542" s="9"/>
      <c r="BD1542" s="9"/>
      <c r="BE1542" s="9"/>
      <c r="BF1542" s="9"/>
      <c r="BG1542" s="9"/>
      <c r="BH1542" s="9"/>
      <c r="BI1542" s="9"/>
      <c r="BJ1542" s="9"/>
      <c r="BK1542" s="9"/>
      <c r="BL1542" s="9"/>
      <c r="BM1542" s="9"/>
      <c r="BN1542" s="9"/>
      <c r="BO1542" s="9"/>
      <c r="BP1542" s="9"/>
      <c r="BQ1542" s="9"/>
      <c r="BR1542" s="9"/>
      <c r="BS1542" s="9"/>
      <c r="BT1542" s="9"/>
      <c r="BU1542" s="9"/>
      <c r="BV1542" s="9"/>
      <c r="BW1542" s="9"/>
    </row>
    <row r="1543" spans="1:75" x14ac:dyDescent="0.25">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c r="AR1543" s="9"/>
      <c r="AS1543" s="9"/>
      <c r="AT1543" s="9"/>
      <c r="AU1543" s="9"/>
      <c r="AV1543" s="9"/>
      <c r="AW1543" s="9"/>
      <c r="AX1543" s="9"/>
      <c r="AY1543" s="9"/>
      <c r="AZ1543" s="9"/>
      <c r="BA1543" s="9"/>
      <c r="BB1543" s="9"/>
      <c r="BC1543" s="9"/>
      <c r="BD1543" s="9"/>
      <c r="BE1543" s="9"/>
      <c r="BF1543" s="9"/>
      <c r="BG1543" s="9"/>
      <c r="BH1543" s="9"/>
      <c r="BI1543" s="9"/>
      <c r="BJ1543" s="9"/>
      <c r="BK1543" s="9"/>
      <c r="BL1543" s="9"/>
      <c r="BM1543" s="9"/>
      <c r="BN1543" s="9"/>
      <c r="BO1543" s="9"/>
      <c r="BP1543" s="9"/>
      <c r="BQ1543" s="9"/>
      <c r="BR1543" s="9"/>
      <c r="BS1543" s="9"/>
      <c r="BT1543" s="9"/>
      <c r="BU1543" s="9"/>
      <c r="BV1543" s="9"/>
      <c r="BW1543" s="9"/>
    </row>
    <row r="1544" spans="1:75" x14ac:dyDescent="0.25">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c r="AO1544" s="9"/>
      <c r="AP1544" s="9"/>
      <c r="AQ1544" s="9"/>
      <c r="AR1544" s="9"/>
      <c r="AS1544" s="9"/>
      <c r="AT1544" s="9"/>
      <c r="AU1544" s="9"/>
      <c r="AV1544" s="9"/>
      <c r="AW1544" s="9"/>
      <c r="AX1544" s="9"/>
      <c r="AY1544" s="9"/>
      <c r="AZ1544" s="9"/>
      <c r="BA1544" s="9"/>
      <c r="BB1544" s="9"/>
      <c r="BC1544" s="9"/>
      <c r="BD1544" s="9"/>
      <c r="BE1544" s="9"/>
      <c r="BF1544" s="9"/>
      <c r="BG1544" s="9"/>
      <c r="BH1544" s="9"/>
      <c r="BI1544" s="9"/>
      <c r="BJ1544" s="9"/>
      <c r="BK1544" s="9"/>
      <c r="BL1544" s="9"/>
      <c r="BM1544" s="9"/>
      <c r="BN1544" s="9"/>
      <c r="BO1544" s="9"/>
      <c r="BP1544" s="9"/>
      <c r="BQ1544" s="9"/>
      <c r="BR1544" s="9"/>
      <c r="BS1544" s="9"/>
      <c r="BT1544" s="9"/>
      <c r="BU1544" s="9"/>
      <c r="BV1544" s="9"/>
      <c r="BW1544" s="9"/>
    </row>
    <row r="1545" spans="1:75" x14ac:dyDescent="0.25">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c r="AO1545" s="9"/>
      <c r="AP1545" s="9"/>
      <c r="AQ1545" s="9"/>
      <c r="AR1545" s="9"/>
      <c r="AS1545" s="9"/>
      <c r="AT1545" s="9"/>
      <c r="AU1545" s="9"/>
      <c r="AV1545" s="9"/>
      <c r="AW1545" s="9"/>
      <c r="AX1545" s="9"/>
      <c r="AY1545" s="9"/>
      <c r="AZ1545" s="9"/>
      <c r="BA1545" s="9"/>
      <c r="BB1545" s="9"/>
      <c r="BC1545" s="9"/>
      <c r="BD1545" s="9"/>
      <c r="BE1545" s="9"/>
      <c r="BF1545" s="9"/>
      <c r="BG1545" s="9"/>
      <c r="BH1545" s="9"/>
      <c r="BI1545" s="9"/>
      <c r="BJ1545" s="9"/>
      <c r="BK1545" s="9"/>
      <c r="BL1545" s="9"/>
      <c r="BM1545" s="9"/>
      <c r="BN1545" s="9"/>
      <c r="BO1545" s="9"/>
      <c r="BP1545" s="9"/>
      <c r="BQ1545" s="9"/>
      <c r="BR1545" s="9"/>
      <c r="BS1545" s="9"/>
      <c r="BT1545" s="9"/>
      <c r="BU1545" s="9"/>
      <c r="BV1545" s="9"/>
      <c r="BW1545" s="9"/>
    </row>
    <row r="1546" spans="1:75" x14ac:dyDescent="0.25">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c r="AO1546" s="9"/>
      <c r="AP1546" s="9"/>
      <c r="AQ1546" s="9"/>
      <c r="AR1546" s="9"/>
      <c r="AS1546" s="9"/>
      <c r="AT1546" s="9"/>
      <c r="AU1546" s="9"/>
      <c r="AV1546" s="9"/>
      <c r="AW1546" s="9"/>
      <c r="AX1546" s="9"/>
      <c r="AY1546" s="9"/>
      <c r="AZ1546" s="9"/>
      <c r="BA1546" s="9"/>
      <c r="BB1546" s="9"/>
      <c r="BC1546" s="9"/>
      <c r="BD1546" s="9"/>
      <c r="BE1546" s="9"/>
      <c r="BF1546" s="9"/>
      <c r="BG1546" s="9"/>
      <c r="BH1546" s="9"/>
      <c r="BI1546" s="9"/>
      <c r="BJ1546" s="9"/>
      <c r="BK1546" s="9"/>
      <c r="BL1546" s="9"/>
      <c r="BM1546" s="9"/>
      <c r="BN1546" s="9"/>
      <c r="BO1546" s="9"/>
      <c r="BP1546" s="9"/>
      <c r="BQ1546" s="9"/>
      <c r="BR1546" s="9"/>
      <c r="BS1546" s="9"/>
      <c r="BT1546" s="9"/>
      <c r="BU1546" s="9"/>
      <c r="BV1546" s="9"/>
      <c r="BW1546" s="9"/>
    </row>
    <row r="1547" spans="1:75" x14ac:dyDescent="0.25">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c r="AS1547" s="9"/>
      <c r="AT1547" s="9"/>
      <c r="AU1547" s="9"/>
      <c r="AV1547" s="9"/>
      <c r="AW1547" s="9"/>
      <c r="AX1547" s="9"/>
      <c r="AY1547" s="9"/>
      <c r="AZ1547" s="9"/>
      <c r="BA1547" s="9"/>
      <c r="BB1547" s="9"/>
      <c r="BC1547" s="9"/>
      <c r="BD1547" s="9"/>
      <c r="BE1547" s="9"/>
      <c r="BF1547" s="9"/>
      <c r="BG1547" s="9"/>
      <c r="BH1547" s="9"/>
      <c r="BI1547" s="9"/>
      <c r="BJ1547" s="9"/>
      <c r="BK1547" s="9"/>
      <c r="BL1547" s="9"/>
      <c r="BM1547" s="9"/>
      <c r="BN1547" s="9"/>
      <c r="BO1547" s="9"/>
      <c r="BP1547" s="9"/>
      <c r="BQ1547" s="9"/>
      <c r="BR1547" s="9"/>
      <c r="BS1547" s="9"/>
      <c r="BT1547" s="9"/>
      <c r="BU1547" s="9"/>
      <c r="BV1547" s="9"/>
      <c r="BW1547" s="9"/>
    </row>
    <row r="1548" spans="1:75" x14ac:dyDescent="0.25">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c r="AO1548" s="9"/>
      <c r="AP1548" s="9"/>
      <c r="AQ1548" s="9"/>
      <c r="AR1548" s="9"/>
      <c r="AS1548" s="9"/>
      <c r="AT1548" s="9"/>
      <c r="AU1548" s="9"/>
      <c r="AV1548" s="9"/>
      <c r="AW1548" s="9"/>
      <c r="AX1548" s="9"/>
      <c r="AY1548" s="9"/>
      <c r="AZ1548" s="9"/>
      <c r="BA1548" s="9"/>
      <c r="BB1548" s="9"/>
      <c r="BC1548" s="9"/>
      <c r="BD1548" s="9"/>
      <c r="BE1548" s="9"/>
      <c r="BF1548" s="9"/>
      <c r="BG1548" s="9"/>
      <c r="BH1548" s="9"/>
      <c r="BI1548" s="9"/>
      <c r="BJ1548" s="9"/>
      <c r="BK1548" s="9"/>
      <c r="BL1548" s="9"/>
      <c r="BM1548" s="9"/>
      <c r="BN1548" s="9"/>
      <c r="BO1548" s="9"/>
      <c r="BP1548" s="9"/>
      <c r="BQ1548" s="9"/>
      <c r="BR1548" s="9"/>
      <c r="BS1548" s="9"/>
      <c r="BT1548" s="9"/>
      <c r="BU1548" s="9"/>
      <c r="BV1548" s="9"/>
      <c r="BW1548" s="9"/>
    </row>
    <row r="1549" spans="1:75" x14ac:dyDescent="0.25">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c r="AO1549" s="9"/>
      <c r="AP1549" s="9"/>
      <c r="AQ1549" s="9"/>
      <c r="AR1549" s="9"/>
      <c r="AS1549" s="9"/>
      <c r="AT1549" s="9"/>
      <c r="AU1549" s="9"/>
      <c r="AV1549" s="9"/>
      <c r="AW1549" s="9"/>
      <c r="AX1549" s="9"/>
      <c r="AY1549" s="9"/>
      <c r="AZ1549" s="9"/>
      <c r="BA1549" s="9"/>
      <c r="BB1549" s="9"/>
      <c r="BC1549" s="9"/>
      <c r="BD1549" s="9"/>
      <c r="BE1549" s="9"/>
      <c r="BF1549" s="9"/>
      <c r="BG1549" s="9"/>
      <c r="BH1549" s="9"/>
      <c r="BI1549" s="9"/>
      <c r="BJ1549" s="9"/>
      <c r="BK1549" s="9"/>
      <c r="BL1549" s="9"/>
      <c r="BM1549" s="9"/>
      <c r="BN1549" s="9"/>
      <c r="BO1549" s="9"/>
      <c r="BP1549" s="9"/>
      <c r="BQ1549" s="9"/>
      <c r="BR1549" s="9"/>
      <c r="BS1549" s="9"/>
      <c r="BT1549" s="9"/>
      <c r="BU1549" s="9"/>
      <c r="BV1549" s="9"/>
      <c r="BW1549" s="9"/>
    </row>
    <row r="1550" spans="1:75" x14ac:dyDescent="0.25">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c r="AR1550" s="9"/>
      <c r="AS1550" s="9"/>
      <c r="AT1550" s="9"/>
      <c r="AU1550" s="9"/>
      <c r="AV1550" s="9"/>
      <c r="AW1550" s="9"/>
      <c r="AX1550" s="9"/>
      <c r="AY1550" s="9"/>
      <c r="AZ1550" s="9"/>
      <c r="BA1550" s="9"/>
      <c r="BB1550" s="9"/>
      <c r="BC1550" s="9"/>
      <c r="BD1550" s="9"/>
      <c r="BE1550" s="9"/>
      <c r="BF1550" s="9"/>
      <c r="BG1550" s="9"/>
      <c r="BH1550" s="9"/>
      <c r="BI1550" s="9"/>
      <c r="BJ1550" s="9"/>
      <c r="BK1550" s="9"/>
      <c r="BL1550" s="9"/>
      <c r="BM1550" s="9"/>
      <c r="BN1550" s="9"/>
      <c r="BO1550" s="9"/>
      <c r="BP1550" s="9"/>
      <c r="BQ1550" s="9"/>
      <c r="BR1550" s="9"/>
      <c r="BS1550" s="9"/>
      <c r="BT1550" s="9"/>
      <c r="BU1550" s="9"/>
      <c r="BV1550" s="9"/>
      <c r="BW1550" s="9"/>
    </row>
    <row r="1551" spans="1:75" x14ac:dyDescent="0.25">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c r="AO1551" s="9"/>
      <c r="AP1551" s="9"/>
      <c r="AQ1551" s="9"/>
      <c r="AR1551" s="9"/>
      <c r="AS1551" s="9"/>
      <c r="AT1551" s="9"/>
      <c r="AU1551" s="9"/>
      <c r="AV1551" s="9"/>
      <c r="AW1551" s="9"/>
      <c r="AX1551" s="9"/>
      <c r="AY1551" s="9"/>
      <c r="AZ1551" s="9"/>
      <c r="BA1551" s="9"/>
      <c r="BB1551" s="9"/>
      <c r="BC1551" s="9"/>
      <c r="BD1551" s="9"/>
      <c r="BE1551" s="9"/>
      <c r="BF1551" s="9"/>
      <c r="BG1551" s="9"/>
      <c r="BH1551" s="9"/>
      <c r="BI1551" s="9"/>
      <c r="BJ1551" s="9"/>
      <c r="BK1551" s="9"/>
      <c r="BL1551" s="9"/>
      <c r="BM1551" s="9"/>
      <c r="BN1551" s="9"/>
      <c r="BO1551" s="9"/>
      <c r="BP1551" s="9"/>
      <c r="BQ1551" s="9"/>
      <c r="BR1551" s="9"/>
      <c r="BS1551" s="9"/>
      <c r="BT1551" s="9"/>
      <c r="BU1551" s="9"/>
      <c r="BV1551" s="9"/>
      <c r="BW1551" s="9"/>
    </row>
    <row r="1552" spans="1:75" x14ac:dyDescent="0.25">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c r="AR1552" s="9"/>
      <c r="AS1552" s="9"/>
      <c r="AT1552" s="9"/>
      <c r="AU1552" s="9"/>
      <c r="AV1552" s="9"/>
      <c r="AW1552" s="9"/>
      <c r="AX1552" s="9"/>
      <c r="AY1552" s="9"/>
      <c r="AZ1552" s="9"/>
      <c r="BA1552" s="9"/>
      <c r="BB1552" s="9"/>
      <c r="BC1552" s="9"/>
      <c r="BD1552" s="9"/>
      <c r="BE1552" s="9"/>
      <c r="BF1552" s="9"/>
      <c r="BG1552" s="9"/>
      <c r="BH1552" s="9"/>
      <c r="BI1552" s="9"/>
      <c r="BJ1552" s="9"/>
      <c r="BK1552" s="9"/>
      <c r="BL1552" s="9"/>
      <c r="BM1552" s="9"/>
      <c r="BN1552" s="9"/>
      <c r="BO1552" s="9"/>
      <c r="BP1552" s="9"/>
      <c r="BQ1552" s="9"/>
      <c r="BR1552" s="9"/>
      <c r="BS1552" s="9"/>
      <c r="BT1552" s="9"/>
      <c r="BU1552" s="9"/>
      <c r="BV1552" s="9"/>
      <c r="BW1552" s="9"/>
    </row>
    <row r="1553" spans="1:75" x14ac:dyDescent="0.25">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c r="AO1553" s="9"/>
      <c r="AP1553" s="9"/>
      <c r="AQ1553" s="9"/>
      <c r="AR1553" s="9"/>
      <c r="AS1553" s="9"/>
      <c r="AT1553" s="9"/>
      <c r="AU1553" s="9"/>
      <c r="AV1553" s="9"/>
      <c r="AW1553" s="9"/>
      <c r="AX1553" s="9"/>
      <c r="AY1553" s="9"/>
      <c r="AZ1553" s="9"/>
      <c r="BA1553" s="9"/>
      <c r="BB1553" s="9"/>
      <c r="BC1553" s="9"/>
      <c r="BD1553" s="9"/>
      <c r="BE1553" s="9"/>
      <c r="BF1553" s="9"/>
      <c r="BG1553" s="9"/>
      <c r="BH1553" s="9"/>
      <c r="BI1553" s="9"/>
      <c r="BJ1553" s="9"/>
      <c r="BK1553" s="9"/>
      <c r="BL1553" s="9"/>
      <c r="BM1553" s="9"/>
      <c r="BN1553" s="9"/>
      <c r="BO1553" s="9"/>
      <c r="BP1553" s="9"/>
      <c r="BQ1553" s="9"/>
      <c r="BR1553" s="9"/>
      <c r="BS1553" s="9"/>
      <c r="BT1553" s="9"/>
      <c r="BU1553" s="9"/>
      <c r="BV1553" s="9"/>
      <c r="BW1553" s="9"/>
    </row>
    <row r="1554" spans="1:75" x14ac:dyDescent="0.25">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c r="AS1554" s="9"/>
      <c r="AT1554" s="9"/>
      <c r="AU1554" s="9"/>
      <c r="AV1554" s="9"/>
      <c r="AW1554" s="9"/>
      <c r="AX1554" s="9"/>
      <c r="AY1554" s="9"/>
      <c r="AZ1554" s="9"/>
      <c r="BA1554" s="9"/>
      <c r="BB1554" s="9"/>
      <c r="BC1554" s="9"/>
      <c r="BD1554" s="9"/>
      <c r="BE1554" s="9"/>
      <c r="BF1554" s="9"/>
      <c r="BG1554" s="9"/>
      <c r="BH1554" s="9"/>
      <c r="BI1554" s="9"/>
      <c r="BJ1554" s="9"/>
      <c r="BK1554" s="9"/>
      <c r="BL1554" s="9"/>
      <c r="BM1554" s="9"/>
      <c r="BN1554" s="9"/>
      <c r="BO1554" s="9"/>
      <c r="BP1554" s="9"/>
      <c r="BQ1554" s="9"/>
      <c r="BR1554" s="9"/>
      <c r="BS1554" s="9"/>
      <c r="BT1554" s="9"/>
      <c r="BU1554" s="9"/>
      <c r="BV1554" s="9"/>
      <c r="BW1554" s="9"/>
    </row>
    <row r="1555" spans="1:75" x14ac:dyDescent="0.25">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c r="AS1555" s="9"/>
      <c r="AT1555" s="9"/>
      <c r="AU1555" s="9"/>
      <c r="AV1555" s="9"/>
      <c r="AW1555" s="9"/>
      <c r="AX1555" s="9"/>
      <c r="AY1555" s="9"/>
      <c r="AZ1555" s="9"/>
      <c r="BA1555" s="9"/>
      <c r="BB1555" s="9"/>
      <c r="BC1555" s="9"/>
      <c r="BD1555" s="9"/>
      <c r="BE1555" s="9"/>
      <c r="BF1555" s="9"/>
      <c r="BG1555" s="9"/>
      <c r="BH1555" s="9"/>
      <c r="BI1555" s="9"/>
      <c r="BJ1555" s="9"/>
      <c r="BK1555" s="9"/>
      <c r="BL1555" s="9"/>
      <c r="BM1555" s="9"/>
      <c r="BN1555" s="9"/>
      <c r="BO1555" s="9"/>
      <c r="BP1555" s="9"/>
      <c r="BQ1555" s="9"/>
      <c r="BR1555" s="9"/>
      <c r="BS1555" s="9"/>
      <c r="BT1555" s="9"/>
      <c r="BU1555" s="9"/>
      <c r="BV1555" s="9"/>
      <c r="BW1555" s="9"/>
    </row>
    <row r="1556" spans="1:75" x14ac:dyDescent="0.25">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c r="AX1556" s="9"/>
      <c r="AY1556" s="9"/>
      <c r="AZ1556" s="9"/>
      <c r="BA1556" s="9"/>
      <c r="BB1556" s="9"/>
      <c r="BC1556" s="9"/>
      <c r="BD1556" s="9"/>
      <c r="BE1556" s="9"/>
      <c r="BF1556" s="9"/>
      <c r="BG1556" s="9"/>
      <c r="BH1556" s="9"/>
      <c r="BI1556" s="9"/>
      <c r="BJ1556" s="9"/>
      <c r="BK1556" s="9"/>
      <c r="BL1556" s="9"/>
      <c r="BM1556" s="9"/>
      <c r="BN1556" s="9"/>
      <c r="BO1556" s="9"/>
      <c r="BP1556" s="9"/>
      <c r="BQ1556" s="9"/>
      <c r="BR1556" s="9"/>
      <c r="BS1556" s="9"/>
      <c r="BT1556" s="9"/>
      <c r="BU1556" s="9"/>
      <c r="BV1556" s="9"/>
      <c r="BW1556" s="9"/>
    </row>
    <row r="1557" spans="1:75" x14ac:dyDescent="0.25">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c r="AR1557" s="9"/>
      <c r="AS1557" s="9"/>
      <c r="AT1557" s="9"/>
      <c r="AU1557" s="9"/>
      <c r="AV1557" s="9"/>
      <c r="AW1557" s="9"/>
      <c r="AX1557" s="9"/>
      <c r="AY1557" s="9"/>
      <c r="AZ1557" s="9"/>
      <c r="BA1557" s="9"/>
      <c r="BB1557" s="9"/>
      <c r="BC1557" s="9"/>
      <c r="BD1557" s="9"/>
      <c r="BE1557" s="9"/>
      <c r="BF1557" s="9"/>
      <c r="BG1557" s="9"/>
      <c r="BH1557" s="9"/>
      <c r="BI1557" s="9"/>
      <c r="BJ1557" s="9"/>
      <c r="BK1557" s="9"/>
      <c r="BL1557" s="9"/>
      <c r="BM1557" s="9"/>
      <c r="BN1557" s="9"/>
      <c r="BO1557" s="9"/>
      <c r="BP1557" s="9"/>
      <c r="BQ1557" s="9"/>
      <c r="BR1557" s="9"/>
      <c r="BS1557" s="9"/>
      <c r="BT1557" s="9"/>
      <c r="BU1557" s="9"/>
      <c r="BV1557" s="9"/>
      <c r="BW1557" s="9"/>
    </row>
    <row r="1558" spans="1:75" x14ac:dyDescent="0.25">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c r="AS1558" s="9"/>
      <c r="AT1558" s="9"/>
      <c r="AU1558" s="9"/>
      <c r="AV1558" s="9"/>
      <c r="AW1558" s="9"/>
      <c r="AX1558" s="9"/>
      <c r="AY1558" s="9"/>
      <c r="AZ1558" s="9"/>
      <c r="BA1558" s="9"/>
      <c r="BB1558" s="9"/>
      <c r="BC1558" s="9"/>
      <c r="BD1558" s="9"/>
      <c r="BE1558" s="9"/>
      <c r="BF1558" s="9"/>
      <c r="BG1558" s="9"/>
      <c r="BH1558" s="9"/>
      <c r="BI1558" s="9"/>
      <c r="BJ1558" s="9"/>
      <c r="BK1558" s="9"/>
      <c r="BL1558" s="9"/>
      <c r="BM1558" s="9"/>
      <c r="BN1558" s="9"/>
      <c r="BO1558" s="9"/>
      <c r="BP1558" s="9"/>
      <c r="BQ1558" s="9"/>
      <c r="BR1558" s="9"/>
      <c r="BS1558" s="9"/>
      <c r="BT1558" s="9"/>
      <c r="BU1558" s="9"/>
      <c r="BV1558" s="9"/>
      <c r="BW1558" s="9"/>
    </row>
    <row r="1559" spans="1:75" x14ac:dyDescent="0.25">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c r="AR1559" s="9"/>
      <c r="AS1559" s="9"/>
      <c r="AT1559" s="9"/>
      <c r="AU1559" s="9"/>
      <c r="AV1559" s="9"/>
      <c r="AW1559" s="9"/>
      <c r="AX1559" s="9"/>
      <c r="AY1559" s="9"/>
      <c r="AZ1559" s="9"/>
      <c r="BA1559" s="9"/>
      <c r="BB1559" s="9"/>
      <c r="BC1559" s="9"/>
      <c r="BD1559" s="9"/>
      <c r="BE1559" s="9"/>
      <c r="BF1559" s="9"/>
      <c r="BG1559" s="9"/>
      <c r="BH1559" s="9"/>
      <c r="BI1559" s="9"/>
      <c r="BJ1559" s="9"/>
      <c r="BK1559" s="9"/>
      <c r="BL1559" s="9"/>
      <c r="BM1559" s="9"/>
      <c r="BN1559" s="9"/>
      <c r="BO1559" s="9"/>
      <c r="BP1559" s="9"/>
      <c r="BQ1559" s="9"/>
      <c r="BR1559" s="9"/>
      <c r="BS1559" s="9"/>
      <c r="BT1559" s="9"/>
      <c r="BU1559" s="9"/>
      <c r="BV1559" s="9"/>
      <c r="BW1559" s="9"/>
    </row>
    <row r="1560" spans="1:75" x14ac:dyDescent="0.25">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c r="AR1560" s="9"/>
      <c r="AS1560" s="9"/>
      <c r="AT1560" s="9"/>
      <c r="AU1560" s="9"/>
      <c r="AV1560" s="9"/>
      <c r="AW1560" s="9"/>
      <c r="AX1560" s="9"/>
      <c r="AY1560" s="9"/>
      <c r="AZ1560" s="9"/>
      <c r="BA1560" s="9"/>
      <c r="BB1560" s="9"/>
      <c r="BC1560" s="9"/>
      <c r="BD1560" s="9"/>
      <c r="BE1560" s="9"/>
      <c r="BF1560" s="9"/>
      <c r="BG1560" s="9"/>
      <c r="BH1560" s="9"/>
      <c r="BI1560" s="9"/>
      <c r="BJ1560" s="9"/>
      <c r="BK1560" s="9"/>
      <c r="BL1560" s="9"/>
      <c r="BM1560" s="9"/>
      <c r="BN1560" s="9"/>
      <c r="BO1560" s="9"/>
      <c r="BP1560" s="9"/>
      <c r="BQ1560" s="9"/>
      <c r="BR1560" s="9"/>
      <c r="BS1560" s="9"/>
      <c r="BT1560" s="9"/>
      <c r="BU1560" s="9"/>
      <c r="BV1560" s="9"/>
      <c r="BW1560" s="9"/>
    </row>
    <row r="1561" spans="1:75" x14ac:dyDescent="0.25">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c r="AR1561" s="9"/>
      <c r="AS1561" s="9"/>
      <c r="AT1561" s="9"/>
      <c r="AU1561" s="9"/>
      <c r="AV1561" s="9"/>
      <c r="AW1561" s="9"/>
      <c r="AX1561" s="9"/>
      <c r="AY1561" s="9"/>
      <c r="AZ1561" s="9"/>
      <c r="BA1561" s="9"/>
      <c r="BB1561" s="9"/>
      <c r="BC1561" s="9"/>
      <c r="BD1561" s="9"/>
      <c r="BE1561" s="9"/>
      <c r="BF1561" s="9"/>
      <c r="BG1561" s="9"/>
      <c r="BH1561" s="9"/>
      <c r="BI1561" s="9"/>
      <c r="BJ1561" s="9"/>
      <c r="BK1561" s="9"/>
      <c r="BL1561" s="9"/>
      <c r="BM1561" s="9"/>
      <c r="BN1561" s="9"/>
      <c r="BO1561" s="9"/>
      <c r="BP1561" s="9"/>
      <c r="BQ1561" s="9"/>
      <c r="BR1561" s="9"/>
      <c r="BS1561" s="9"/>
      <c r="BT1561" s="9"/>
      <c r="BU1561" s="9"/>
      <c r="BV1561" s="9"/>
      <c r="BW1561" s="9"/>
    </row>
    <row r="1562" spans="1:75" x14ac:dyDescent="0.25">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c r="AR1562" s="9"/>
      <c r="AS1562" s="9"/>
      <c r="AT1562" s="9"/>
      <c r="AU1562" s="9"/>
      <c r="AV1562" s="9"/>
      <c r="AW1562" s="9"/>
      <c r="AX1562" s="9"/>
      <c r="AY1562" s="9"/>
      <c r="AZ1562" s="9"/>
      <c r="BA1562" s="9"/>
      <c r="BB1562" s="9"/>
      <c r="BC1562" s="9"/>
      <c r="BD1562" s="9"/>
      <c r="BE1562" s="9"/>
      <c r="BF1562" s="9"/>
      <c r="BG1562" s="9"/>
      <c r="BH1562" s="9"/>
      <c r="BI1562" s="9"/>
      <c r="BJ1562" s="9"/>
      <c r="BK1562" s="9"/>
      <c r="BL1562" s="9"/>
      <c r="BM1562" s="9"/>
      <c r="BN1562" s="9"/>
      <c r="BO1562" s="9"/>
      <c r="BP1562" s="9"/>
      <c r="BQ1562" s="9"/>
      <c r="BR1562" s="9"/>
      <c r="BS1562" s="9"/>
      <c r="BT1562" s="9"/>
      <c r="BU1562" s="9"/>
      <c r="BV1562" s="9"/>
      <c r="BW1562" s="9"/>
    </row>
    <row r="1563" spans="1:75" x14ac:dyDescent="0.25">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c r="AR1563" s="9"/>
      <c r="AS1563" s="9"/>
      <c r="AT1563" s="9"/>
      <c r="AU1563" s="9"/>
      <c r="AV1563" s="9"/>
      <c r="AW1563" s="9"/>
      <c r="AX1563" s="9"/>
      <c r="AY1563" s="9"/>
      <c r="AZ1563" s="9"/>
      <c r="BA1563" s="9"/>
      <c r="BB1563" s="9"/>
      <c r="BC1563" s="9"/>
      <c r="BD1563" s="9"/>
      <c r="BE1563" s="9"/>
      <c r="BF1563" s="9"/>
      <c r="BG1563" s="9"/>
      <c r="BH1563" s="9"/>
      <c r="BI1563" s="9"/>
      <c r="BJ1563" s="9"/>
      <c r="BK1563" s="9"/>
      <c r="BL1563" s="9"/>
      <c r="BM1563" s="9"/>
      <c r="BN1563" s="9"/>
      <c r="BO1563" s="9"/>
      <c r="BP1563" s="9"/>
      <c r="BQ1563" s="9"/>
      <c r="BR1563" s="9"/>
      <c r="BS1563" s="9"/>
      <c r="BT1563" s="9"/>
      <c r="BU1563" s="9"/>
      <c r="BV1563" s="9"/>
      <c r="BW1563" s="9"/>
    </row>
    <row r="1564" spans="1:75" x14ac:dyDescent="0.25">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c r="AO1564" s="9"/>
      <c r="AP1564" s="9"/>
      <c r="AQ1564" s="9"/>
      <c r="AR1564" s="9"/>
      <c r="AS1564" s="9"/>
      <c r="AT1564" s="9"/>
      <c r="AU1564" s="9"/>
      <c r="AV1564" s="9"/>
      <c r="AW1564" s="9"/>
      <c r="AX1564" s="9"/>
      <c r="AY1564" s="9"/>
      <c r="AZ1564" s="9"/>
      <c r="BA1564" s="9"/>
      <c r="BB1564" s="9"/>
      <c r="BC1564" s="9"/>
      <c r="BD1564" s="9"/>
      <c r="BE1564" s="9"/>
      <c r="BF1564" s="9"/>
      <c r="BG1564" s="9"/>
      <c r="BH1564" s="9"/>
      <c r="BI1564" s="9"/>
      <c r="BJ1564" s="9"/>
      <c r="BK1564" s="9"/>
      <c r="BL1564" s="9"/>
      <c r="BM1564" s="9"/>
      <c r="BN1564" s="9"/>
      <c r="BO1564" s="9"/>
      <c r="BP1564" s="9"/>
      <c r="BQ1564" s="9"/>
      <c r="BR1564" s="9"/>
      <c r="BS1564" s="9"/>
      <c r="BT1564" s="9"/>
      <c r="BU1564" s="9"/>
      <c r="BV1564" s="9"/>
      <c r="BW1564" s="9"/>
    </row>
    <row r="1565" spans="1:75" x14ac:dyDescent="0.25">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c r="AO1565" s="9"/>
      <c r="AP1565" s="9"/>
      <c r="AQ1565" s="9"/>
      <c r="AR1565" s="9"/>
      <c r="AS1565" s="9"/>
      <c r="AT1565" s="9"/>
      <c r="AU1565" s="9"/>
      <c r="AV1565" s="9"/>
      <c r="AW1565" s="9"/>
      <c r="AX1565" s="9"/>
      <c r="AY1565" s="9"/>
      <c r="AZ1565" s="9"/>
      <c r="BA1565" s="9"/>
      <c r="BB1565" s="9"/>
      <c r="BC1565" s="9"/>
      <c r="BD1565" s="9"/>
      <c r="BE1565" s="9"/>
      <c r="BF1565" s="9"/>
      <c r="BG1565" s="9"/>
      <c r="BH1565" s="9"/>
      <c r="BI1565" s="9"/>
      <c r="BJ1565" s="9"/>
      <c r="BK1565" s="9"/>
      <c r="BL1565" s="9"/>
      <c r="BM1565" s="9"/>
      <c r="BN1565" s="9"/>
      <c r="BO1565" s="9"/>
      <c r="BP1565" s="9"/>
      <c r="BQ1565" s="9"/>
      <c r="BR1565" s="9"/>
      <c r="BS1565" s="9"/>
      <c r="BT1565" s="9"/>
      <c r="BU1565" s="9"/>
      <c r="BV1565" s="9"/>
      <c r="BW1565" s="9"/>
    </row>
    <row r="1566" spans="1:75" x14ac:dyDescent="0.25">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c r="AR1566" s="9"/>
      <c r="AS1566" s="9"/>
      <c r="AT1566" s="9"/>
      <c r="AU1566" s="9"/>
      <c r="AV1566" s="9"/>
      <c r="AW1566" s="9"/>
      <c r="AX1566" s="9"/>
      <c r="AY1566" s="9"/>
      <c r="AZ1566" s="9"/>
      <c r="BA1566" s="9"/>
      <c r="BB1566" s="9"/>
      <c r="BC1566" s="9"/>
      <c r="BD1566" s="9"/>
      <c r="BE1566" s="9"/>
      <c r="BF1566" s="9"/>
      <c r="BG1566" s="9"/>
      <c r="BH1566" s="9"/>
      <c r="BI1566" s="9"/>
      <c r="BJ1566" s="9"/>
      <c r="BK1566" s="9"/>
      <c r="BL1566" s="9"/>
      <c r="BM1566" s="9"/>
      <c r="BN1566" s="9"/>
      <c r="BO1566" s="9"/>
      <c r="BP1566" s="9"/>
      <c r="BQ1566" s="9"/>
      <c r="BR1566" s="9"/>
      <c r="BS1566" s="9"/>
      <c r="BT1566" s="9"/>
      <c r="BU1566" s="9"/>
      <c r="BV1566" s="9"/>
      <c r="BW1566" s="9"/>
    </row>
    <row r="1567" spans="1:75" x14ac:dyDescent="0.25">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c r="AO1567" s="9"/>
      <c r="AP1567" s="9"/>
      <c r="AQ1567" s="9"/>
      <c r="AR1567" s="9"/>
      <c r="AS1567" s="9"/>
      <c r="AT1567" s="9"/>
      <c r="AU1567" s="9"/>
      <c r="AV1567" s="9"/>
      <c r="AW1567" s="9"/>
      <c r="AX1567" s="9"/>
      <c r="AY1567" s="9"/>
      <c r="AZ1567" s="9"/>
      <c r="BA1567" s="9"/>
      <c r="BB1567" s="9"/>
      <c r="BC1567" s="9"/>
      <c r="BD1567" s="9"/>
      <c r="BE1567" s="9"/>
      <c r="BF1567" s="9"/>
      <c r="BG1567" s="9"/>
      <c r="BH1567" s="9"/>
      <c r="BI1567" s="9"/>
      <c r="BJ1567" s="9"/>
      <c r="BK1567" s="9"/>
      <c r="BL1567" s="9"/>
      <c r="BM1567" s="9"/>
      <c r="BN1567" s="9"/>
      <c r="BO1567" s="9"/>
      <c r="BP1567" s="9"/>
      <c r="BQ1567" s="9"/>
      <c r="BR1567" s="9"/>
      <c r="BS1567" s="9"/>
      <c r="BT1567" s="9"/>
      <c r="BU1567" s="9"/>
      <c r="BV1567" s="9"/>
      <c r="BW1567" s="9"/>
    </row>
    <row r="1568" spans="1:75" x14ac:dyDescent="0.25">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c r="AO1568" s="9"/>
      <c r="AP1568" s="9"/>
      <c r="AQ1568" s="9"/>
      <c r="AR1568" s="9"/>
      <c r="AS1568" s="9"/>
      <c r="AT1568" s="9"/>
      <c r="AU1568" s="9"/>
      <c r="AV1568" s="9"/>
      <c r="AW1568" s="9"/>
      <c r="AX1568" s="9"/>
      <c r="AY1568" s="9"/>
      <c r="AZ1568" s="9"/>
      <c r="BA1568" s="9"/>
      <c r="BB1568" s="9"/>
      <c r="BC1568" s="9"/>
      <c r="BD1568" s="9"/>
      <c r="BE1568" s="9"/>
      <c r="BF1568" s="9"/>
      <c r="BG1568" s="9"/>
      <c r="BH1568" s="9"/>
      <c r="BI1568" s="9"/>
      <c r="BJ1568" s="9"/>
      <c r="BK1568" s="9"/>
      <c r="BL1568" s="9"/>
      <c r="BM1568" s="9"/>
      <c r="BN1568" s="9"/>
      <c r="BO1568" s="9"/>
      <c r="BP1568" s="9"/>
      <c r="BQ1568" s="9"/>
      <c r="BR1568" s="9"/>
      <c r="BS1568" s="9"/>
      <c r="BT1568" s="9"/>
      <c r="BU1568" s="9"/>
      <c r="BV1568" s="9"/>
      <c r="BW1568" s="9"/>
    </row>
    <row r="1569" spans="1:75" x14ac:dyDescent="0.25">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c r="AO1569" s="9"/>
      <c r="AP1569" s="9"/>
      <c r="AQ1569" s="9"/>
      <c r="AR1569" s="9"/>
      <c r="AS1569" s="9"/>
      <c r="AT1569" s="9"/>
      <c r="AU1569" s="9"/>
      <c r="AV1569" s="9"/>
      <c r="AW1569" s="9"/>
      <c r="AX1569" s="9"/>
      <c r="AY1569" s="9"/>
      <c r="AZ1569" s="9"/>
      <c r="BA1569" s="9"/>
      <c r="BB1569" s="9"/>
      <c r="BC1569" s="9"/>
      <c r="BD1569" s="9"/>
      <c r="BE1569" s="9"/>
      <c r="BF1569" s="9"/>
      <c r="BG1569" s="9"/>
      <c r="BH1569" s="9"/>
      <c r="BI1569" s="9"/>
      <c r="BJ1569" s="9"/>
      <c r="BK1569" s="9"/>
      <c r="BL1569" s="9"/>
      <c r="BM1569" s="9"/>
      <c r="BN1569" s="9"/>
      <c r="BO1569" s="9"/>
      <c r="BP1569" s="9"/>
      <c r="BQ1569" s="9"/>
      <c r="BR1569" s="9"/>
      <c r="BS1569" s="9"/>
      <c r="BT1569" s="9"/>
      <c r="BU1569" s="9"/>
      <c r="BV1569" s="9"/>
      <c r="BW1569" s="9"/>
    </row>
    <row r="1570" spans="1:75" x14ac:dyDescent="0.25">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c r="AO1570" s="9"/>
      <c r="AP1570" s="9"/>
      <c r="AQ1570" s="9"/>
      <c r="AR1570" s="9"/>
      <c r="AS1570" s="9"/>
      <c r="AT1570" s="9"/>
      <c r="AU1570" s="9"/>
      <c r="AV1570" s="9"/>
      <c r="AW1570" s="9"/>
      <c r="AX1570" s="9"/>
      <c r="AY1570" s="9"/>
      <c r="AZ1570" s="9"/>
      <c r="BA1570" s="9"/>
      <c r="BB1570" s="9"/>
      <c r="BC1570" s="9"/>
      <c r="BD1570" s="9"/>
      <c r="BE1570" s="9"/>
      <c r="BF1570" s="9"/>
      <c r="BG1570" s="9"/>
      <c r="BH1570" s="9"/>
      <c r="BI1570" s="9"/>
      <c r="BJ1570" s="9"/>
      <c r="BK1570" s="9"/>
      <c r="BL1570" s="9"/>
      <c r="BM1570" s="9"/>
      <c r="BN1570" s="9"/>
      <c r="BO1570" s="9"/>
      <c r="BP1570" s="9"/>
      <c r="BQ1570" s="9"/>
      <c r="BR1570" s="9"/>
      <c r="BS1570" s="9"/>
      <c r="BT1570" s="9"/>
      <c r="BU1570" s="9"/>
      <c r="BV1570" s="9"/>
      <c r="BW1570" s="9"/>
    </row>
    <row r="1571" spans="1:75" x14ac:dyDescent="0.25">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c r="AR1571" s="9"/>
      <c r="AS1571" s="9"/>
      <c r="AT1571" s="9"/>
      <c r="AU1571" s="9"/>
      <c r="AV1571" s="9"/>
      <c r="AW1571" s="9"/>
      <c r="AX1571" s="9"/>
      <c r="AY1571" s="9"/>
      <c r="AZ1571" s="9"/>
      <c r="BA1571" s="9"/>
      <c r="BB1571" s="9"/>
      <c r="BC1571" s="9"/>
      <c r="BD1571" s="9"/>
      <c r="BE1571" s="9"/>
      <c r="BF1571" s="9"/>
      <c r="BG1571" s="9"/>
      <c r="BH1571" s="9"/>
      <c r="BI1571" s="9"/>
      <c r="BJ1571" s="9"/>
      <c r="BK1571" s="9"/>
      <c r="BL1571" s="9"/>
      <c r="BM1571" s="9"/>
      <c r="BN1571" s="9"/>
      <c r="BO1571" s="9"/>
      <c r="BP1571" s="9"/>
      <c r="BQ1571" s="9"/>
      <c r="BR1571" s="9"/>
      <c r="BS1571" s="9"/>
      <c r="BT1571" s="9"/>
      <c r="BU1571" s="9"/>
      <c r="BV1571" s="9"/>
      <c r="BW1571" s="9"/>
    </row>
    <row r="1572" spans="1:75" x14ac:dyDescent="0.25">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c r="AR1572" s="9"/>
      <c r="AS1572" s="9"/>
      <c r="AT1572" s="9"/>
      <c r="AU1572" s="9"/>
      <c r="AV1572" s="9"/>
      <c r="AW1572" s="9"/>
      <c r="AX1572" s="9"/>
      <c r="AY1572" s="9"/>
      <c r="AZ1572" s="9"/>
      <c r="BA1572" s="9"/>
      <c r="BB1572" s="9"/>
      <c r="BC1572" s="9"/>
      <c r="BD1572" s="9"/>
      <c r="BE1572" s="9"/>
      <c r="BF1572" s="9"/>
      <c r="BG1572" s="9"/>
      <c r="BH1572" s="9"/>
      <c r="BI1572" s="9"/>
      <c r="BJ1572" s="9"/>
      <c r="BK1572" s="9"/>
      <c r="BL1572" s="9"/>
      <c r="BM1572" s="9"/>
      <c r="BN1572" s="9"/>
      <c r="BO1572" s="9"/>
      <c r="BP1572" s="9"/>
      <c r="BQ1572" s="9"/>
      <c r="BR1572" s="9"/>
      <c r="BS1572" s="9"/>
      <c r="BT1572" s="9"/>
      <c r="BU1572" s="9"/>
      <c r="BV1572" s="9"/>
      <c r="BW1572" s="9"/>
    </row>
    <row r="1573" spans="1:75" x14ac:dyDescent="0.25">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c r="AR1573" s="9"/>
      <c r="AS1573" s="9"/>
      <c r="AT1573" s="9"/>
      <c r="AU1573" s="9"/>
      <c r="AV1573" s="9"/>
      <c r="AW1573" s="9"/>
      <c r="AX1573" s="9"/>
      <c r="AY1573" s="9"/>
      <c r="AZ1573" s="9"/>
      <c r="BA1573" s="9"/>
      <c r="BB1573" s="9"/>
      <c r="BC1573" s="9"/>
      <c r="BD1573" s="9"/>
      <c r="BE1573" s="9"/>
      <c r="BF1573" s="9"/>
      <c r="BG1573" s="9"/>
      <c r="BH1573" s="9"/>
      <c r="BI1573" s="9"/>
      <c r="BJ1573" s="9"/>
      <c r="BK1573" s="9"/>
      <c r="BL1573" s="9"/>
      <c r="BM1573" s="9"/>
      <c r="BN1573" s="9"/>
      <c r="BO1573" s="9"/>
      <c r="BP1573" s="9"/>
      <c r="BQ1573" s="9"/>
      <c r="BR1573" s="9"/>
      <c r="BS1573" s="9"/>
      <c r="BT1573" s="9"/>
      <c r="BU1573" s="9"/>
      <c r="BV1573" s="9"/>
      <c r="BW1573" s="9"/>
    </row>
    <row r="1574" spans="1:75" x14ac:dyDescent="0.25">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c r="AR1574" s="9"/>
      <c r="AS1574" s="9"/>
      <c r="AT1574" s="9"/>
      <c r="AU1574" s="9"/>
      <c r="AV1574" s="9"/>
      <c r="AW1574" s="9"/>
      <c r="AX1574" s="9"/>
      <c r="AY1574" s="9"/>
      <c r="AZ1574" s="9"/>
      <c r="BA1574" s="9"/>
      <c r="BB1574" s="9"/>
      <c r="BC1574" s="9"/>
      <c r="BD1574" s="9"/>
      <c r="BE1574" s="9"/>
      <c r="BF1574" s="9"/>
      <c r="BG1574" s="9"/>
      <c r="BH1574" s="9"/>
      <c r="BI1574" s="9"/>
      <c r="BJ1574" s="9"/>
      <c r="BK1574" s="9"/>
      <c r="BL1574" s="9"/>
      <c r="BM1574" s="9"/>
      <c r="BN1574" s="9"/>
      <c r="BO1574" s="9"/>
      <c r="BP1574" s="9"/>
      <c r="BQ1574" s="9"/>
      <c r="BR1574" s="9"/>
      <c r="BS1574" s="9"/>
      <c r="BT1574" s="9"/>
      <c r="BU1574" s="9"/>
      <c r="BV1574" s="9"/>
      <c r="BW1574" s="9"/>
    </row>
    <row r="1575" spans="1:75" x14ac:dyDescent="0.25">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c r="AR1575" s="9"/>
      <c r="AS1575" s="9"/>
      <c r="AT1575" s="9"/>
      <c r="AU1575" s="9"/>
      <c r="AV1575" s="9"/>
      <c r="AW1575" s="9"/>
      <c r="AX1575" s="9"/>
      <c r="AY1575" s="9"/>
      <c r="AZ1575" s="9"/>
      <c r="BA1575" s="9"/>
      <c r="BB1575" s="9"/>
      <c r="BC1575" s="9"/>
      <c r="BD1575" s="9"/>
      <c r="BE1575" s="9"/>
      <c r="BF1575" s="9"/>
      <c r="BG1575" s="9"/>
      <c r="BH1575" s="9"/>
      <c r="BI1575" s="9"/>
      <c r="BJ1575" s="9"/>
      <c r="BK1575" s="9"/>
      <c r="BL1575" s="9"/>
      <c r="BM1575" s="9"/>
      <c r="BN1575" s="9"/>
      <c r="BO1575" s="9"/>
      <c r="BP1575" s="9"/>
      <c r="BQ1575" s="9"/>
      <c r="BR1575" s="9"/>
      <c r="BS1575" s="9"/>
      <c r="BT1575" s="9"/>
      <c r="BU1575" s="9"/>
      <c r="BV1575" s="9"/>
      <c r="BW1575" s="9"/>
    </row>
    <row r="1576" spans="1:75" x14ac:dyDescent="0.25">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c r="AR1576" s="9"/>
      <c r="AS1576" s="9"/>
      <c r="AT1576" s="9"/>
      <c r="AU1576" s="9"/>
      <c r="AV1576" s="9"/>
      <c r="AW1576" s="9"/>
      <c r="AX1576" s="9"/>
      <c r="AY1576" s="9"/>
      <c r="AZ1576" s="9"/>
      <c r="BA1576" s="9"/>
      <c r="BB1576" s="9"/>
      <c r="BC1576" s="9"/>
      <c r="BD1576" s="9"/>
      <c r="BE1576" s="9"/>
      <c r="BF1576" s="9"/>
      <c r="BG1576" s="9"/>
      <c r="BH1576" s="9"/>
      <c r="BI1576" s="9"/>
      <c r="BJ1576" s="9"/>
      <c r="BK1576" s="9"/>
      <c r="BL1576" s="9"/>
      <c r="BM1576" s="9"/>
      <c r="BN1576" s="9"/>
      <c r="BO1576" s="9"/>
      <c r="BP1576" s="9"/>
      <c r="BQ1576" s="9"/>
      <c r="BR1576" s="9"/>
      <c r="BS1576" s="9"/>
      <c r="BT1576" s="9"/>
      <c r="BU1576" s="9"/>
      <c r="BV1576" s="9"/>
      <c r="BW1576" s="9"/>
    </row>
    <row r="1577" spans="1:75" x14ac:dyDescent="0.25">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c r="AO1577" s="9"/>
      <c r="AP1577" s="9"/>
      <c r="AQ1577" s="9"/>
      <c r="AR1577" s="9"/>
      <c r="AS1577" s="9"/>
      <c r="AT1577" s="9"/>
      <c r="AU1577" s="9"/>
      <c r="AV1577" s="9"/>
      <c r="AW1577" s="9"/>
      <c r="AX1577" s="9"/>
      <c r="AY1577" s="9"/>
      <c r="AZ1577" s="9"/>
      <c r="BA1577" s="9"/>
      <c r="BB1577" s="9"/>
      <c r="BC1577" s="9"/>
      <c r="BD1577" s="9"/>
      <c r="BE1577" s="9"/>
      <c r="BF1577" s="9"/>
      <c r="BG1577" s="9"/>
      <c r="BH1577" s="9"/>
      <c r="BI1577" s="9"/>
      <c r="BJ1577" s="9"/>
      <c r="BK1577" s="9"/>
      <c r="BL1577" s="9"/>
      <c r="BM1577" s="9"/>
      <c r="BN1577" s="9"/>
      <c r="BO1577" s="9"/>
      <c r="BP1577" s="9"/>
      <c r="BQ1577" s="9"/>
      <c r="BR1577" s="9"/>
      <c r="BS1577" s="9"/>
      <c r="BT1577" s="9"/>
      <c r="BU1577" s="9"/>
      <c r="BV1577" s="9"/>
      <c r="BW1577" s="9"/>
    </row>
    <row r="1578" spans="1:75" x14ac:dyDescent="0.25">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c r="AO1578" s="9"/>
      <c r="AP1578" s="9"/>
      <c r="AQ1578" s="9"/>
      <c r="AR1578" s="9"/>
      <c r="AS1578" s="9"/>
      <c r="AT1578" s="9"/>
      <c r="AU1578" s="9"/>
      <c r="AV1578" s="9"/>
      <c r="AW1578" s="9"/>
      <c r="AX1578" s="9"/>
      <c r="AY1578" s="9"/>
      <c r="AZ1578" s="9"/>
      <c r="BA1578" s="9"/>
      <c r="BB1578" s="9"/>
      <c r="BC1578" s="9"/>
      <c r="BD1578" s="9"/>
      <c r="BE1578" s="9"/>
      <c r="BF1578" s="9"/>
      <c r="BG1578" s="9"/>
      <c r="BH1578" s="9"/>
      <c r="BI1578" s="9"/>
      <c r="BJ1578" s="9"/>
      <c r="BK1578" s="9"/>
      <c r="BL1578" s="9"/>
      <c r="BM1578" s="9"/>
      <c r="BN1578" s="9"/>
      <c r="BO1578" s="9"/>
      <c r="BP1578" s="9"/>
      <c r="BQ1578" s="9"/>
      <c r="BR1578" s="9"/>
      <c r="BS1578" s="9"/>
      <c r="BT1578" s="9"/>
      <c r="BU1578" s="9"/>
      <c r="BV1578" s="9"/>
      <c r="BW1578" s="9"/>
    </row>
    <row r="1579" spans="1:75" x14ac:dyDescent="0.25">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c r="AO1579" s="9"/>
      <c r="AP1579" s="9"/>
      <c r="AQ1579" s="9"/>
      <c r="AR1579" s="9"/>
      <c r="AS1579" s="9"/>
      <c r="AT1579" s="9"/>
      <c r="AU1579" s="9"/>
      <c r="AV1579" s="9"/>
      <c r="AW1579" s="9"/>
      <c r="AX1579" s="9"/>
      <c r="AY1579" s="9"/>
      <c r="AZ1579" s="9"/>
      <c r="BA1579" s="9"/>
      <c r="BB1579" s="9"/>
      <c r="BC1579" s="9"/>
      <c r="BD1579" s="9"/>
      <c r="BE1579" s="9"/>
      <c r="BF1579" s="9"/>
      <c r="BG1579" s="9"/>
      <c r="BH1579" s="9"/>
      <c r="BI1579" s="9"/>
      <c r="BJ1579" s="9"/>
      <c r="BK1579" s="9"/>
      <c r="BL1579" s="9"/>
      <c r="BM1579" s="9"/>
      <c r="BN1579" s="9"/>
      <c r="BO1579" s="9"/>
      <c r="BP1579" s="9"/>
      <c r="BQ1579" s="9"/>
      <c r="BR1579" s="9"/>
      <c r="BS1579" s="9"/>
      <c r="BT1579" s="9"/>
      <c r="BU1579" s="9"/>
      <c r="BV1579" s="9"/>
      <c r="BW1579" s="9"/>
    </row>
    <row r="1580" spans="1:75" x14ac:dyDescent="0.25">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c r="AS1580" s="9"/>
      <c r="AT1580" s="9"/>
      <c r="AU1580" s="9"/>
      <c r="AV1580" s="9"/>
      <c r="AW1580" s="9"/>
      <c r="AX1580" s="9"/>
      <c r="AY1580" s="9"/>
      <c r="AZ1580" s="9"/>
      <c r="BA1580" s="9"/>
      <c r="BB1580" s="9"/>
      <c r="BC1580" s="9"/>
      <c r="BD1580" s="9"/>
      <c r="BE1580" s="9"/>
      <c r="BF1580" s="9"/>
      <c r="BG1580" s="9"/>
      <c r="BH1580" s="9"/>
      <c r="BI1580" s="9"/>
      <c r="BJ1580" s="9"/>
      <c r="BK1580" s="9"/>
      <c r="BL1580" s="9"/>
      <c r="BM1580" s="9"/>
      <c r="BN1580" s="9"/>
      <c r="BO1580" s="9"/>
      <c r="BP1580" s="9"/>
      <c r="BQ1580" s="9"/>
      <c r="BR1580" s="9"/>
      <c r="BS1580" s="9"/>
      <c r="BT1580" s="9"/>
      <c r="BU1580" s="9"/>
      <c r="BV1580" s="9"/>
      <c r="BW1580" s="9"/>
    </row>
    <row r="1581" spans="1:75" x14ac:dyDescent="0.25">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c r="AS1581" s="9"/>
      <c r="AT1581" s="9"/>
      <c r="AU1581" s="9"/>
      <c r="AV1581" s="9"/>
      <c r="AW1581" s="9"/>
      <c r="AX1581" s="9"/>
      <c r="AY1581" s="9"/>
      <c r="AZ1581" s="9"/>
      <c r="BA1581" s="9"/>
      <c r="BB1581" s="9"/>
      <c r="BC1581" s="9"/>
      <c r="BD1581" s="9"/>
      <c r="BE1581" s="9"/>
      <c r="BF1581" s="9"/>
      <c r="BG1581" s="9"/>
      <c r="BH1581" s="9"/>
      <c r="BI1581" s="9"/>
      <c r="BJ1581" s="9"/>
      <c r="BK1581" s="9"/>
      <c r="BL1581" s="9"/>
      <c r="BM1581" s="9"/>
      <c r="BN1581" s="9"/>
      <c r="BO1581" s="9"/>
      <c r="BP1581" s="9"/>
      <c r="BQ1581" s="9"/>
      <c r="BR1581" s="9"/>
      <c r="BS1581" s="9"/>
      <c r="BT1581" s="9"/>
      <c r="BU1581" s="9"/>
      <c r="BV1581" s="9"/>
      <c r="BW1581" s="9"/>
    </row>
    <row r="1582" spans="1:75" x14ac:dyDescent="0.25">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c r="AS1582" s="9"/>
      <c r="AT1582" s="9"/>
      <c r="AU1582" s="9"/>
      <c r="AV1582" s="9"/>
      <c r="AW1582" s="9"/>
      <c r="AX1582" s="9"/>
      <c r="AY1582" s="9"/>
      <c r="AZ1582" s="9"/>
      <c r="BA1582" s="9"/>
      <c r="BB1582" s="9"/>
      <c r="BC1582" s="9"/>
      <c r="BD1582" s="9"/>
      <c r="BE1582" s="9"/>
      <c r="BF1582" s="9"/>
      <c r="BG1582" s="9"/>
      <c r="BH1582" s="9"/>
      <c r="BI1582" s="9"/>
      <c r="BJ1582" s="9"/>
      <c r="BK1582" s="9"/>
      <c r="BL1582" s="9"/>
      <c r="BM1582" s="9"/>
      <c r="BN1582" s="9"/>
      <c r="BO1582" s="9"/>
      <c r="BP1582" s="9"/>
      <c r="BQ1582" s="9"/>
      <c r="BR1582" s="9"/>
      <c r="BS1582" s="9"/>
      <c r="BT1582" s="9"/>
      <c r="BU1582" s="9"/>
      <c r="BV1582" s="9"/>
      <c r="BW1582" s="9"/>
    </row>
    <row r="1583" spans="1:75" x14ac:dyDescent="0.25">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c r="AO1583" s="9"/>
      <c r="AP1583" s="9"/>
      <c r="AQ1583" s="9"/>
      <c r="AR1583" s="9"/>
      <c r="AS1583" s="9"/>
      <c r="AT1583" s="9"/>
      <c r="AU1583" s="9"/>
      <c r="AV1583" s="9"/>
      <c r="AW1583" s="9"/>
      <c r="AX1583" s="9"/>
      <c r="AY1583" s="9"/>
      <c r="AZ1583" s="9"/>
      <c r="BA1583" s="9"/>
      <c r="BB1583" s="9"/>
      <c r="BC1583" s="9"/>
      <c r="BD1583" s="9"/>
      <c r="BE1583" s="9"/>
      <c r="BF1583" s="9"/>
      <c r="BG1583" s="9"/>
      <c r="BH1583" s="9"/>
      <c r="BI1583" s="9"/>
      <c r="BJ1583" s="9"/>
      <c r="BK1583" s="9"/>
      <c r="BL1583" s="9"/>
      <c r="BM1583" s="9"/>
      <c r="BN1583" s="9"/>
      <c r="BO1583" s="9"/>
      <c r="BP1583" s="9"/>
      <c r="BQ1583" s="9"/>
      <c r="BR1583" s="9"/>
      <c r="BS1583" s="9"/>
      <c r="BT1583" s="9"/>
      <c r="BU1583" s="9"/>
      <c r="BV1583" s="9"/>
      <c r="BW1583" s="9"/>
    </row>
    <row r="1584" spans="1:75" x14ac:dyDescent="0.25">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c r="AO1584" s="9"/>
      <c r="AP1584" s="9"/>
      <c r="AQ1584" s="9"/>
      <c r="AR1584" s="9"/>
      <c r="AS1584" s="9"/>
      <c r="AT1584" s="9"/>
      <c r="AU1584" s="9"/>
      <c r="AV1584" s="9"/>
      <c r="AW1584" s="9"/>
      <c r="AX1584" s="9"/>
      <c r="AY1584" s="9"/>
      <c r="AZ1584" s="9"/>
      <c r="BA1584" s="9"/>
      <c r="BB1584" s="9"/>
      <c r="BC1584" s="9"/>
      <c r="BD1584" s="9"/>
      <c r="BE1584" s="9"/>
      <c r="BF1584" s="9"/>
      <c r="BG1584" s="9"/>
      <c r="BH1584" s="9"/>
      <c r="BI1584" s="9"/>
      <c r="BJ1584" s="9"/>
      <c r="BK1584" s="9"/>
      <c r="BL1584" s="9"/>
      <c r="BM1584" s="9"/>
      <c r="BN1584" s="9"/>
      <c r="BO1584" s="9"/>
      <c r="BP1584" s="9"/>
      <c r="BQ1584" s="9"/>
      <c r="BR1584" s="9"/>
      <c r="BS1584" s="9"/>
      <c r="BT1584" s="9"/>
      <c r="BU1584" s="9"/>
      <c r="BV1584" s="9"/>
      <c r="BW1584" s="9"/>
    </row>
    <row r="1585" spans="1:75" x14ac:dyDescent="0.25">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c r="AO1585" s="9"/>
      <c r="AP1585" s="9"/>
      <c r="AQ1585" s="9"/>
      <c r="AR1585" s="9"/>
      <c r="AS1585" s="9"/>
      <c r="AT1585" s="9"/>
      <c r="AU1585" s="9"/>
      <c r="AV1585" s="9"/>
      <c r="AW1585" s="9"/>
      <c r="AX1585" s="9"/>
      <c r="AY1585" s="9"/>
      <c r="AZ1585" s="9"/>
      <c r="BA1585" s="9"/>
      <c r="BB1585" s="9"/>
      <c r="BC1585" s="9"/>
      <c r="BD1585" s="9"/>
      <c r="BE1585" s="9"/>
      <c r="BF1585" s="9"/>
      <c r="BG1585" s="9"/>
      <c r="BH1585" s="9"/>
      <c r="BI1585" s="9"/>
      <c r="BJ1585" s="9"/>
      <c r="BK1585" s="9"/>
      <c r="BL1585" s="9"/>
      <c r="BM1585" s="9"/>
      <c r="BN1585" s="9"/>
      <c r="BO1585" s="9"/>
      <c r="BP1585" s="9"/>
      <c r="BQ1585" s="9"/>
      <c r="BR1585" s="9"/>
      <c r="BS1585" s="9"/>
      <c r="BT1585" s="9"/>
      <c r="BU1585" s="9"/>
      <c r="BV1585" s="9"/>
      <c r="BW1585" s="9"/>
    </row>
    <row r="1586" spans="1:75" x14ac:dyDescent="0.25">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c r="AR1586" s="9"/>
      <c r="AS1586" s="9"/>
      <c r="AT1586" s="9"/>
      <c r="AU1586" s="9"/>
      <c r="AV1586" s="9"/>
      <c r="AW1586" s="9"/>
      <c r="AX1586" s="9"/>
      <c r="AY1586" s="9"/>
      <c r="AZ1586" s="9"/>
      <c r="BA1586" s="9"/>
      <c r="BB1586" s="9"/>
      <c r="BC1586" s="9"/>
      <c r="BD1586" s="9"/>
      <c r="BE1586" s="9"/>
      <c r="BF1586" s="9"/>
      <c r="BG1586" s="9"/>
      <c r="BH1586" s="9"/>
      <c r="BI1586" s="9"/>
      <c r="BJ1586" s="9"/>
      <c r="BK1586" s="9"/>
      <c r="BL1586" s="9"/>
      <c r="BM1586" s="9"/>
      <c r="BN1586" s="9"/>
      <c r="BO1586" s="9"/>
      <c r="BP1586" s="9"/>
      <c r="BQ1586" s="9"/>
      <c r="BR1586" s="9"/>
      <c r="BS1586" s="9"/>
      <c r="BT1586" s="9"/>
      <c r="BU1586" s="9"/>
      <c r="BV1586" s="9"/>
      <c r="BW1586" s="9"/>
    </row>
    <row r="1587" spans="1:75" x14ac:dyDescent="0.25">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c r="AS1587" s="9"/>
      <c r="AT1587" s="9"/>
      <c r="AU1587" s="9"/>
      <c r="AV1587" s="9"/>
      <c r="AW1587" s="9"/>
      <c r="AX1587" s="9"/>
      <c r="AY1587" s="9"/>
      <c r="AZ1587" s="9"/>
      <c r="BA1587" s="9"/>
      <c r="BB1587" s="9"/>
      <c r="BC1587" s="9"/>
      <c r="BD1587" s="9"/>
      <c r="BE1587" s="9"/>
      <c r="BF1587" s="9"/>
      <c r="BG1587" s="9"/>
      <c r="BH1587" s="9"/>
      <c r="BI1587" s="9"/>
      <c r="BJ1587" s="9"/>
      <c r="BK1587" s="9"/>
      <c r="BL1587" s="9"/>
      <c r="BM1587" s="9"/>
      <c r="BN1587" s="9"/>
      <c r="BO1587" s="9"/>
      <c r="BP1587" s="9"/>
      <c r="BQ1587" s="9"/>
      <c r="BR1587" s="9"/>
      <c r="BS1587" s="9"/>
      <c r="BT1587" s="9"/>
      <c r="BU1587" s="9"/>
      <c r="BV1587" s="9"/>
      <c r="BW1587" s="9"/>
    </row>
    <row r="1588" spans="1:75" x14ac:dyDescent="0.25">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c r="AO1588" s="9"/>
      <c r="AP1588" s="9"/>
      <c r="AQ1588" s="9"/>
      <c r="AR1588" s="9"/>
      <c r="AS1588" s="9"/>
      <c r="AT1588" s="9"/>
      <c r="AU1588" s="9"/>
      <c r="AV1588" s="9"/>
      <c r="AW1588" s="9"/>
      <c r="AX1588" s="9"/>
      <c r="AY1588" s="9"/>
      <c r="AZ1588" s="9"/>
      <c r="BA1588" s="9"/>
      <c r="BB1588" s="9"/>
      <c r="BC1588" s="9"/>
      <c r="BD1588" s="9"/>
      <c r="BE1588" s="9"/>
      <c r="BF1588" s="9"/>
      <c r="BG1588" s="9"/>
      <c r="BH1588" s="9"/>
      <c r="BI1588" s="9"/>
      <c r="BJ1588" s="9"/>
      <c r="BK1588" s="9"/>
      <c r="BL1588" s="9"/>
      <c r="BM1588" s="9"/>
      <c r="BN1588" s="9"/>
      <c r="BO1588" s="9"/>
      <c r="BP1588" s="9"/>
      <c r="BQ1588" s="9"/>
      <c r="BR1588" s="9"/>
      <c r="BS1588" s="9"/>
      <c r="BT1588" s="9"/>
      <c r="BU1588" s="9"/>
      <c r="BV1588" s="9"/>
      <c r="BW1588" s="9"/>
    </row>
    <row r="1589" spans="1:75" x14ac:dyDescent="0.25">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c r="AO1589" s="9"/>
      <c r="AP1589" s="9"/>
      <c r="AQ1589" s="9"/>
      <c r="AR1589" s="9"/>
      <c r="AS1589" s="9"/>
      <c r="AT1589" s="9"/>
      <c r="AU1589" s="9"/>
      <c r="AV1589" s="9"/>
      <c r="AW1589" s="9"/>
      <c r="AX1589" s="9"/>
      <c r="AY1589" s="9"/>
      <c r="AZ1589" s="9"/>
      <c r="BA1589" s="9"/>
      <c r="BB1589" s="9"/>
      <c r="BC1589" s="9"/>
      <c r="BD1589" s="9"/>
      <c r="BE1589" s="9"/>
      <c r="BF1589" s="9"/>
      <c r="BG1589" s="9"/>
      <c r="BH1589" s="9"/>
      <c r="BI1589" s="9"/>
      <c r="BJ1589" s="9"/>
      <c r="BK1589" s="9"/>
      <c r="BL1589" s="9"/>
      <c r="BM1589" s="9"/>
      <c r="BN1589" s="9"/>
      <c r="BO1589" s="9"/>
      <c r="BP1589" s="9"/>
      <c r="BQ1589" s="9"/>
      <c r="BR1589" s="9"/>
      <c r="BS1589" s="9"/>
      <c r="BT1589" s="9"/>
      <c r="BU1589" s="9"/>
      <c r="BV1589" s="9"/>
      <c r="BW1589" s="9"/>
    </row>
    <row r="1590" spans="1:75" x14ac:dyDescent="0.25">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c r="AR1590" s="9"/>
      <c r="AS1590" s="9"/>
      <c r="AT1590" s="9"/>
      <c r="AU1590" s="9"/>
      <c r="AV1590" s="9"/>
      <c r="AW1590" s="9"/>
      <c r="AX1590" s="9"/>
      <c r="AY1590" s="9"/>
      <c r="AZ1590" s="9"/>
      <c r="BA1590" s="9"/>
      <c r="BB1590" s="9"/>
      <c r="BC1590" s="9"/>
      <c r="BD1590" s="9"/>
      <c r="BE1590" s="9"/>
      <c r="BF1590" s="9"/>
      <c r="BG1590" s="9"/>
      <c r="BH1590" s="9"/>
      <c r="BI1590" s="9"/>
      <c r="BJ1590" s="9"/>
      <c r="BK1590" s="9"/>
      <c r="BL1590" s="9"/>
      <c r="BM1590" s="9"/>
      <c r="BN1590" s="9"/>
      <c r="BO1590" s="9"/>
      <c r="BP1590" s="9"/>
      <c r="BQ1590" s="9"/>
      <c r="BR1590" s="9"/>
      <c r="BS1590" s="9"/>
      <c r="BT1590" s="9"/>
      <c r="BU1590" s="9"/>
      <c r="BV1590" s="9"/>
      <c r="BW1590" s="9"/>
    </row>
    <row r="1591" spans="1:75" x14ac:dyDescent="0.25">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c r="AO1591" s="9"/>
      <c r="AP1591" s="9"/>
      <c r="AQ1591" s="9"/>
      <c r="AR1591" s="9"/>
      <c r="AS1591" s="9"/>
      <c r="AT1591" s="9"/>
      <c r="AU1591" s="9"/>
      <c r="AV1591" s="9"/>
      <c r="AW1591" s="9"/>
      <c r="AX1591" s="9"/>
      <c r="AY1591" s="9"/>
      <c r="AZ1591" s="9"/>
      <c r="BA1591" s="9"/>
      <c r="BB1591" s="9"/>
      <c r="BC1591" s="9"/>
      <c r="BD1591" s="9"/>
      <c r="BE1591" s="9"/>
      <c r="BF1591" s="9"/>
      <c r="BG1591" s="9"/>
      <c r="BH1591" s="9"/>
      <c r="BI1591" s="9"/>
      <c r="BJ1591" s="9"/>
      <c r="BK1591" s="9"/>
      <c r="BL1591" s="9"/>
      <c r="BM1591" s="9"/>
      <c r="BN1591" s="9"/>
      <c r="BO1591" s="9"/>
      <c r="BP1591" s="9"/>
      <c r="BQ1591" s="9"/>
      <c r="BR1591" s="9"/>
      <c r="BS1591" s="9"/>
      <c r="BT1591" s="9"/>
      <c r="BU1591" s="9"/>
      <c r="BV1591" s="9"/>
      <c r="BW1591" s="9"/>
    </row>
    <row r="1592" spans="1:75" x14ac:dyDescent="0.25">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c r="AO1592" s="9"/>
      <c r="AP1592" s="9"/>
      <c r="AQ1592" s="9"/>
      <c r="AR1592" s="9"/>
      <c r="AS1592" s="9"/>
      <c r="AT1592" s="9"/>
      <c r="AU1592" s="9"/>
      <c r="AV1592" s="9"/>
      <c r="AW1592" s="9"/>
      <c r="AX1592" s="9"/>
      <c r="AY1592" s="9"/>
      <c r="AZ1592" s="9"/>
      <c r="BA1592" s="9"/>
      <c r="BB1592" s="9"/>
      <c r="BC1592" s="9"/>
      <c r="BD1592" s="9"/>
      <c r="BE1592" s="9"/>
      <c r="BF1592" s="9"/>
      <c r="BG1592" s="9"/>
      <c r="BH1592" s="9"/>
      <c r="BI1592" s="9"/>
      <c r="BJ1592" s="9"/>
      <c r="BK1592" s="9"/>
      <c r="BL1592" s="9"/>
      <c r="BM1592" s="9"/>
      <c r="BN1592" s="9"/>
      <c r="BO1592" s="9"/>
      <c r="BP1592" s="9"/>
      <c r="BQ1592" s="9"/>
      <c r="BR1592" s="9"/>
      <c r="BS1592" s="9"/>
      <c r="BT1592" s="9"/>
      <c r="BU1592" s="9"/>
      <c r="BV1592" s="9"/>
      <c r="BW1592" s="9"/>
    </row>
    <row r="1593" spans="1:75" x14ac:dyDescent="0.25">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c r="AO1593" s="9"/>
      <c r="AP1593" s="9"/>
      <c r="AQ1593" s="9"/>
      <c r="AR1593" s="9"/>
      <c r="AS1593" s="9"/>
      <c r="AT1593" s="9"/>
      <c r="AU1593" s="9"/>
      <c r="AV1593" s="9"/>
      <c r="AW1593" s="9"/>
      <c r="AX1593" s="9"/>
      <c r="AY1593" s="9"/>
      <c r="AZ1593" s="9"/>
      <c r="BA1593" s="9"/>
      <c r="BB1593" s="9"/>
      <c r="BC1593" s="9"/>
      <c r="BD1593" s="9"/>
      <c r="BE1593" s="9"/>
      <c r="BF1593" s="9"/>
      <c r="BG1593" s="9"/>
      <c r="BH1593" s="9"/>
      <c r="BI1593" s="9"/>
      <c r="BJ1593" s="9"/>
      <c r="BK1593" s="9"/>
      <c r="BL1593" s="9"/>
      <c r="BM1593" s="9"/>
      <c r="BN1593" s="9"/>
      <c r="BO1593" s="9"/>
      <c r="BP1593" s="9"/>
      <c r="BQ1593" s="9"/>
      <c r="BR1593" s="9"/>
      <c r="BS1593" s="9"/>
      <c r="BT1593" s="9"/>
      <c r="BU1593" s="9"/>
      <c r="BV1593" s="9"/>
      <c r="BW1593" s="9"/>
    </row>
    <row r="1594" spans="1:75" x14ac:dyDescent="0.25">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c r="AO1594" s="9"/>
      <c r="AP1594" s="9"/>
      <c r="AQ1594" s="9"/>
      <c r="AR1594" s="9"/>
      <c r="AS1594" s="9"/>
      <c r="AT1594" s="9"/>
      <c r="AU1594" s="9"/>
      <c r="AV1594" s="9"/>
      <c r="AW1594" s="9"/>
      <c r="AX1594" s="9"/>
      <c r="AY1594" s="9"/>
      <c r="AZ1594" s="9"/>
      <c r="BA1594" s="9"/>
      <c r="BB1594" s="9"/>
      <c r="BC1594" s="9"/>
      <c r="BD1594" s="9"/>
      <c r="BE1594" s="9"/>
      <c r="BF1594" s="9"/>
      <c r="BG1594" s="9"/>
      <c r="BH1594" s="9"/>
      <c r="BI1594" s="9"/>
      <c r="BJ1594" s="9"/>
      <c r="BK1594" s="9"/>
      <c r="BL1594" s="9"/>
      <c r="BM1594" s="9"/>
      <c r="BN1594" s="9"/>
      <c r="BO1594" s="9"/>
      <c r="BP1594" s="9"/>
      <c r="BQ1594" s="9"/>
      <c r="BR1594" s="9"/>
      <c r="BS1594" s="9"/>
      <c r="BT1594" s="9"/>
      <c r="BU1594" s="9"/>
      <c r="BV1594" s="9"/>
      <c r="BW1594" s="9"/>
    </row>
    <row r="1595" spans="1:75" x14ac:dyDescent="0.25">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c r="AO1595" s="9"/>
      <c r="AP1595" s="9"/>
      <c r="AQ1595" s="9"/>
      <c r="AR1595" s="9"/>
      <c r="AS1595" s="9"/>
      <c r="AT1595" s="9"/>
      <c r="AU1595" s="9"/>
      <c r="AV1595" s="9"/>
      <c r="AW1595" s="9"/>
      <c r="AX1595" s="9"/>
      <c r="AY1595" s="9"/>
      <c r="AZ1595" s="9"/>
      <c r="BA1595" s="9"/>
      <c r="BB1595" s="9"/>
      <c r="BC1595" s="9"/>
      <c r="BD1595" s="9"/>
      <c r="BE1595" s="9"/>
      <c r="BF1595" s="9"/>
      <c r="BG1595" s="9"/>
      <c r="BH1595" s="9"/>
      <c r="BI1595" s="9"/>
      <c r="BJ1595" s="9"/>
      <c r="BK1595" s="9"/>
      <c r="BL1595" s="9"/>
      <c r="BM1595" s="9"/>
      <c r="BN1595" s="9"/>
      <c r="BO1595" s="9"/>
      <c r="BP1595" s="9"/>
      <c r="BQ1595" s="9"/>
      <c r="BR1595" s="9"/>
      <c r="BS1595" s="9"/>
      <c r="BT1595" s="9"/>
      <c r="BU1595" s="9"/>
      <c r="BV1595" s="9"/>
      <c r="BW1595" s="9"/>
    </row>
    <row r="1596" spans="1:75" x14ac:dyDescent="0.25">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c r="AS1596" s="9"/>
      <c r="AT1596" s="9"/>
      <c r="AU1596" s="9"/>
      <c r="AV1596" s="9"/>
      <c r="AW1596" s="9"/>
      <c r="AX1596" s="9"/>
      <c r="AY1596" s="9"/>
      <c r="AZ1596" s="9"/>
      <c r="BA1596" s="9"/>
      <c r="BB1596" s="9"/>
      <c r="BC1596" s="9"/>
      <c r="BD1596" s="9"/>
      <c r="BE1596" s="9"/>
      <c r="BF1596" s="9"/>
      <c r="BG1596" s="9"/>
      <c r="BH1596" s="9"/>
      <c r="BI1596" s="9"/>
      <c r="BJ1596" s="9"/>
      <c r="BK1596" s="9"/>
      <c r="BL1596" s="9"/>
      <c r="BM1596" s="9"/>
      <c r="BN1596" s="9"/>
      <c r="BO1596" s="9"/>
      <c r="BP1596" s="9"/>
      <c r="BQ1596" s="9"/>
      <c r="BR1596" s="9"/>
      <c r="BS1596" s="9"/>
      <c r="BT1596" s="9"/>
      <c r="BU1596" s="9"/>
      <c r="BV1596" s="9"/>
      <c r="BW1596" s="9"/>
    </row>
    <row r="1597" spans="1:75" x14ac:dyDescent="0.25">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c r="AO1597" s="9"/>
      <c r="AP1597" s="9"/>
      <c r="AQ1597" s="9"/>
      <c r="AR1597" s="9"/>
      <c r="AS1597" s="9"/>
      <c r="AT1597" s="9"/>
      <c r="AU1597" s="9"/>
      <c r="AV1597" s="9"/>
      <c r="AW1597" s="9"/>
      <c r="AX1597" s="9"/>
      <c r="AY1597" s="9"/>
      <c r="AZ1597" s="9"/>
      <c r="BA1597" s="9"/>
      <c r="BB1597" s="9"/>
      <c r="BC1597" s="9"/>
      <c r="BD1597" s="9"/>
      <c r="BE1597" s="9"/>
      <c r="BF1597" s="9"/>
      <c r="BG1597" s="9"/>
      <c r="BH1597" s="9"/>
      <c r="BI1597" s="9"/>
      <c r="BJ1597" s="9"/>
      <c r="BK1597" s="9"/>
      <c r="BL1597" s="9"/>
      <c r="BM1597" s="9"/>
      <c r="BN1597" s="9"/>
      <c r="BO1597" s="9"/>
      <c r="BP1597" s="9"/>
      <c r="BQ1597" s="9"/>
      <c r="BR1597" s="9"/>
      <c r="BS1597" s="9"/>
      <c r="BT1597" s="9"/>
      <c r="BU1597" s="9"/>
      <c r="BV1597" s="9"/>
      <c r="BW1597" s="9"/>
    </row>
    <row r="1598" spans="1:75" x14ac:dyDescent="0.25">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c r="AS1598" s="9"/>
      <c r="AT1598" s="9"/>
      <c r="AU1598" s="9"/>
      <c r="AV1598" s="9"/>
      <c r="AW1598" s="9"/>
      <c r="AX1598" s="9"/>
      <c r="AY1598" s="9"/>
      <c r="AZ1598" s="9"/>
      <c r="BA1598" s="9"/>
      <c r="BB1598" s="9"/>
      <c r="BC1598" s="9"/>
      <c r="BD1598" s="9"/>
      <c r="BE1598" s="9"/>
      <c r="BF1598" s="9"/>
      <c r="BG1598" s="9"/>
      <c r="BH1598" s="9"/>
      <c r="BI1598" s="9"/>
      <c r="BJ1598" s="9"/>
      <c r="BK1598" s="9"/>
      <c r="BL1598" s="9"/>
      <c r="BM1598" s="9"/>
      <c r="BN1598" s="9"/>
      <c r="BO1598" s="9"/>
      <c r="BP1598" s="9"/>
      <c r="BQ1598" s="9"/>
      <c r="BR1598" s="9"/>
      <c r="BS1598" s="9"/>
      <c r="BT1598" s="9"/>
      <c r="BU1598" s="9"/>
      <c r="BV1598" s="9"/>
      <c r="BW1598" s="9"/>
    </row>
    <row r="1599" spans="1:75" x14ac:dyDescent="0.25">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c r="AS1599" s="9"/>
      <c r="AT1599" s="9"/>
      <c r="AU1599" s="9"/>
      <c r="AV1599" s="9"/>
      <c r="AW1599" s="9"/>
      <c r="AX1599" s="9"/>
      <c r="AY1599" s="9"/>
      <c r="AZ1599" s="9"/>
      <c r="BA1599" s="9"/>
      <c r="BB1599" s="9"/>
      <c r="BC1599" s="9"/>
      <c r="BD1599" s="9"/>
      <c r="BE1599" s="9"/>
      <c r="BF1599" s="9"/>
      <c r="BG1599" s="9"/>
      <c r="BH1599" s="9"/>
      <c r="BI1599" s="9"/>
      <c r="BJ1599" s="9"/>
      <c r="BK1599" s="9"/>
      <c r="BL1599" s="9"/>
      <c r="BM1599" s="9"/>
      <c r="BN1599" s="9"/>
      <c r="BO1599" s="9"/>
      <c r="BP1599" s="9"/>
      <c r="BQ1599" s="9"/>
      <c r="BR1599" s="9"/>
      <c r="BS1599" s="9"/>
      <c r="BT1599" s="9"/>
      <c r="BU1599" s="9"/>
      <c r="BV1599" s="9"/>
      <c r="BW1599" s="9"/>
    </row>
    <row r="1600" spans="1:75" x14ac:dyDescent="0.25">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c r="AS1600" s="9"/>
      <c r="AT1600" s="9"/>
      <c r="AU1600" s="9"/>
      <c r="AV1600" s="9"/>
      <c r="AW1600" s="9"/>
      <c r="AX1600" s="9"/>
      <c r="AY1600" s="9"/>
      <c r="AZ1600" s="9"/>
      <c r="BA1600" s="9"/>
      <c r="BB1600" s="9"/>
      <c r="BC1600" s="9"/>
      <c r="BD1600" s="9"/>
      <c r="BE1600" s="9"/>
      <c r="BF1600" s="9"/>
      <c r="BG1600" s="9"/>
      <c r="BH1600" s="9"/>
      <c r="BI1600" s="9"/>
      <c r="BJ1600" s="9"/>
      <c r="BK1600" s="9"/>
      <c r="BL1600" s="9"/>
      <c r="BM1600" s="9"/>
      <c r="BN1600" s="9"/>
      <c r="BO1600" s="9"/>
      <c r="BP1600" s="9"/>
      <c r="BQ1600" s="9"/>
      <c r="BR1600" s="9"/>
      <c r="BS1600" s="9"/>
      <c r="BT1600" s="9"/>
      <c r="BU1600" s="9"/>
      <c r="BV1600" s="9"/>
      <c r="BW1600" s="9"/>
    </row>
    <row r="1601" spans="1:75" x14ac:dyDescent="0.25">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c r="AR1601" s="9"/>
      <c r="AS1601" s="9"/>
      <c r="AT1601" s="9"/>
      <c r="AU1601" s="9"/>
      <c r="AV1601" s="9"/>
      <c r="AW1601" s="9"/>
      <c r="AX1601" s="9"/>
      <c r="AY1601" s="9"/>
      <c r="AZ1601" s="9"/>
      <c r="BA1601" s="9"/>
      <c r="BB1601" s="9"/>
      <c r="BC1601" s="9"/>
      <c r="BD1601" s="9"/>
      <c r="BE1601" s="9"/>
      <c r="BF1601" s="9"/>
      <c r="BG1601" s="9"/>
      <c r="BH1601" s="9"/>
      <c r="BI1601" s="9"/>
      <c r="BJ1601" s="9"/>
      <c r="BK1601" s="9"/>
      <c r="BL1601" s="9"/>
      <c r="BM1601" s="9"/>
      <c r="BN1601" s="9"/>
      <c r="BO1601" s="9"/>
      <c r="BP1601" s="9"/>
      <c r="BQ1601" s="9"/>
      <c r="BR1601" s="9"/>
      <c r="BS1601" s="9"/>
      <c r="BT1601" s="9"/>
      <c r="BU1601" s="9"/>
      <c r="BV1601" s="9"/>
      <c r="BW1601" s="9"/>
    </row>
    <row r="1602" spans="1:75" x14ac:dyDescent="0.25">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c r="AO1602" s="9"/>
      <c r="AP1602" s="9"/>
      <c r="AQ1602" s="9"/>
      <c r="AR1602" s="9"/>
      <c r="AS1602" s="9"/>
      <c r="AT1602" s="9"/>
      <c r="AU1602" s="9"/>
      <c r="AV1602" s="9"/>
      <c r="AW1602" s="9"/>
      <c r="AX1602" s="9"/>
      <c r="AY1602" s="9"/>
      <c r="AZ1602" s="9"/>
      <c r="BA1602" s="9"/>
      <c r="BB1602" s="9"/>
      <c r="BC1602" s="9"/>
      <c r="BD1602" s="9"/>
      <c r="BE1602" s="9"/>
      <c r="BF1602" s="9"/>
      <c r="BG1602" s="9"/>
      <c r="BH1602" s="9"/>
      <c r="BI1602" s="9"/>
      <c r="BJ1602" s="9"/>
      <c r="BK1602" s="9"/>
      <c r="BL1602" s="9"/>
      <c r="BM1602" s="9"/>
      <c r="BN1602" s="9"/>
      <c r="BO1602" s="9"/>
      <c r="BP1602" s="9"/>
      <c r="BQ1602" s="9"/>
      <c r="BR1602" s="9"/>
      <c r="BS1602" s="9"/>
      <c r="BT1602" s="9"/>
      <c r="BU1602" s="9"/>
      <c r="BV1602" s="9"/>
      <c r="BW1602" s="9"/>
    </row>
    <row r="1603" spans="1:75" x14ac:dyDescent="0.25">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c r="AO1603" s="9"/>
      <c r="AP1603" s="9"/>
      <c r="AQ1603" s="9"/>
      <c r="AR1603" s="9"/>
      <c r="AS1603" s="9"/>
      <c r="AT1603" s="9"/>
      <c r="AU1603" s="9"/>
      <c r="AV1603" s="9"/>
      <c r="AW1603" s="9"/>
      <c r="AX1603" s="9"/>
      <c r="AY1603" s="9"/>
      <c r="AZ1603" s="9"/>
      <c r="BA1603" s="9"/>
      <c r="BB1603" s="9"/>
      <c r="BC1603" s="9"/>
      <c r="BD1603" s="9"/>
      <c r="BE1603" s="9"/>
      <c r="BF1603" s="9"/>
      <c r="BG1603" s="9"/>
      <c r="BH1603" s="9"/>
      <c r="BI1603" s="9"/>
      <c r="BJ1603" s="9"/>
      <c r="BK1603" s="9"/>
      <c r="BL1603" s="9"/>
      <c r="BM1603" s="9"/>
      <c r="BN1603" s="9"/>
      <c r="BO1603" s="9"/>
      <c r="BP1603" s="9"/>
      <c r="BQ1603" s="9"/>
      <c r="BR1603" s="9"/>
      <c r="BS1603" s="9"/>
      <c r="BT1603" s="9"/>
      <c r="BU1603" s="9"/>
      <c r="BV1603" s="9"/>
      <c r="BW1603" s="9"/>
    </row>
    <row r="1604" spans="1:75" x14ac:dyDescent="0.25">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c r="AS1604" s="9"/>
      <c r="AT1604" s="9"/>
      <c r="AU1604" s="9"/>
      <c r="AV1604" s="9"/>
      <c r="AW1604" s="9"/>
      <c r="AX1604" s="9"/>
      <c r="AY1604" s="9"/>
      <c r="AZ1604" s="9"/>
      <c r="BA1604" s="9"/>
      <c r="BB1604" s="9"/>
      <c r="BC1604" s="9"/>
      <c r="BD1604" s="9"/>
      <c r="BE1604" s="9"/>
      <c r="BF1604" s="9"/>
      <c r="BG1604" s="9"/>
      <c r="BH1604" s="9"/>
      <c r="BI1604" s="9"/>
      <c r="BJ1604" s="9"/>
      <c r="BK1604" s="9"/>
      <c r="BL1604" s="9"/>
      <c r="BM1604" s="9"/>
      <c r="BN1604" s="9"/>
      <c r="BO1604" s="9"/>
      <c r="BP1604" s="9"/>
      <c r="BQ1604" s="9"/>
      <c r="BR1604" s="9"/>
      <c r="BS1604" s="9"/>
      <c r="BT1604" s="9"/>
      <c r="BU1604" s="9"/>
      <c r="BV1604" s="9"/>
      <c r="BW1604" s="9"/>
    </row>
    <row r="1605" spans="1:75" x14ac:dyDescent="0.25">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c r="AS1605" s="9"/>
      <c r="AT1605" s="9"/>
      <c r="AU1605" s="9"/>
      <c r="AV1605" s="9"/>
      <c r="AW1605" s="9"/>
      <c r="AX1605" s="9"/>
      <c r="AY1605" s="9"/>
      <c r="AZ1605" s="9"/>
      <c r="BA1605" s="9"/>
      <c r="BB1605" s="9"/>
      <c r="BC1605" s="9"/>
      <c r="BD1605" s="9"/>
      <c r="BE1605" s="9"/>
      <c r="BF1605" s="9"/>
      <c r="BG1605" s="9"/>
      <c r="BH1605" s="9"/>
      <c r="BI1605" s="9"/>
      <c r="BJ1605" s="9"/>
      <c r="BK1605" s="9"/>
      <c r="BL1605" s="9"/>
      <c r="BM1605" s="9"/>
      <c r="BN1605" s="9"/>
      <c r="BO1605" s="9"/>
      <c r="BP1605" s="9"/>
      <c r="BQ1605" s="9"/>
      <c r="BR1605" s="9"/>
      <c r="BS1605" s="9"/>
      <c r="BT1605" s="9"/>
      <c r="BU1605" s="9"/>
      <c r="BV1605" s="9"/>
      <c r="BW1605" s="9"/>
    </row>
    <row r="1606" spans="1:75" x14ac:dyDescent="0.25">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c r="AR1606" s="9"/>
      <c r="AS1606" s="9"/>
      <c r="AT1606" s="9"/>
      <c r="AU1606" s="9"/>
      <c r="AV1606" s="9"/>
      <c r="AW1606" s="9"/>
      <c r="AX1606" s="9"/>
      <c r="AY1606" s="9"/>
      <c r="AZ1606" s="9"/>
      <c r="BA1606" s="9"/>
      <c r="BB1606" s="9"/>
      <c r="BC1606" s="9"/>
      <c r="BD1606" s="9"/>
      <c r="BE1606" s="9"/>
      <c r="BF1606" s="9"/>
      <c r="BG1606" s="9"/>
      <c r="BH1606" s="9"/>
      <c r="BI1606" s="9"/>
      <c r="BJ1606" s="9"/>
      <c r="BK1606" s="9"/>
      <c r="BL1606" s="9"/>
      <c r="BM1606" s="9"/>
      <c r="BN1606" s="9"/>
      <c r="BO1606" s="9"/>
      <c r="BP1606" s="9"/>
      <c r="BQ1606" s="9"/>
      <c r="BR1606" s="9"/>
      <c r="BS1606" s="9"/>
      <c r="BT1606" s="9"/>
      <c r="BU1606" s="9"/>
      <c r="BV1606" s="9"/>
      <c r="BW1606" s="9"/>
    </row>
    <row r="1607" spans="1:75" x14ac:dyDescent="0.25">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c r="AS1607" s="9"/>
      <c r="AT1607" s="9"/>
      <c r="AU1607" s="9"/>
      <c r="AV1607" s="9"/>
      <c r="AW1607" s="9"/>
      <c r="AX1607" s="9"/>
      <c r="AY1607" s="9"/>
      <c r="AZ1607" s="9"/>
      <c r="BA1607" s="9"/>
      <c r="BB1607" s="9"/>
      <c r="BC1607" s="9"/>
      <c r="BD1607" s="9"/>
      <c r="BE1607" s="9"/>
      <c r="BF1607" s="9"/>
      <c r="BG1607" s="9"/>
      <c r="BH1607" s="9"/>
      <c r="BI1607" s="9"/>
      <c r="BJ1607" s="9"/>
      <c r="BK1607" s="9"/>
      <c r="BL1607" s="9"/>
      <c r="BM1607" s="9"/>
      <c r="BN1607" s="9"/>
      <c r="BO1607" s="9"/>
      <c r="BP1607" s="9"/>
      <c r="BQ1607" s="9"/>
      <c r="BR1607" s="9"/>
      <c r="BS1607" s="9"/>
      <c r="BT1607" s="9"/>
      <c r="BU1607" s="9"/>
      <c r="BV1607" s="9"/>
      <c r="BW1607" s="9"/>
    </row>
    <row r="1608" spans="1:75" x14ac:dyDescent="0.25">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c r="AS1608" s="9"/>
      <c r="AT1608" s="9"/>
      <c r="AU1608" s="9"/>
      <c r="AV1608" s="9"/>
      <c r="AW1608" s="9"/>
      <c r="AX1608" s="9"/>
      <c r="AY1608" s="9"/>
      <c r="AZ1608" s="9"/>
      <c r="BA1608" s="9"/>
      <c r="BB1608" s="9"/>
      <c r="BC1608" s="9"/>
      <c r="BD1608" s="9"/>
      <c r="BE1608" s="9"/>
      <c r="BF1608" s="9"/>
      <c r="BG1608" s="9"/>
      <c r="BH1608" s="9"/>
      <c r="BI1608" s="9"/>
      <c r="BJ1608" s="9"/>
      <c r="BK1608" s="9"/>
      <c r="BL1608" s="9"/>
      <c r="BM1608" s="9"/>
      <c r="BN1608" s="9"/>
      <c r="BO1608" s="9"/>
      <c r="BP1608" s="9"/>
      <c r="BQ1608" s="9"/>
      <c r="BR1608" s="9"/>
      <c r="BS1608" s="9"/>
      <c r="BT1608" s="9"/>
      <c r="BU1608" s="9"/>
      <c r="BV1608" s="9"/>
      <c r="BW1608" s="9"/>
    </row>
    <row r="1609" spans="1:75" x14ac:dyDescent="0.25">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c r="AO1609" s="9"/>
      <c r="AP1609" s="9"/>
      <c r="AQ1609" s="9"/>
      <c r="AR1609" s="9"/>
      <c r="AS1609" s="9"/>
      <c r="AT1609" s="9"/>
      <c r="AU1609" s="9"/>
      <c r="AV1609" s="9"/>
      <c r="AW1609" s="9"/>
      <c r="AX1609" s="9"/>
      <c r="AY1609" s="9"/>
      <c r="AZ1609" s="9"/>
      <c r="BA1609" s="9"/>
      <c r="BB1609" s="9"/>
      <c r="BC1609" s="9"/>
      <c r="BD1609" s="9"/>
      <c r="BE1609" s="9"/>
      <c r="BF1609" s="9"/>
      <c r="BG1609" s="9"/>
      <c r="BH1609" s="9"/>
      <c r="BI1609" s="9"/>
      <c r="BJ1609" s="9"/>
      <c r="BK1609" s="9"/>
      <c r="BL1609" s="9"/>
      <c r="BM1609" s="9"/>
      <c r="BN1609" s="9"/>
      <c r="BO1609" s="9"/>
      <c r="BP1609" s="9"/>
      <c r="BQ1609" s="9"/>
      <c r="BR1609" s="9"/>
      <c r="BS1609" s="9"/>
      <c r="BT1609" s="9"/>
      <c r="BU1609" s="9"/>
      <c r="BV1609" s="9"/>
      <c r="BW1609" s="9"/>
    </row>
    <row r="1610" spans="1:75" x14ac:dyDescent="0.25">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c r="AR1610" s="9"/>
      <c r="AS1610" s="9"/>
      <c r="AT1610" s="9"/>
      <c r="AU1610" s="9"/>
      <c r="AV1610" s="9"/>
      <c r="AW1610" s="9"/>
      <c r="AX1610" s="9"/>
      <c r="AY1610" s="9"/>
      <c r="AZ1610" s="9"/>
      <c r="BA1610" s="9"/>
      <c r="BB1610" s="9"/>
      <c r="BC1610" s="9"/>
      <c r="BD1610" s="9"/>
      <c r="BE1610" s="9"/>
      <c r="BF1610" s="9"/>
      <c r="BG1610" s="9"/>
      <c r="BH1610" s="9"/>
      <c r="BI1610" s="9"/>
      <c r="BJ1610" s="9"/>
      <c r="BK1610" s="9"/>
      <c r="BL1610" s="9"/>
      <c r="BM1610" s="9"/>
      <c r="BN1610" s="9"/>
      <c r="BO1610" s="9"/>
      <c r="BP1610" s="9"/>
      <c r="BQ1610" s="9"/>
      <c r="BR1610" s="9"/>
      <c r="BS1610" s="9"/>
      <c r="BT1610" s="9"/>
      <c r="BU1610" s="9"/>
      <c r="BV1610" s="9"/>
      <c r="BW1610" s="9"/>
    </row>
    <row r="1611" spans="1:75" x14ac:dyDescent="0.25">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c r="AO1611" s="9"/>
      <c r="AP1611" s="9"/>
      <c r="AQ1611" s="9"/>
      <c r="AR1611" s="9"/>
      <c r="AS1611" s="9"/>
      <c r="AT1611" s="9"/>
      <c r="AU1611" s="9"/>
      <c r="AV1611" s="9"/>
      <c r="AW1611" s="9"/>
      <c r="AX1611" s="9"/>
      <c r="AY1611" s="9"/>
      <c r="AZ1611" s="9"/>
      <c r="BA1611" s="9"/>
      <c r="BB1611" s="9"/>
      <c r="BC1611" s="9"/>
      <c r="BD1611" s="9"/>
      <c r="BE1611" s="9"/>
      <c r="BF1611" s="9"/>
      <c r="BG1611" s="9"/>
      <c r="BH1611" s="9"/>
      <c r="BI1611" s="9"/>
      <c r="BJ1611" s="9"/>
      <c r="BK1611" s="9"/>
      <c r="BL1611" s="9"/>
      <c r="BM1611" s="9"/>
      <c r="BN1611" s="9"/>
      <c r="BO1611" s="9"/>
      <c r="BP1611" s="9"/>
      <c r="BQ1611" s="9"/>
      <c r="BR1611" s="9"/>
      <c r="BS1611" s="9"/>
      <c r="BT1611" s="9"/>
      <c r="BU1611" s="9"/>
      <c r="BV1611" s="9"/>
      <c r="BW1611" s="9"/>
    </row>
    <row r="1612" spans="1:75" x14ac:dyDescent="0.25">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c r="AO1612" s="9"/>
      <c r="AP1612" s="9"/>
      <c r="AQ1612" s="9"/>
      <c r="AR1612" s="9"/>
      <c r="AS1612" s="9"/>
      <c r="AT1612" s="9"/>
      <c r="AU1612" s="9"/>
      <c r="AV1612" s="9"/>
      <c r="AW1612" s="9"/>
      <c r="AX1612" s="9"/>
      <c r="AY1612" s="9"/>
      <c r="AZ1612" s="9"/>
      <c r="BA1612" s="9"/>
      <c r="BB1612" s="9"/>
      <c r="BC1612" s="9"/>
      <c r="BD1612" s="9"/>
      <c r="BE1612" s="9"/>
      <c r="BF1612" s="9"/>
      <c r="BG1612" s="9"/>
      <c r="BH1612" s="9"/>
      <c r="BI1612" s="9"/>
      <c r="BJ1612" s="9"/>
      <c r="BK1612" s="9"/>
      <c r="BL1612" s="9"/>
      <c r="BM1612" s="9"/>
      <c r="BN1612" s="9"/>
      <c r="BO1612" s="9"/>
      <c r="BP1612" s="9"/>
      <c r="BQ1612" s="9"/>
      <c r="BR1612" s="9"/>
      <c r="BS1612" s="9"/>
      <c r="BT1612" s="9"/>
      <c r="BU1612" s="9"/>
      <c r="BV1612" s="9"/>
      <c r="BW1612" s="9"/>
    </row>
    <row r="1613" spans="1:75" x14ac:dyDescent="0.25">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c r="AO1613" s="9"/>
      <c r="AP1613" s="9"/>
      <c r="AQ1613" s="9"/>
      <c r="AR1613" s="9"/>
      <c r="AS1613" s="9"/>
      <c r="AT1613" s="9"/>
      <c r="AU1613" s="9"/>
      <c r="AV1613" s="9"/>
      <c r="AW1613" s="9"/>
      <c r="AX1613" s="9"/>
      <c r="AY1613" s="9"/>
      <c r="AZ1613" s="9"/>
      <c r="BA1613" s="9"/>
      <c r="BB1613" s="9"/>
      <c r="BC1613" s="9"/>
      <c r="BD1613" s="9"/>
      <c r="BE1613" s="9"/>
      <c r="BF1613" s="9"/>
      <c r="BG1613" s="9"/>
      <c r="BH1613" s="9"/>
      <c r="BI1613" s="9"/>
      <c r="BJ1613" s="9"/>
      <c r="BK1613" s="9"/>
      <c r="BL1613" s="9"/>
      <c r="BM1613" s="9"/>
      <c r="BN1613" s="9"/>
      <c r="BO1613" s="9"/>
      <c r="BP1613" s="9"/>
      <c r="BQ1613" s="9"/>
      <c r="BR1613" s="9"/>
      <c r="BS1613" s="9"/>
      <c r="BT1613" s="9"/>
      <c r="BU1613" s="9"/>
      <c r="BV1613" s="9"/>
      <c r="BW1613" s="9"/>
    </row>
    <row r="1614" spans="1:75" x14ac:dyDescent="0.25">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c r="AS1614" s="9"/>
      <c r="AT1614" s="9"/>
      <c r="AU1614" s="9"/>
      <c r="AV1614" s="9"/>
      <c r="AW1614" s="9"/>
      <c r="AX1614" s="9"/>
      <c r="AY1614" s="9"/>
      <c r="AZ1614" s="9"/>
      <c r="BA1614" s="9"/>
      <c r="BB1614" s="9"/>
      <c r="BC1614" s="9"/>
      <c r="BD1614" s="9"/>
      <c r="BE1614" s="9"/>
      <c r="BF1614" s="9"/>
      <c r="BG1614" s="9"/>
      <c r="BH1614" s="9"/>
      <c r="BI1614" s="9"/>
      <c r="BJ1614" s="9"/>
      <c r="BK1614" s="9"/>
      <c r="BL1614" s="9"/>
      <c r="BM1614" s="9"/>
      <c r="BN1614" s="9"/>
      <c r="BO1614" s="9"/>
      <c r="BP1614" s="9"/>
      <c r="BQ1614" s="9"/>
      <c r="BR1614" s="9"/>
      <c r="BS1614" s="9"/>
      <c r="BT1614" s="9"/>
      <c r="BU1614" s="9"/>
      <c r="BV1614" s="9"/>
      <c r="BW1614" s="9"/>
    </row>
    <row r="1615" spans="1:75" x14ac:dyDescent="0.25">
      <c r="A1615" s="9"/>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c r="AI1615" s="9"/>
      <c r="AJ1615" s="9"/>
      <c r="AK1615" s="9"/>
      <c r="AL1615" s="9"/>
      <c r="AM1615" s="9"/>
      <c r="AN1615" s="9"/>
      <c r="AO1615" s="9"/>
      <c r="AP1615" s="9"/>
      <c r="AQ1615" s="9"/>
      <c r="AR1615" s="9"/>
      <c r="AS1615" s="9"/>
      <c r="AT1615" s="9"/>
      <c r="AU1615" s="9"/>
      <c r="AV1615" s="9"/>
      <c r="AW1615" s="9"/>
      <c r="AX1615" s="9"/>
      <c r="AY1615" s="9"/>
      <c r="AZ1615" s="9"/>
      <c r="BA1615" s="9"/>
      <c r="BB1615" s="9"/>
      <c r="BC1615" s="9"/>
      <c r="BD1615" s="9"/>
      <c r="BE1615" s="9"/>
      <c r="BF1615" s="9"/>
      <c r="BG1615" s="9"/>
      <c r="BH1615" s="9"/>
      <c r="BI1615" s="9"/>
      <c r="BJ1615" s="9"/>
      <c r="BK1615" s="9"/>
      <c r="BL1615" s="9"/>
      <c r="BM1615" s="9"/>
      <c r="BN1615" s="9"/>
      <c r="BO1615" s="9"/>
      <c r="BP1615" s="9"/>
      <c r="BQ1615" s="9"/>
      <c r="BR1615" s="9"/>
      <c r="BS1615" s="9"/>
      <c r="BT1615" s="9"/>
      <c r="BU1615" s="9"/>
      <c r="BV1615" s="9"/>
      <c r="BW1615" s="9"/>
    </row>
    <row r="1616" spans="1:75" x14ac:dyDescent="0.25">
      <c r="A1616" s="9"/>
      <c r="B1616" s="9"/>
      <c r="C1616" s="9"/>
      <c r="D1616" s="9"/>
      <c r="E1616" s="9"/>
      <c r="F1616" s="9"/>
      <c r="G1616" s="9"/>
      <c r="H1616" s="9"/>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c r="AI1616" s="9"/>
      <c r="AJ1616" s="9"/>
      <c r="AK1616" s="9"/>
      <c r="AL1616" s="9"/>
      <c r="AM1616" s="9"/>
      <c r="AN1616" s="9"/>
      <c r="AO1616" s="9"/>
      <c r="AP1616" s="9"/>
      <c r="AQ1616" s="9"/>
      <c r="AR1616" s="9"/>
      <c r="AS1616" s="9"/>
      <c r="AT1616" s="9"/>
      <c r="AU1616" s="9"/>
      <c r="AV1616" s="9"/>
      <c r="AW1616" s="9"/>
      <c r="AX1616" s="9"/>
      <c r="AY1616" s="9"/>
      <c r="AZ1616" s="9"/>
      <c r="BA1616" s="9"/>
      <c r="BB1616" s="9"/>
      <c r="BC1616" s="9"/>
      <c r="BD1616" s="9"/>
      <c r="BE1616" s="9"/>
      <c r="BF1616" s="9"/>
      <c r="BG1616" s="9"/>
      <c r="BH1616" s="9"/>
      <c r="BI1616" s="9"/>
      <c r="BJ1616" s="9"/>
      <c r="BK1616" s="9"/>
      <c r="BL1616" s="9"/>
      <c r="BM1616" s="9"/>
      <c r="BN1616" s="9"/>
      <c r="BO1616" s="9"/>
      <c r="BP1616" s="9"/>
      <c r="BQ1616" s="9"/>
      <c r="BR1616" s="9"/>
      <c r="BS1616" s="9"/>
      <c r="BT1616" s="9"/>
      <c r="BU1616" s="9"/>
      <c r="BV1616" s="9"/>
      <c r="BW1616" s="9"/>
    </row>
    <row r="1617" spans="1:75" x14ac:dyDescent="0.25">
      <c r="A1617" s="9"/>
      <c r="B1617" s="9"/>
      <c r="C1617" s="9"/>
      <c r="D1617" s="9"/>
      <c r="E1617" s="9"/>
      <c r="F1617" s="9"/>
      <c r="G1617" s="9"/>
      <c r="H1617" s="9"/>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c r="AO1617" s="9"/>
      <c r="AP1617" s="9"/>
      <c r="AQ1617" s="9"/>
      <c r="AR1617" s="9"/>
      <c r="AS1617" s="9"/>
      <c r="AT1617" s="9"/>
      <c r="AU1617" s="9"/>
      <c r="AV1617" s="9"/>
      <c r="AW1617" s="9"/>
      <c r="AX1617" s="9"/>
      <c r="AY1617" s="9"/>
      <c r="AZ1617" s="9"/>
      <c r="BA1617" s="9"/>
      <c r="BB1617" s="9"/>
      <c r="BC1617" s="9"/>
      <c r="BD1617" s="9"/>
      <c r="BE1617" s="9"/>
      <c r="BF1617" s="9"/>
      <c r="BG1617" s="9"/>
      <c r="BH1617" s="9"/>
      <c r="BI1617" s="9"/>
      <c r="BJ1617" s="9"/>
      <c r="BK1617" s="9"/>
      <c r="BL1617" s="9"/>
      <c r="BM1617" s="9"/>
      <c r="BN1617" s="9"/>
      <c r="BO1617" s="9"/>
      <c r="BP1617" s="9"/>
      <c r="BQ1617" s="9"/>
      <c r="BR1617" s="9"/>
      <c r="BS1617" s="9"/>
      <c r="BT1617" s="9"/>
      <c r="BU1617" s="9"/>
      <c r="BV1617" s="9"/>
      <c r="BW1617" s="9"/>
    </row>
    <row r="1618" spans="1:75" x14ac:dyDescent="0.25">
      <c r="A1618" s="9"/>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c r="AR1618" s="9"/>
      <c r="AS1618" s="9"/>
      <c r="AT1618" s="9"/>
      <c r="AU1618" s="9"/>
      <c r="AV1618" s="9"/>
      <c r="AW1618" s="9"/>
      <c r="AX1618" s="9"/>
      <c r="AY1618" s="9"/>
      <c r="AZ1618" s="9"/>
      <c r="BA1618" s="9"/>
      <c r="BB1618" s="9"/>
      <c r="BC1618" s="9"/>
      <c r="BD1618" s="9"/>
      <c r="BE1618" s="9"/>
      <c r="BF1618" s="9"/>
      <c r="BG1618" s="9"/>
      <c r="BH1618" s="9"/>
      <c r="BI1618" s="9"/>
      <c r="BJ1618" s="9"/>
      <c r="BK1618" s="9"/>
      <c r="BL1618" s="9"/>
      <c r="BM1618" s="9"/>
      <c r="BN1618" s="9"/>
      <c r="BO1618" s="9"/>
      <c r="BP1618" s="9"/>
      <c r="BQ1618" s="9"/>
      <c r="BR1618" s="9"/>
      <c r="BS1618" s="9"/>
      <c r="BT1618" s="9"/>
      <c r="BU1618" s="9"/>
      <c r="BV1618" s="9"/>
      <c r="BW1618" s="9"/>
    </row>
    <row r="1619" spans="1:75" x14ac:dyDescent="0.25">
      <c r="A1619" s="9"/>
      <c r="B1619" s="9"/>
      <c r="C1619" s="9"/>
      <c r="D1619" s="9"/>
      <c r="E1619" s="9"/>
      <c r="F1619" s="9"/>
      <c r="G1619" s="9"/>
      <c r="H1619" s="9"/>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c r="AS1619" s="9"/>
      <c r="AT1619" s="9"/>
      <c r="AU1619" s="9"/>
      <c r="AV1619" s="9"/>
      <c r="AW1619" s="9"/>
      <c r="AX1619" s="9"/>
      <c r="AY1619" s="9"/>
      <c r="AZ1619" s="9"/>
      <c r="BA1619" s="9"/>
      <c r="BB1619" s="9"/>
      <c r="BC1619" s="9"/>
      <c r="BD1619" s="9"/>
      <c r="BE1619" s="9"/>
      <c r="BF1619" s="9"/>
      <c r="BG1619" s="9"/>
      <c r="BH1619" s="9"/>
      <c r="BI1619" s="9"/>
      <c r="BJ1619" s="9"/>
      <c r="BK1619" s="9"/>
      <c r="BL1619" s="9"/>
      <c r="BM1619" s="9"/>
      <c r="BN1619" s="9"/>
      <c r="BO1619" s="9"/>
      <c r="BP1619" s="9"/>
      <c r="BQ1619" s="9"/>
      <c r="BR1619" s="9"/>
      <c r="BS1619" s="9"/>
      <c r="BT1619" s="9"/>
      <c r="BU1619" s="9"/>
      <c r="BV1619" s="9"/>
      <c r="BW1619" s="9"/>
    </row>
    <row r="1620" spans="1:75" x14ac:dyDescent="0.25">
      <c r="A1620" s="9"/>
      <c r="B1620" s="9"/>
      <c r="C1620" s="9"/>
      <c r="D1620" s="9"/>
      <c r="E1620" s="9"/>
      <c r="F1620" s="9"/>
      <c r="G1620" s="9"/>
      <c r="H1620" s="9"/>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c r="AS1620" s="9"/>
      <c r="AT1620" s="9"/>
      <c r="AU1620" s="9"/>
      <c r="AV1620" s="9"/>
      <c r="AW1620" s="9"/>
      <c r="AX1620" s="9"/>
      <c r="AY1620" s="9"/>
      <c r="AZ1620" s="9"/>
      <c r="BA1620" s="9"/>
      <c r="BB1620" s="9"/>
      <c r="BC1620" s="9"/>
      <c r="BD1620" s="9"/>
      <c r="BE1620" s="9"/>
      <c r="BF1620" s="9"/>
      <c r="BG1620" s="9"/>
      <c r="BH1620" s="9"/>
      <c r="BI1620" s="9"/>
      <c r="BJ1620" s="9"/>
      <c r="BK1620" s="9"/>
      <c r="BL1620" s="9"/>
      <c r="BM1620" s="9"/>
      <c r="BN1620" s="9"/>
      <c r="BO1620" s="9"/>
      <c r="BP1620" s="9"/>
      <c r="BQ1620" s="9"/>
      <c r="BR1620" s="9"/>
      <c r="BS1620" s="9"/>
      <c r="BT1620" s="9"/>
      <c r="BU1620" s="9"/>
      <c r="BV1620" s="9"/>
      <c r="BW1620" s="9"/>
    </row>
    <row r="1621" spans="1:75" x14ac:dyDescent="0.25">
      <c r="A1621" s="9"/>
      <c r="B1621" s="9"/>
      <c r="C1621" s="9"/>
      <c r="D1621" s="9"/>
      <c r="E1621" s="9"/>
      <c r="F1621" s="9"/>
      <c r="G1621" s="9"/>
      <c r="H1621" s="9"/>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c r="AI1621" s="9"/>
      <c r="AJ1621" s="9"/>
      <c r="AK1621" s="9"/>
      <c r="AL1621" s="9"/>
      <c r="AM1621" s="9"/>
      <c r="AN1621" s="9"/>
      <c r="AO1621" s="9"/>
      <c r="AP1621" s="9"/>
      <c r="AQ1621" s="9"/>
      <c r="AR1621" s="9"/>
      <c r="AS1621" s="9"/>
      <c r="AT1621" s="9"/>
      <c r="AU1621" s="9"/>
      <c r="AV1621" s="9"/>
      <c r="AW1621" s="9"/>
      <c r="AX1621" s="9"/>
      <c r="AY1621" s="9"/>
      <c r="AZ1621" s="9"/>
      <c r="BA1621" s="9"/>
      <c r="BB1621" s="9"/>
      <c r="BC1621" s="9"/>
      <c r="BD1621" s="9"/>
      <c r="BE1621" s="9"/>
      <c r="BF1621" s="9"/>
      <c r="BG1621" s="9"/>
      <c r="BH1621" s="9"/>
      <c r="BI1621" s="9"/>
      <c r="BJ1621" s="9"/>
      <c r="BK1621" s="9"/>
      <c r="BL1621" s="9"/>
      <c r="BM1621" s="9"/>
      <c r="BN1621" s="9"/>
      <c r="BO1621" s="9"/>
      <c r="BP1621" s="9"/>
      <c r="BQ1621" s="9"/>
      <c r="BR1621" s="9"/>
      <c r="BS1621" s="9"/>
      <c r="BT1621" s="9"/>
      <c r="BU1621" s="9"/>
      <c r="BV1621" s="9"/>
      <c r="BW1621" s="9"/>
    </row>
    <row r="1622" spans="1:75" x14ac:dyDescent="0.25">
      <c r="A1622" s="9"/>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c r="AR1622" s="9"/>
      <c r="AS1622" s="9"/>
      <c r="AT1622" s="9"/>
      <c r="AU1622" s="9"/>
      <c r="AV1622" s="9"/>
      <c r="AW1622" s="9"/>
      <c r="AX1622" s="9"/>
      <c r="AY1622" s="9"/>
      <c r="AZ1622" s="9"/>
      <c r="BA1622" s="9"/>
      <c r="BB1622" s="9"/>
      <c r="BC1622" s="9"/>
      <c r="BD1622" s="9"/>
      <c r="BE1622" s="9"/>
      <c r="BF1622" s="9"/>
      <c r="BG1622" s="9"/>
      <c r="BH1622" s="9"/>
      <c r="BI1622" s="9"/>
      <c r="BJ1622" s="9"/>
      <c r="BK1622" s="9"/>
      <c r="BL1622" s="9"/>
      <c r="BM1622" s="9"/>
      <c r="BN1622" s="9"/>
      <c r="BO1622" s="9"/>
      <c r="BP1622" s="9"/>
      <c r="BQ1622" s="9"/>
      <c r="BR1622" s="9"/>
      <c r="BS1622" s="9"/>
      <c r="BT1622" s="9"/>
      <c r="BU1622" s="9"/>
      <c r="BV1622" s="9"/>
      <c r="BW1622" s="9"/>
    </row>
    <row r="1623" spans="1:75" x14ac:dyDescent="0.25">
      <c r="A1623" s="9"/>
      <c r="B1623" s="9"/>
      <c r="C1623" s="9"/>
      <c r="D1623" s="9"/>
      <c r="E1623" s="9"/>
      <c r="F1623" s="9"/>
      <c r="G1623" s="9"/>
      <c r="H1623" s="9"/>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c r="AI1623" s="9"/>
      <c r="AJ1623" s="9"/>
      <c r="AK1623" s="9"/>
      <c r="AL1623" s="9"/>
      <c r="AM1623" s="9"/>
      <c r="AN1623" s="9"/>
      <c r="AO1623" s="9"/>
      <c r="AP1623" s="9"/>
      <c r="AQ1623" s="9"/>
      <c r="AR1623" s="9"/>
      <c r="AS1623" s="9"/>
      <c r="AT1623" s="9"/>
      <c r="AU1623" s="9"/>
      <c r="AV1623" s="9"/>
      <c r="AW1623" s="9"/>
      <c r="AX1623" s="9"/>
      <c r="AY1623" s="9"/>
      <c r="AZ1623" s="9"/>
      <c r="BA1623" s="9"/>
      <c r="BB1623" s="9"/>
      <c r="BC1623" s="9"/>
      <c r="BD1623" s="9"/>
      <c r="BE1623" s="9"/>
      <c r="BF1623" s="9"/>
      <c r="BG1623" s="9"/>
      <c r="BH1623" s="9"/>
      <c r="BI1623" s="9"/>
      <c r="BJ1623" s="9"/>
      <c r="BK1623" s="9"/>
      <c r="BL1623" s="9"/>
      <c r="BM1623" s="9"/>
      <c r="BN1623" s="9"/>
      <c r="BO1623" s="9"/>
      <c r="BP1623" s="9"/>
      <c r="BQ1623" s="9"/>
      <c r="BR1623" s="9"/>
      <c r="BS1623" s="9"/>
      <c r="BT1623" s="9"/>
      <c r="BU1623" s="9"/>
      <c r="BV1623" s="9"/>
      <c r="BW1623" s="9"/>
    </row>
    <row r="1624" spans="1:75" x14ac:dyDescent="0.25">
      <c r="A1624" s="9"/>
      <c r="B1624" s="9"/>
      <c r="C1624" s="9"/>
      <c r="D1624" s="9"/>
      <c r="E1624" s="9"/>
      <c r="F1624" s="9"/>
      <c r="G1624" s="9"/>
      <c r="H1624" s="9"/>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c r="AO1624" s="9"/>
      <c r="AP1624" s="9"/>
      <c r="AQ1624" s="9"/>
      <c r="AR1624" s="9"/>
      <c r="AS1624" s="9"/>
      <c r="AT1624" s="9"/>
      <c r="AU1624" s="9"/>
      <c r="AV1624" s="9"/>
      <c r="AW1624" s="9"/>
      <c r="AX1624" s="9"/>
      <c r="AY1624" s="9"/>
      <c r="AZ1624" s="9"/>
      <c r="BA1624" s="9"/>
      <c r="BB1624" s="9"/>
      <c r="BC1624" s="9"/>
      <c r="BD1624" s="9"/>
      <c r="BE1624" s="9"/>
      <c r="BF1624" s="9"/>
      <c r="BG1624" s="9"/>
      <c r="BH1624" s="9"/>
      <c r="BI1624" s="9"/>
      <c r="BJ1624" s="9"/>
      <c r="BK1624" s="9"/>
      <c r="BL1624" s="9"/>
      <c r="BM1624" s="9"/>
      <c r="BN1624" s="9"/>
      <c r="BO1624" s="9"/>
      <c r="BP1624" s="9"/>
      <c r="BQ1624" s="9"/>
      <c r="BR1624" s="9"/>
      <c r="BS1624" s="9"/>
      <c r="BT1624" s="9"/>
      <c r="BU1624" s="9"/>
      <c r="BV1624" s="9"/>
      <c r="BW1624" s="9"/>
    </row>
    <row r="1625" spans="1:75" x14ac:dyDescent="0.25">
      <c r="A1625" s="9"/>
      <c r="B1625" s="9"/>
      <c r="C1625" s="9"/>
      <c r="D1625" s="9"/>
      <c r="E1625" s="9"/>
      <c r="F1625" s="9"/>
      <c r="G1625" s="9"/>
      <c r="H1625" s="9"/>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c r="AI1625" s="9"/>
      <c r="AJ1625" s="9"/>
      <c r="AK1625" s="9"/>
      <c r="AL1625" s="9"/>
      <c r="AM1625" s="9"/>
      <c r="AN1625" s="9"/>
      <c r="AO1625" s="9"/>
      <c r="AP1625" s="9"/>
      <c r="AQ1625" s="9"/>
      <c r="AR1625" s="9"/>
      <c r="AS1625" s="9"/>
      <c r="AT1625" s="9"/>
      <c r="AU1625" s="9"/>
      <c r="AV1625" s="9"/>
      <c r="AW1625" s="9"/>
      <c r="AX1625" s="9"/>
      <c r="AY1625" s="9"/>
      <c r="AZ1625" s="9"/>
      <c r="BA1625" s="9"/>
      <c r="BB1625" s="9"/>
      <c r="BC1625" s="9"/>
      <c r="BD1625" s="9"/>
      <c r="BE1625" s="9"/>
      <c r="BF1625" s="9"/>
      <c r="BG1625" s="9"/>
      <c r="BH1625" s="9"/>
      <c r="BI1625" s="9"/>
      <c r="BJ1625" s="9"/>
      <c r="BK1625" s="9"/>
      <c r="BL1625" s="9"/>
      <c r="BM1625" s="9"/>
      <c r="BN1625" s="9"/>
      <c r="BO1625" s="9"/>
      <c r="BP1625" s="9"/>
      <c r="BQ1625" s="9"/>
      <c r="BR1625" s="9"/>
      <c r="BS1625" s="9"/>
      <c r="BT1625" s="9"/>
      <c r="BU1625" s="9"/>
      <c r="BV1625" s="9"/>
      <c r="BW1625" s="9"/>
    </row>
    <row r="1626" spans="1:75" x14ac:dyDescent="0.25">
      <c r="A1626" s="9"/>
      <c r="B1626" s="9"/>
      <c r="C1626" s="9"/>
      <c r="D1626" s="9"/>
      <c r="E1626" s="9"/>
      <c r="F1626" s="9"/>
      <c r="G1626" s="9"/>
      <c r="H1626" s="9"/>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c r="AI1626" s="9"/>
      <c r="AJ1626" s="9"/>
      <c r="AK1626" s="9"/>
      <c r="AL1626" s="9"/>
      <c r="AM1626" s="9"/>
      <c r="AN1626" s="9"/>
      <c r="AO1626" s="9"/>
      <c r="AP1626" s="9"/>
      <c r="AQ1626" s="9"/>
      <c r="AR1626" s="9"/>
      <c r="AS1626" s="9"/>
      <c r="AT1626" s="9"/>
      <c r="AU1626" s="9"/>
      <c r="AV1626" s="9"/>
      <c r="AW1626" s="9"/>
      <c r="AX1626" s="9"/>
      <c r="AY1626" s="9"/>
      <c r="AZ1626" s="9"/>
      <c r="BA1626" s="9"/>
      <c r="BB1626" s="9"/>
      <c r="BC1626" s="9"/>
      <c r="BD1626" s="9"/>
      <c r="BE1626" s="9"/>
      <c r="BF1626" s="9"/>
      <c r="BG1626" s="9"/>
      <c r="BH1626" s="9"/>
      <c r="BI1626" s="9"/>
      <c r="BJ1626" s="9"/>
      <c r="BK1626" s="9"/>
      <c r="BL1626" s="9"/>
      <c r="BM1626" s="9"/>
      <c r="BN1626" s="9"/>
      <c r="BO1626" s="9"/>
      <c r="BP1626" s="9"/>
      <c r="BQ1626" s="9"/>
      <c r="BR1626" s="9"/>
      <c r="BS1626" s="9"/>
      <c r="BT1626" s="9"/>
      <c r="BU1626" s="9"/>
      <c r="BV1626" s="9"/>
      <c r="BW1626" s="9"/>
    </row>
    <row r="1627" spans="1:75" x14ac:dyDescent="0.25">
      <c r="A1627" s="9"/>
      <c r="B1627" s="9"/>
      <c r="C1627" s="9"/>
      <c r="D1627" s="9"/>
      <c r="E1627" s="9"/>
      <c r="F1627" s="9"/>
      <c r="G1627" s="9"/>
      <c r="H1627" s="9"/>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c r="AI1627" s="9"/>
      <c r="AJ1627" s="9"/>
      <c r="AK1627" s="9"/>
      <c r="AL1627" s="9"/>
      <c r="AM1627" s="9"/>
      <c r="AN1627" s="9"/>
      <c r="AO1627" s="9"/>
      <c r="AP1627" s="9"/>
      <c r="AQ1627" s="9"/>
      <c r="AR1627" s="9"/>
      <c r="AS1627" s="9"/>
      <c r="AT1627" s="9"/>
      <c r="AU1627" s="9"/>
      <c r="AV1627" s="9"/>
      <c r="AW1627" s="9"/>
      <c r="AX1627" s="9"/>
      <c r="AY1627" s="9"/>
      <c r="AZ1627" s="9"/>
      <c r="BA1627" s="9"/>
      <c r="BB1627" s="9"/>
      <c r="BC1627" s="9"/>
      <c r="BD1627" s="9"/>
      <c r="BE1627" s="9"/>
      <c r="BF1627" s="9"/>
      <c r="BG1627" s="9"/>
      <c r="BH1627" s="9"/>
      <c r="BI1627" s="9"/>
      <c r="BJ1627" s="9"/>
      <c r="BK1627" s="9"/>
      <c r="BL1627" s="9"/>
      <c r="BM1627" s="9"/>
      <c r="BN1627" s="9"/>
      <c r="BO1627" s="9"/>
      <c r="BP1627" s="9"/>
      <c r="BQ1627" s="9"/>
      <c r="BR1627" s="9"/>
      <c r="BS1627" s="9"/>
      <c r="BT1627" s="9"/>
      <c r="BU1627" s="9"/>
      <c r="BV1627" s="9"/>
      <c r="BW1627" s="9"/>
    </row>
    <row r="1628" spans="1:75" x14ac:dyDescent="0.25">
      <c r="A1628" s="9"/>
      <c r="B1628" s="9"/>
      <c r="C1628" s="9"/>
      <c r="D1628" s="9"/>
      <c r="E1628" s="9"/>
      <c r="F1628" s="9"/>
      <c r="G1628" s="9"/>
      <c r="H1628" s="9"/>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c r="AO1628" s="9"/>
      <c r="AP1628" s="9"/>
      <c r="AQ1628" s="9"/>
      <c r="AR1628" s="9"/>
      <c r="AS1628" s="9"/>
      <c r="AT1628" s="9"/>
      <c r="AU1628" s="9"/>
      <c r="AV1628" s="9"/>
      <c r="AW1628" s="9"/>
      <c r="AX1628" s="9"/>
      <c r="AY1628" s="9"/>
      <c r="AZ1628" s="9"/>
      <c r="BA1628" s="9"/>
      <c r="BB1628" s="9"/>
      <c r="BC1628" s="9"/>
      <c r="BD1628" s="9"/>
      <c r="BE1628" s="9"/>
      <c r="BF1628" s="9"/>
      <c r="BG1628" s="9"/>
      <c r="BH1628" s="9"/>
      <c r="BI1628" s="9"/>
      <c r="BJ1628" s="9"/>
      <c r="BK1628" s="9"/>
      <c r="BL1628" s="9"/>
      <c r="BM1628" s="9"/>
      <c r="BN1628" s="9"/>
      <c r="BO1628" s="9"/>
      <c r="BP1628" s="9"/>
      <c r="BQ1628" s="9"/>
      <c r="BR1628" s="9"/>
      <c r="BS1628" s="9"/>
      <c r="BT1628" s="9"/>
      <c r="BU1628" s="9"/>
      <c r="BV1628" s="9"/>
      <c r="BW1628" s="9"/>
    </row>
    <row r="1629" spans="1:75" x14ac:dyDescent="0.25">
      <c r="A1629" s="9"/>
      <c r="B1629" s="9"/>
      <c r="C1629" s="9"/>
      <c r="D1629" s="9"/>
      <c r="E1629" s="9"/>
      <c r="F1629" s="9"/>
      <c r="G1629" s="9"/>
      <c r="H1629" s="9"/>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c r="AO1629" s="9"/>
      <c r="AP1629" s="9"/>
      <c r="AQ1629" s="9"/>
      <c r="AR1629" s="9"/>
      <c r="AS1629" s="9"/>
      <c r="AT1629" s="9"/>
      <c r="AU1629" s="9"/>
      <c r="AV1629" s="9"/>
      <c r="AW1629" s="9"/>
      <c r="AX1629" s="9"/>
      <c r="AY1629" s="9"/>
      <c r="AZ1629" s="9"/>
      <c r="BA1629" s="9"/>
      <c r="BB1629" s="9"/>
      <c r="BC1629" s="9"/>
      <c r="BD1629" s="9"/>
      <c r="BE1629" s="9"/>
      <c r="BF1629" s="9"/>
      <c r="BG1629" s="9"/>
      <c r="BH1629" s="9"/>
      <c r="BI1629" s="9"/>
      <c r="BJ1629" s="9"/>
      <c r="BK1629" s="9"/>
      <c r="BL1629" s="9"/>
      <c r="BM1629" s="9"/>
      <c r="BN1629" s="9"/>
      <c r="BO1629" s="9"/>
      <c r="BP1629" s="9"/>
      <c r="BQ1629" s="9"/>
      <c r="BR1629" s="9"/>
      <c r="BS1629" s="9"/>
      <c r="BT1629" s="9"/>
      <c r="BU1629" s="9"/>
      <c r="BV1629" s="9"/>
      <c r="BW1629" s="9"/>
    </row>
    <row r="1630" spans="1:75" x14ac:dyDescent="0.25">
      <c r="A1630" s="9"/>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c r="AO1630" s="9"/>
      <c r="AP1630" s="9"/>
      <c r="AQ1630" s="9"/>
      <c r="AR1630" s="9"/>
      <c r="AS1630" s="9"/>
      <c r="AT1630" s="9"/>
      <c r="AU1630" s="9"/>
      <c r="AV1630" s="9"/>
      <c r="AW1630" s="9"/>
      <c r="AX1630" s="9"/>
      <c r="AY1630" s="9"/>
      <c r="AZ1630" s="9"/>
      <c r="BA1630" s="9"/>
      <c r="BB1630" s="9"/>
      <c r="BC1630" s="9"/>
      <c r="BD1630" s="9"/>
      <c r="BE1630" s="9"/>
      <c r="BF1630" s="9"/>
      <c r="BG1630" s="9"/>
      <c r="BH1630" s="9"/>
      <c r="BI1630" s="9"/>
      <c r="BJ1630" s="9"/>
      <c r="BK1630" s="9"/>
      <c r="BL1630" s="9"/>
      <c r="BM1630" s="9"/>
      <c r="BN1630" s="9"/>
      <c r="BO1630" s="9"/>
      <c r="BP1630" s="9"/>
      <c r="BQ1630" s="9"/>
      <c r="BR1630" s="9"/>
      <c r="BS1630" s="9"/>
      <c r="BT1630" s="9"/>
      <c r="BU1630" s="9"/>
      <c r="BV1630" s="9"/>
      <c r="BW1630" s="9"/>
    </row>
    <row r="1631" spans="1:75" x14ac:dyDescent="0.25">
      <c r="A1631" s="9"/>
      <c r="B1631" s="9"/>
      <c r="C1631" s="9"/>
      <c r="D1631" s="9"/>
      <c r="E1631" s="9"/>
      <c r="F1631" s="9"/>
      <c r="G1631" s="9"/>
      <c r="H1631" s="9"/>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c r="AS1631" s="9"/>
      <c r="AT1631" s="9"/>
      <c r="AU1631" s="9"/>
      <c r="AV1631" s="9"/>
      <c r="AW1631" s="9"/>
      <c r="AX1631" s="9"/>
      <c r="AY1631" s="9"/>
      <c r="AZ1631" s="9"/>
      <c r="BA1631" s="9"/>
      <c r="BB1631" s="9"/>
      <c r="BC1631" s="9"/>
      <c r="BD1631" s="9"/>
      <c r="BE1631" s="9"/>
      <c r="BF1631" s="9"/>
      <c r="BG1631" s="9"/>
      <c r="BH1631" s="9"/>
      <c r="BI1631" s="9"/>
      <c r="BJ1631" s="9"/>
      <c r="BK1631" s="9"/>
      <c r="BL1631" s="9"/>
      <c r="BM1631" s="9"/>
      <c r="BN1631" s="9"/>
      <c r="BO1631" s="9"/>
      <c r="BP1631" s="9"/>
      <c r="BQ1631" s="9"/>
      <c r="BR1631" s="9"/>
      <c r="BS1631" s="9"/>
      <c r="BT1631" s="9"/>
      <c r="BU1631" s="9"/>
      <c r="BV1631" s="9"/>
      <c r="BW1631" s="9"/>
    </row>
    <row r="1632" spans="1:75" x14ac:dyDescent="0.25">
      <c r="A1632" s="9"/>
      <c r="B1632" s="9"/>
      <c r="C1632" s="9"/>
      <c r="D1632" s="9"/>
      <c r="E1632" s="9"/>
      <c r="F1632" s="9"/>
      <c r="G1632" s="9"/>
      <c r="H1632" s="9"/>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c r="AS1632" s="9"/>
      <c r="AT1632" s="9"/>
      <c r="AU1632" s="9"/>
      <c r="AV1632" s="9"/>
      <c r="AW1632" s="9"/>
      <c r="AX1632" s="9"/>
      <c r="AY1632" s="9"/>
      <c r="AZ1632" s="9"/>
      <c r="BA1632" s="9"/>
      <c r="BB1632" s="9"/>
      <c r="BC1632" s="9"/>
      <c r="BD1632" s="9"/>
      <c r="BE1632" s="9"/>
      <c r="BF1632" s="9"/>
      <c r="BG1632" s="9"/>
      <c r="BH1632" s="9"/>
      <c r="BI1632" s="9"/>
      <c r="BJ1632" s="9"/>
      <c r="BK1632" s="9"/>
      <c r="BL1632" s="9"/>
      <c r="BM1632" s="9"/>
      <c r="BN1632" s="9"/>
      <c r="BO1632" s="9"/>
      <c r="BP1632" s="9"/>
      <c r="BQ1632" s="9"/>
      <c r="BR1632" s="9"/>
      <c r="BS1632" s="9"/>
      <c r="BT1632" s="9"/>
      <c r="BU1632" s="9"/>
      <c r="BV1632" s="9"/>
      <c r="BW1632" s="9"/>
    </row>
    <row r="1633" spans="1:75" x14ac:dyDescent="0.25">
      <c r="A1633" s="9"/>
      <c r="B1633" s="9"/>
      <c r="C1633" s="9"/>
      <c r="D1633" s="9"/>
      <c r="E1633" s="9"/>
      <c r="F1633" s="9"/>
      <c r="G1633" s="9"/>
      <c r="H1633" s="9"/>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9"/>
      <c r="AY1633" s="9"/>
      <c r="AZ1633" s="9"/>
      <c r="BA1633" s="9"/>
      <c r="BB1633" s="9"/>
      <c r="BC1633" s="9"/>
      <c r="BD1633" s="9"/>
      <c r="BE1633" s="9"/>
      <c r="BF1633" s="9"/>
      <c r="BG1633" s="9"/>
      <c r="BH1633" s="9"/>
      <c r="BI1633" s="9"/>
      <c r="BJ1633" s="9"/>
      <c r="BK1633" s="9"/>
      <c r="BL1633" s="9"/>
      <c r="BM1633" s="9"/>
      <c r="BN1633" s="9"/>
      <c r="BO1633" s="9"/>
      <c r="BP1633" s="9"/>
      <c r="BQ1633" s="9"/>
      <c r="BR1633" s="9"/>
      <c r="BS1633" s="9"/>
      <c r="BT1633" s="9"/>
      <c r="BU1633" s="9"/>
      <c r="BV1633" s="9"/>
      <c r="BW1633" s="9"/>
    </row>
    <row r="1634" spans="1:75" x14ac:dyDescent="0.25">
      <c r="A1634" s="9"/>
      <c r="B1634" s="9"/>
      <c r="C1634" s="9"/>
      <c r="D1634" s="9"/>
      <c r="E1634" s="9"/>
      <c r="F1634" s="9"/>
      <c r="G1634" s="9"/>
      <c r="H1634" s="9"/>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c r="AI1634" s="9"/>
      <c r="AJ1634" s="9"/>
      <c r="AK1634" s="9"/>
      <c r="AL1634" s="9"/>
      <c r="AM1634" s="9"/>
      <c r="AN1634" s="9"/>
      <c r="AO1634" s="9"/>
      <c r="AP1634" s="9"/>
      <c r="AQ1634" s="9"/>
      <c r="AR1634" s="9"/>
      <c r="AS1634" s="9"/>
      <c r="AT1634" s="9"/>
      <c r="AU1634" s="9"/>
      <c r="AV1634" s="9"/>
      <c r="AW1634" s="9"/>
      <c r="AX1634" s="9"/>
      <c r="AY1634" s="9"/>
      <c r="AZ1634" s="9"/>
      <c r="BA1634" s="9"/>
      <c r="BB1634" s="9"/>
      <c r="BC1634" s="9"/>
      <c r="BD1634" s="9"/>
      <c r="BE1634" s="9"/>
      <c r="BF1634" s="9"/>
      <c r="BG1634" s="9"/>
      <c r="BH1634" s="9"/>
      <c r="BI1634" s="9"/>
      <c r="BJ1634" s="9"/>
      <c r="BK1634" s="9"/>
      <c r="BL1634" s="9"/>
      <c r="BM1634" s="9"/>
      <c r="BN1634" s="9"/>
      <c r="BO1634" s="9"/>
      <c r="BP1634" s="9"/>
      <c r="BQ1634" s="9"/>
      <c r="BR1634" s="9"/>
      <c r="BS1634" s="9"/>
      <c r="BT1634" s="9"/>
      <c r="BU1634" s="9"/>
      <c r="BV1634" s="9"/>
      <c r="BW1634" s="9"/>
    </row>
    <row r="1635" spans="1:75" x14ac:dyDescent="0.25">
      <c r="A1635" s="9"/>
      <c r="B1635" s="9"/>
      <c r="C1635" s="9"/>
      <c r="D1635" s="9"/>
      <c r="E1635" s="9"/>
      <c r="F1635" s="9"/>
      <c r="G1635" s="9"/>
      <c r="H1635" s="9"/>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c r="AS1635" s="9"/>
      <c r="AT1635" s="9"/>
      <c r="AU1635" s="9"/>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row>
    <row r="1636" spans="1:75" x14ac:dyDescent="0.25">
      <c r="A1636" s="9"/>
      <c r="B1636" s="9"/>
      <c r="C1636" s="9"/>
      <c r="D1636" s="9"/>
      <c r="E1636" s="9"/>
      <c r="F1636" s="9"/>
      <c r="G1636" s="9"/>
      <c r="H1636" s="9"/>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c r="AI1636" s="9"/>
      <c r="AJ1636" s="9"/>
      <c r="AK1636" s="9"/>
      <c r="AL1636" s="9"/>
      <c r="AM1636" s="9"/>
      <c r="AN1636" s="9"/>
      <c r="AO1636" s="9"/>
      <c r="AP1636" s="9"/>
      <c r="AQ1636" s="9"/>
      <c r="AR1636" s="9"/>
      <c r="AS1636" s="9"/>
      <c r="AT1636" s="9"/>
      <c r="AU1636" s="9"/>
      <c r="AV1636" s="9"/>
      <c r="AW1636" s="9"/>
      <c r="AX1636" s="9"/>
      <c r="AY1636" s="9"/>
      <c r="AZ1636" s="9"/>
      <c r="BA1636" s="9"/>
      <c r="BB1636" s="9"/>
      <c r="BC1636" s="9"/>
      <c r="BD1636" s="9"/>
      <c r="BE1636" s="9"/>
      <c r="BF1636" s="9"/>
      <c r="BG1636" s="9"/>
      <c r="BH1636" s="9"/>
      <c r="BI1636" s="9"/>
      <c r="BJ1636" s="9"/>
      <c r="BK1636" s="9"/>
      <c r="BL1636" s="9"/>
      <c r="BM1636" s="9"/>
      <c r="BN1636" s="9"/>
      <c r="BO1636" s="9"/>
      <c r="BP1636" s="9"/>
      <c r="BQ1636" s="9"/>
      <c r="BR1636" s="9"/>
      <c r="BS1636" s="9"/>
      <c r="BT1636" s="9"/>
      <c r="BU1636" s="9"/>
      <c r="BV1636" s="9"/>
      <c r="BW1636" s="9"/>
    </row>
    <row r="1637" spans="1:75" x14ac:dyDescent="0.25">
      <c r="A1637" s="9"/>
      <c r="B1637" s="9"/>
      <c r="C1637" s="9"/>
      <c r="D1637" s="9"/>
      <c r="E1637" s="9"/>
      <c r="F1637" s="9"/>
      <c r="G1637" s="9"/>
      <c r="H1637" s="9"/>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c r="AI1637" s="9"/>
      <c r="AJ1637" s="9"/>
      <c r="AK1637" s="9"/>
      <c r="AL1637" s="9"/>
      <c r="AM1637" s="9"/>
      <c r="AN1637" s="9"/>
      <c r="AO1637" s="9"/>
      <c r="AP1637" s="9"/>
      <c r="AQ1637" s="9"/>
      <c r="AR1637" s="9"/>
      <c r="AS1637" s="9"/>
      <c r="AT1637" s="9"/>
      <c r="AU1637" s="9"/>
      <c r="AV1637" s="9"/>
      <c r="AW1637" s="9"/>
      <c r="AX1637" s="9"/>
      <c r="AY1637" s="9"/>
      <c r="AZ1637" s="9"/>
      <c r="BA1637" s="9"/>
      <c r="BB1637" s="9"/>
      <c r="BC1637" s="9"/>
      <c r="BD1637" s="9"/>
      <c r="BE1637" s="9"/>
      <c r="BF1637" s="9"/>
      <c r="BG1637" s="9"/>
      <c r="BH1637" s="9"/>
      <c r="BI1637" s="9"/>
      <c r="BJ1637" s="9"/>
      <c r="BK1637" s="9"/>
      <c r="BL1637" s="9"/>
      <c r="BM1637" s="9"/>
      <c r="BN1637" s="9"/>
      <c r="BO1637" s="9"/>
      <c r="BP1637" s="9"/>
      <c r="BQ1637" s="9"/>
      <c r="BR1637" s="9"/>
      <c r="BS1637" s="9"/>
      <c r="BT1637" s="9"/>
      <c r="BU1637" s="9"/>
      <c r="BV1637" s="9"/>
      <c r="BW1637" s="9"/>
    </row>
    <row r="1638" spans="1:75" x14ac:dyDescent="0.25">
      <c r="A1638" s="9"/>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c r="AS1638" s="9"/>
      <c r="AT1638" s="9"/>
      <c r="AU1638" s="9"/>
      <c r="AV1638" s="9"/>
      <c r="AW1638" s="9"/>
      <c r="AX1638" s="9"/>
      <c r="AY1638" s="9"/>
      <c r="AZ1638" s="9"/>
      <c r="BA1638" s="9"/>
      <c r="BB1638" s="9"/>
      <c r="BC1638" s="9"/>
      <c r="BD1638" s="9"/>
      <c r="BE1638" s="9"/>
      <c r="BF1638" s="9"/>
      <c r="BG1638" s="9"/>
      <c r="BH1638" s="9"/>
      <c r="BI1638" s="9"/>
      <c r="BJ1638" s="9"/>
      <c r="BK1638" s="9"/>
      <c r="BL1638" s="9"/>
      <c r="BM1638" s="9"/>
      <c r="BN1638" s="9"/>
      <c r="BO1638" s="9"/>
      <c r="BP1638" s="9"/>
      <c r="BQ1638" s="9"/>
      <c r="BR1638" s="9"/>
      <c r="BS1638" s="9"/>
      <c r="BT1638" s="9"/>
      <c r="BU1638" s="9"/>
      <c r="BV1638" s="9"/>
      <c r="BW1638" s="9"/>
    </row>
    <row r="1639" spans="1:75" x14ac:dyDescent="0.25">
      <c r="A1639" s="9"/>
      <c r="B1639" s="9"/>
      <c r="C1639" s="9"/>
      <c r="D1639" s="9"/>
      <c r="E1639" s="9"/>
      <c r="F1639" s="9"/>
      <c r="G1639" s="9"/>
      <c r="H1639" s="9"/>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9"/>
      <c r="AN1639" s="9"/>
      <c r="AO1639" s="9"/>
      <c r="AP1639" s="9"/>
      <c r="AQ1639" s="9"/>
      <c r="AR1639" s="9"/>
      <c r="AS1639" s="9"/>
      <c r="AT1639" s="9"/>
      <c r="AU1639" s="9"/>
      <c r="AV1639" s="9"/>
      <c r="AW1639" s="9"/>
      <c r="AX1639" s="9"/>
      <c r="AY1639" s="9"/>
      <c r="AZ1639" s="9"/>
      <c r="BA1639" s="9"/>
      <c r="BB1639" s="9"/>
      <c r="BC1639" s="9"/>
      <c r="BD1639" s="9"/>
      <c r="BE1639" s="9"/>
      <c r="BF1639" s="9"/>
      <c r="BG1639" s="9"/>
      <c r="BH1639" s="9"/>
      <c r="BI1639" s="9"/>
      <c r="BJ1639" s="9"/>
      <c r="BK1639" s="9"/>
      <c r="BL1639" s="9"/>
      <c r="BM1639" s="9"/>
      <c r="BN1639" s="9"/>
      <c r="BO1639" s="9"/>
      <c r="BP1639" s="9"/>
      <c r="BQ1639" s="9"/>
      <c r="BR1639" s="9"/>
      <c r="BS1639" s="9"/>
      <c r="BT1639" s="9"/>
      <c r="BU1639" s="9"/>
      <c r="BV1639" s="9"/>
      <c r="BW1639" s="9"/>
    </row>
    <row r="1640" spans="1:75" x14ac:dyDescent="0.25">
      <c r="A1640" s="9"/>
      <c r="B1640" s="9"/>
      <c r="C1640" s="9"/>
      <c r="D1640" s="9"/>
      <c r="E1640" s="9"/>
      <c r="F1640" s="9"/>
      <c r="G1640" s="9"/>
      <c r="H1640" s="9"/>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9"/>
      <c r="AL1640" s="9"/>
      <c r="AM1640" s="9"/>
      <c r="AN1640" s="9"/>
      <c r="AO1640" s="9"/>
      <c r="AP1640" s="9"/>
      <c r="AQ1640" s="9"/>
      <c r="AR1640" s="9"/>
      <c r="AS1640" s="9"/>
      <c r="AT1640" s="9"/>
      <c r="AU1640" s="9"/>
      <c r="AV1640" s="9"/>
      <c r="AW1640" s="9"/>
      <c r="AX1640" s="9"/>
      <c r="AY1640" s="9"/>
      <c r="AZ1640" s="9"/>
      <c r="BA1640" s="9"/>
      <c r="BB1640" s="9"/>
      <c r="BC1640" s="9"/>
      <c r="BD1640" s="9"/>
      <c r="BE1640" s="9"/>
      <c r="BF1640" s="9"/>
      <c r="BG1640" s="9"/>
      <c r="BH1640" s="9"/>
      <c r="BI1640" s="9"/>
      <c r="BJ1640" s="9"/>
      <c r="BK1640" s="9"/>
      <c r="BL1640" s="9"/>
      <c r="BM1640" s="9"/>
      <c r="BN1640" s="9"/>
      <c r="BO1640" s="9"/>
      <c r="BP1640" s="9"/>
      <c r="BQ1640" s="9"/>
      <c r="BR1640" s="9"/>
      <c r="BS1640" s="9"/>
      <c r="BT1640" s="9"/>
      <c r="BU1640" s="9"/>
      <c r="BV1640" s="9"/>
      <c r="BW1640" s="9"/>
    </row>
    <row r="1641" spans="1:75" x14ac:dyDescent="0.25">
      <c r="A1641" s="9"/>
      <c r="B1641" s="9"/>
      <c r="C1641" s="9"/>
      <c r="D1641" s="9"/>
      <c r="E1641" s="9"/>
      <c r="F1641" s="9"/>
      <c r="G1641" s="9"/>
      <c r="H1641" s="9"/>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9"/>
      <c r="AN1641" s="9"/>
      <c r="AO1641" s="9"/>
      <c r="AP1641" s="9"/>
      <c r="AQ1641" s="9"/>
      <c r="AR1641" s="9"/>
      <c r="AS1641" s="9"/>
      <c r="AT1641" s="9"/>
      <c r="AU1641" s="9"/>
      <c r="AV1641" s="9"/>
      <c r="AW1641" s="9"/>
      <c r="AX1641" s="9"/>
      <c r="AY1641" s="9"/>
      <c r="AZ1641" s="9"/>
      <c r="BA1641" s="9"/>
      <c r="BB1641" s="9"/>
      <c r="BC1641" s="9"/>
      <c r="BD1641" s="9"/>
      <c r="BE1641" s="9"/>
      <c r="BF1641" s="9"/>
      <c r="BG1641" s="9"/>
      <c r="BH1641" s="9"/>
      <c r="BI1641" s="9"/>
      <c r="BJ1641" s="9"/>
      <c r="BK1641" s="9"/>
      <c r="BL1641" s="9"/>
      <c r="BM1641" s="9"/>
      <c r="BN1641" s="9"/>
      <c r="BO1641" s="9"/>
      <c r="BP1641" s="9"/>
      <c r="BQ1641" s="9"/>
      <c r="BR1641" s="9"/>
      <c r="BS1641" s="9"/>
      <c r="BT1641" s="9"/>
      <c r="BU1641" s="9"/>
      <c r="BV1641" s="9"/>
      <c r="BW1641" s="9"/>
    </row>
    <row r="1642" spans="1:75" x14ac:dyDescent="0.25">
      <c r="A1642" s="9"/>
      <c r="B1642" s="9"/>
      <c r="C1642" s="9"/>
      <c r="D1642" s="9"/>
      <c r="E1642" s="9"/>
      <c r="F1642" s="9"/>
      <c r="G1642" s="9"/>
      <c r="H1642" s="9"/>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c r="AI1642" s="9"/>
      <c r="AJ1642" s="9"/>
      <c r="AK1642" s="9"/>
      <c r="AL1642" s="9"/>
      <c r="AM1642" s="9"/>
      <c r="AN1642" s="9"/>
      <c r="AO1642" s="9"/>
      <c r="AP1642" s="9"/>
      <c r="AQ1642" s="9"/>
      <c r="AR1642" s="9"/>
      <c r="AS1642" s="9"/>
      <c r="AT1642" s="9"/>
      <c r="AU1642" s="9"/>
      <c r="AV1642" s="9"/>
      <c r="AW1642" s="9"/>
      <c r="AX1642" s="9"/>
      <c r="AY1642" s="9"/>
      <c r="AZ1642" s="9"/>
      <c r="BA1642" s="9"/>
      <c r="BB1642" s="9"/>
      <c r="BC1642" s="9"/>
      <c r="BD1642" s="9"/>
      <c r="BE1642" s="9"/>
      <c r="BF1642" s="9"/>
      <c r="BG1642" s="9"/>
      <c r="BH1642" s="9"/>
      <c r="BI1642" s="9"/>
      <c r="BJ1642" s="9"/>
      <c r="BK1642" s="9"/>
      <c r="BL1642" s="9"/>
      <c r="BM1642" s="9"/>
      <c r="BN1642" s="9"/>
      <c r="BO1642" s="9"/>
      <c r="BP1642" s="9"/>
      <c r="BQ1642" s="9"/>
      <c r="BR1642" s="9"/>
      <c r="BS1642" s="9"/>
      <c r="BT1642" s="9"/>
      <c r="BU1642" s="9"/>
      <c r="BV1642" s="9"/>
      <c r="BW1642" s="9"/>
    </row>
    <row r="1643" spans="1:75" x14ac:dyDescent="0.25">
      <c r="A1643" s="9"/>
      <c r="B1643" s="9"/>
      <c r="C1643" s="9"/>
      <c r="D1643" s="9"/>
      <c r="E1643" s="9"/>
      <c r="F1643" s="9"/>
      <c r="G1643" s="9"/>
      <c r="H1643" s="9"/>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c r="AI1643" s="9"/>
      <c r="AJ1643" s="9"/>
      <c r="AK1643" s="9"/>
      <c r="AL1643" s="9"/>
      <c r="AM1643" s="9"/>
      <c r="AN1643" s="9"/>
      <c r="AO1643" s="9"/>
      <c r="AP1643" s="9"/>
      <c r="AQ1643" s="9"/>
      <c r="AR1643" s="9"/>
      <c r="AS1643" s="9"/>
      <c r="AT1643" s="9"/>
      <c r="AU1643" s="9"/>
      <c r="AV1643" s="9"/>
      <c r="AW1643" s="9"/>
      <c r="AX1643" s="9"/>
      <c r="AY1643" s="9"/>
      <c r="AZ1643" s="9"/>
      <c r="BA1643" s="9"/>
      <c r="BB1643" s="9"/>
      <c r="BC1643" s="9"/>
      <c r="BD1643" s="9"/>
      <c r="BE1643" s="9"/>
      <c r="BF1643" s="9"/>
      <c r="BG1643" s="9"/>
      <c r="BH1643" s="9"/>
      <c r="BI1643" s="9"/>
      <c r="BJ1643" s="9"/>
      <c r="BK1643" s="9"/>
      <c r="BL1643" s="9"/>
      <c r="BM1643" s="9"/>
      <c r="BN1643" s="9"/>
      <c r="BO1643" s="9"/>
      <c r="BP1643" s="9"/>
      <c r="BQ1643" s="9"/>
      <c r="BR1643" s="9"/>
      <c r="BS1643" s="9"/>
      <c r="BT1643" s="9"/>
      <c r="BU1643" s="9"/>
      <c r="BV1643" s="9"/>
      <c r="BW1643" s="9"/>
    </row>
    <row r="1644" spans="1:75" x14ac:dyDescent="0.25">
      <c r="A1644" s="9"/>
      <c r="B1644" s="9"/>
      <c r="C1644" s="9"/>
      <c r="D1644" s="9"/>
      <c r="E1644" s="9"/>
      <c r="F1644" s="9"/>
      <c r="G1644" s="9"/>
      <c r="H1644" s="9"/>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c r="AS1644" s="9"/>
      <c r="AT1644" s="9"/>
      <c r="AU1644" s="9"/>
      <c r="AV1644" s="9"/>
      <c r="AW1644" s="9"/>
      <c r="AX1644" s="9"/>
      <c r="AY1644" s="9"/>
      <c r="AZ1644" s="9"/>
      <c r="BA1644" s="9"/>
      <c r="BB1644" s="9"/>
      <c r="BC1644" s="9"/>
      <c r="BD1644" s="9"/>
      <c r="BE1644" s="9"/>
      <c r="BF1644" s="9"/>
      <c r="BG1644" s="9"/>
      <c r="BH1644" s="9"/>
      <c r="BI1644" s="9"/>
      <c r="BJ1644" s="9"/>
      <c r="BK1644" s="9"/>
      <c r="BL1644" s="9"/>
      <c r="BM1644" s="9"/>
      <c r="BN1644" s="9"/>
      <c r="BO1644" s="9"/>
      <c r="BP1644" s="9"/>
      <c r="BQ1644" s="9"/>
      <c r="BR1644" s="9"/>
      <c r="BS1644" s="9"/>
      <c r="BT1644" s="9"/>
      <c r="BU1644" s="9"/>
      <c r="BV1644" s="9"/>
      <c r="BW1644" s="9"/>
    </row>
    <row r="1645" spans="1:75" x14ac:dyDescent="0.25">
      <c r="A1645" s="9"/>
      <c r="B1645" s="9"/>
      <c r="C1645" s="9"/>
      <c r="D1645" s="9"/>
      <c r="E1645" s="9"/>
      <c r="F1645" s="9"/>
      <c r="G1645" s="9"/>
      <c r="H1645" s="9"/>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c r="AS1645" s="9"/>
      <c r="AT1645" s="9"/>
      <c r="AU1645" s="9"/>
      <c r="AV1645" s="9"/>
      <c r="AW1645" s="9"/>
      <c r="AX1645" s="9"/>
      <c r="AY1645" s="9"/>
      <c r="AZ1645" s="9"/>
      <c r="BA1645" s="9"/>
      <c r="BB1645" s="9"/>
      <c r="BC1645" s="9"/>
      <c r="BD1645" s="9"/>
      <c r="BE1645" s="9"/>
      <c r="BF1645" s="9"/>
      <c r="BG1645" s="9"/>
      <c r="BH1645" s="9"/>
      <c r="BI1645" s="9"/>
      <c r="BJ1645" s="9"/>
      <c r="BK1645" s="9"/>
      <c r="BL1645" s="9"/>
      <c r="BM1645" s="9"/>
      <c r="BN1645" s="9"/>
      <c r="BO1645" s="9"/>
      <c r="BP1645" s="9"/>
      <c r="BQ1645" s="9"/>
      <c r="BR1645" s="9"/>
      <c r="BS1645" s="9"/>
      <c r="BT1645" s="9"/>
      <c r="BU1645" s="9"/>
      <c r="BV1645" s="9"/>
      <c r="BW1645" s="9"/>
    </row>
    <row r="1646" spans="1:75" x14ac:dyDescent="0.25">
      <c r="A1646" s="9"/>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c r="AS1646" s="9"/>
      <c r="AT1646" s="9"/>
      <c r="AU1646" s="9"/>
      <c r="AV1646" s="9"/>
      <c r="AW1646" s="9"/>
      <c r="AX1646" s="9"/>
      <c r="AY1646" s="9"/>
      <c r="AZ1646" s="9"/>
      <c r="BA1646" s="9"/>
      <c r="BB1646" s="9"/>
      <c r="BC1646" s="9"/>
      <c r="BD1646" s="9"/>
      <c r="BE1646" s="9"/>
      <c r="BF1646" s="9"/>
      <c r="BG1646" s="9"/>
      <c r="BH1646" s="9"/>
      <c r="BI1646" s="9"/>
      <c r="BJ1646" s="9"/>
      <c r="BK1646" s="9"/>
      <c r="BL1646" s="9"/>
      <c r="BM1646" s="9"/>
      <c r="BN1646" s="9"/>
      <c r="BO1646" s="9"/>
      <c r="BP1646" s="9"/>
      <c r="BQ1646" s="9"/>
      <c r="BR1646" s="9"/>
      <c r="BS1646" s="9"/>
      <c r="BT1646" s="9"/>
      <c r="BU1646" s="9"/>
      <c r="BV1646" s="9"/>
      <c r="BW1646" s="9"/>
    </row>
    <row r="1647" spans="1:75" x14ac:dyDescent="0.25">
      <c r="A1647" s="9"/>
      <c r="B1647" s="9"/>
      <c r="C1647" s="9"/>
      <c r="D1647" s="9"/>
      <c r="E1647" s="9"/>
      <c r="F1647" s="9"/>
      <c r="G1647" s="9"/>
      <c r="H1647" s="9"/>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c r="AI1647" s="9"/>
      <c r="AJ1647" s="9"/>
      <c r="AK1647" s="9"/>
      <c r="AL1647" s="9"/>
      <c r="AM1647" s="9"/>
      <c r="AN1647" s="9"/>
      <c r="AO1647" s="9"/>
      <c r="AP1647" s="9"/>
      <c r="AQ1647" s="9"/>
      <c r="AR1647" s="9"/>
      <c r="AS1647" s="9"/>
      <c r="AT1647" s="9"/>
      <c r="AU1647" s="9"/>
      <c r="AV1647" s="9"/>
      <c r="AW1647" s="9"/>
      <c r="AX1647" s="9"/>
      <c r="AY1647" s="9"/>
      <c r="AZ1647" s="9"/>
      <c r="BA1647" s="9"/>
      <c r="BB1647" s="9"/>
      <c r="BC1647" s="9"/>
      <c r="BD1647" s="9"/>
      <c r="BE1647" s="9"/>
      <c r="BF1647" s="9"/>
      <c r="BG1647" s="9"/>
      <c r="BH1647" s="9"/>
      <c r="BI1647" s="9"/>
      <c r="BJ1647" s="9"/>
      <c r="BK1647" s="9"/>
      <c r="BL1647" s="9"/>
      <c r="BM1647" s="9"/>
      <c r="BN1647" s="9"/>
      <c r="BO1647" s="9"/>
      <c r="BP1647" s="9"/>
      <c r="BQ1647" s="9"/>
      <c r="BR1647" s="9"/>
      <c r="BS1647" s="9"/>
      <c r="BT1647" s="9"/>
      <c r="BU1647" s="9"/>
      <c r="BV1647" s="9"/>
      <c r="BW1647" s="9"/>
    </row>
    <row r="1648" spans="1:75" x14ac:dyDescent="0.25">
      <c r="A1648" s="9"/>
      <c r="B1648" s="9"/>
      <c r="C1648" s="9"/>
      <c r="D1648" s="9"/>
      <c r="E1648" s="9"/>
      <c r="F1648" s="9"/>
      <c r="G1648" s="9"/>
      <c r="H1648" s="9"/>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c r="AI1648" s="9"/>
      <c r="AJ1648" s="9"/>
      <c r="AK1648" s="9"/>
      <c r="AL1648" s="9"/>
      <c r="AM1648" s="9"/>
      <c r="AN1648" s="9"/>
      <c r="AO1648" s="9"/>
      <c r="AP1648" s="9"/>
      <c r="AQ1648" s="9"/>
      <c r="AR1648" s="9"/>
      <c r="AS1648" s="9"/>
      <c r="AT1648" s="9"/>
      <c r="AU1648" s="9"/>
      <c r="AV1648" s="9"/>
      <c r="AW1648" s="9"/>
      <c r="AX1648" s="9"/>
      <c r="AY1648" s="9"/>
      <c r="AZ1648" s="9"/>
      <c r="BA1648" s="9"/>
      <c r="BB1648" s="9"/>
      <c r="BC1648" s="9"/>
      <c r="BD1648" s="9"/>
      <c r="BE1648" s="9"/>
      <c r="BF1648" s="9"/>
      <c r="BG1648" s="9"/>
      <c r="BH1648" s="9"/>
      <c r="BI1648" s="9"/>
      <c r="BJ1648" s="9"/>
      <c r="BK1648" s="9"/>
      <c r="BL1648" s="9"/>
      <c r="BM1648" s="9"/>
      <c r="BN1648" s="9"/>
      <c r="BO1648" s="9"/>
      <c r="BP1648" s="9"/>
      <c r="BQ1648" s="9"/>
      <c r="BR1648" s="9"/>
      <c r="BS1648" s="9"/>
      <c r="BT1648" s="9"/>
      <c r="BU1648" s="9"/>
      <c r="BV1648" s="9"/>
      <c r="BW1648" s="9"/>
    </row>
    <row r="1649" spans="1:75" x14ac:dyDescent="0.25">
      <c r="A1649" s="9"/>
      <c r="B1649" s="9"/>
      <c r="C1649" s="9"/>
      <c r="D1649" s="9"/>
      <c r="E1649" s="9"/>
      <c r="F1649" s="9"/>
      <c r="G1649" s="9"/>
      <c r="H1649" s="9"/>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c r="AI1649" s="9"/>
      <c r="AJ1649" s="9"/>
      <c r="AK1649" s="9"/>
      <c r="AL1649" s="9"/>
      <c r="AM1649" s="9"/>
      <c r="AN1649" s="9"/>
      <c r="AO1649" s="9"/>
      <c r="AP1649" s="9"/>
      <c r="AQ1649" s="9"/>
      <c r="AR1649" s="9"/>
      <c r="AS1649" s="9"/>
      <c r="AT1649" s="9"/>
      <c r="AU1649" s="9"/>
      <c r="AV1649" s="9"/>
      <c r="AW1649" s="9"/>
      <c r="AX1649" s="9"/>
      <c r="AY1649" s="9"/>
      <c r="AZ1649" s="9"/>
      <c r="BA1649" s="9"/>
      <c r="BB1649" s="9"/>
      <c r="BC1649" s="9"/>
      <c r="BD1649" s="9"/>
      <c r="BE1649" s="9"/>
      <c r="BF1649" s="9"/>
      <c r="BG1649" s="9"/>
      <c r="BH1649" s="9"/>
      <c r="BI1649" s="9"/>
      <c r="BJ1649" s="9"/>
      <c r="BK1649" s="9"/>
      <c r="BL1649" s="9"/>
      <c r="BM1649" s="9"/>
      <c r="BN1649" s="9"/>
      <c r="BO1649" s="9"/>
      <c r="BP1649" s="9"/>
      <c r="BQ1649" s="9"/>
      <c r="BR1649" s="9"/>
      <c r="BS1649" s="9"/>
      <c r="BT1649" s="9"/>
      <c r="BU1649" s="9"/>
      <c r="BV1649" s="9"/>
      <c r="BW1649" s="9"/>
    </row>
    <row r="1650" spans="1:75" x14ac:dyDescent="0.25">
      <c r="A1650" s="9"/>
      <c r="B1650" s="9"/>
      <c r="C1650" s="9"/>
      <c r="D1650" s="9"/>
      <c r="E1650" s="9"/>
      <c r="F1650" s="9"/>
      <c r="G1650" s="9"/>
      <c r="H1650" s="9"/>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c r="AS1650" s="9"/>
      <c r="AT1650" s="9"/>
      <c r="AU1650" s="9"/>
      <c r="AV1650" s="9"/>
      <c r="AW1650" s="9"/>
      <c r="AX1650" s="9"/>
      <c r="AY1650" s="9"/>
      <c r="AZ1650" s="9"/>
      <c r="BA1650" s="9"/>
      <c r="BB1650" s="9"/>
      <c r="BC1650" s="9"/>
      <c r="BD1650" s="9"/>
      <c r="BE1650" s="9"/>
      <c r="BF1650" s="9"/>
      <c r="BG1650" s="9"/>
      <c r="BH1650" s="9"/>
      <c r="BI1650" s="9"/>
      <c r="BJ1650" s="9"/>
      <c r="BK1650" s="9"/>
      <c r="BL1650" s="9"/>
      <c r="BM1650" s="9"/>
      <c r="BN1650" s="9"/>
      <c r="BO1650" s="9"/>
      <c r="BP1650" s="9"/>
      <c r="BQ1650" s="9"/>
      <c r="BR1650" s="9"/>
      <c r="BS1650" s="9"/>
      <c r="BT1650" s="9"/>
      <c r="BU1650" s="9"/>
      <c r="BV1650" s="9"/>
      <c r="BW1650" s="9"/>
    </row>
    <row r="1651" spans="1:75" x14ac:dyDescent="0.25">
      <c r="A1651" s="9"/>
      <c r="B1651" s="9"/>
      <c r="C1651" s="9"/>
      <c r="D1651" s="9"/>
      <c r="E1651" s="9"/>
      <c r="F1651" s="9"/>
      <c r="G1651" s="9"/>
      <c r="H1651" s="9"/>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c r="AO1651" s="9"/>
      <c r="AP1651" s="9"/>
      <c r="AQ1651" s="9"/>
      <c r="AR1651" s="9"/>
      <c r="AS1651" s="9"/>
      <c r="AT1651" s="9"/>
      <c r="AU1651" s="9"/>
      <c r="AV1651" s="9"/>
      <c r="AW1651" s="9"/>
      <c r="AX1651" s="9"/>
      <c r="AY1651" s="9"/>
      <c r="AZ1651" s="9"/>
      <c r="BA1651" s="9"/>
      <c r="BB1651" s="9"/>
      <c r="BC1651" s="9"/>
      <c r="BD1651" s="9"/>
      <c r="BE1651" s="9"/>
      <c r="BF1651" s="9"/>
      <c r="BG1651" s="9"/>
      <c r="BH1651" s="9"/>
      <c r="BI1651" s="9"/>
      <c r="BJ1651" s="9"/>
      <c r="BK1651" s="9"/>
      <c r="BL1651" s="9"/>
      <c r="BM1651" s="9"/>
      <c r="BN1651" s="9"/>
      <c r="BO1651" s="9"/>
      <c r="BP1651" s="9"/>
      <c r="BQ1651" s="9"/>
      <c r="BR1651" s="9"/>
      <c r="BS1651" s="9"/>
      <c r="BT1651" s="9"/>
      <c r="BU1651" s="9"/>
      <c r="BV1651" s="9"/>
      <c r="BW1651" s="9"/>
    </row>
    <row r="1652" spans="1:75" x14ac:dyDescent="0.25">
      <c r="A1652" s="9"/>
      <c r="B1652" s="9"/>
      <c r="C1652" s="9"/>
      <c r="D1652" s="9"/>
      <c r="E1652" s="9"/>
      <c r="F1652" s="9"/>
      <c r="G1652" s="9"/>
      <c r="H1652" s="9"/>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c r="AI1652" s="9"/>
      <c r="AJ1652" s="9"/>
      <c r="AK1652" s="9"/>
      <c r="AL1652" s="9"/>
      <c r="AM1652" s="9"/>
      <c r="AN1652" s="9"/>
      <c r="AO1652" s="9"/>
      <c r="AP1652" s="9"/>
      <c r="AQ1652" s="9"/>
      <c r="AR1652" s="9"/>
      <c r="AS1652" s="9"/>
      <c r="AT1652" s="9"/>
      <c r="AU1652" s="9"/>
      <c r="AV1652" s="9"/>
      <c r="AW1652" s="9"/>
      <c r="AX1652" s="9"/>
      <c r="AY1652" s="9"/>
      <c r="AZ1652" s="9"/>
      <c r="BA1652" s="9"/>
      <c r="BB1652" s="9"/>
      <c r="BC1652" s="9"/>
      <c r="BD1652" s="9"/>
      <c r="BE1652" s="9"/>
      <c r="BF1652" s="9"/>
      <c r="BG1652" s="9"/>
      <c r="BH1652" s="9"/>
      <c r="BI1652" s="9"/>
      <c r="BJ1652" s="9"/>
      <c r="BK1652" s="9"/>
      <c r="BL1652" s="9"/>
      <c r="BM1652" s="9"/>
      <c r="BN1652" s="9"/>
      <c r="BO1652" s="9"/>
      <c r="BP1652" s="9"/>
      <c r="BQ1652" s="9"/>
      <c r="BR1652" s="9"/>
      <c r="BS1652" s="9"/>
      <c r="BT1652" s="9"/>
      <c r="BU1652" s="9"/>
      <c r="BV1652" s="9"/>
      <c r="BW1652" s="9"/>
    </row>
    <row r="1653" spans="1:75" x14ac:dyDescent="0.25">
      <c r="A1653" s="9"/>
      <c r="B1653" s="9"/>
      <c r="C1653" s="9"/>
      <c r="D1653" s="9"/>
      <c r="E1653" s="9"/>
      <c r="F1653" s="9"/>
      <c r="G1653" s="9"/>
      <c r="H1653" s="9"/>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c r="AI1653" s="9"/>
      <c r="AJ1653" s="9"/>
      <c r="AK1653" s="9"/>
      <c r="AL1653" s="9"/>
      <c r="AM1653" s="9"/>
      <c r="AN1653" s="9"/>
      <c r="AO1653" s="9"/>
      <c r="AP1653" s="9"/>
      <c r="AQ1653" s="9"/>
      <c r="AR1653" s="9"/>
      <c r="AS1653" s="9"/>
      <c r="AT1653" s="9"/>
      <c r="AU1653" s="9"/>
      <c r="AV1653" s="9"/>
      <c r="AW1653" s="9"/>
      <c r="AX1653" s="9"/>
      <c r="AY1653" s="9"/>
      <c r="AZ1653" s="9"/>
      <c r="BA1653" s="9"/>
      <c r="BB1653" s="9"/>
      <c r="BC1653" s="9"/>
      <c r="BD1653" s="9"/>
      <c r="BE1653" s="9"/>
      <c r="BF1653" s="9"/>
      <c r="BG1653" s="9"/>
      <c r="BH1653" s="9"/>
      <c r="BI1653" s="9"/>
      <c r="BJ1653" s="9"/>
      <c r="BK1653" s="9"/>
      <c r="BL1653" s="9"/>
      <c r="BM1653" s="9"/>
      <c r="BN1653" s="9"/>
      <c r="BO1653" s="9"/>
      <c r="BP1653" s="9"/>
      <c r="BQ1653" s="9"/>
      <c r="BR1653" s="9"/>
      <c r="BS1653" s="9"/>
      <c r="BT1653" s="9"/>
      <c r="BU1653" s="9"/>
      <c r="BV1653" s="9"/>
      <c r="BW1653" s="9"/>
    </row>
    <row r="1654" spans="1:75" x14ac:dyDescent="0.25">
      <c r="A1654" s="9"/>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c r="AS1654" s="9"/>
      <c r="AT1654" s="9"/>
      <c r="AU1654" s="9"/>
      <c r="AV1654" s="9"/>
      <c r="AW1654" s="9"/>
      <c r="AX1654" s="9"/>
      <c r="AY1654" s="9"/>
      <c r="AZ1654" s="9"/>
      <c r="BA1654" s="9"/>
      <c r="BB1654" s="9"/>
      <c r="BC1654" s="9"/>
      <c r="BD1654" s="9"/>
      <c r="BE1654" s="9"/>
      <c r="BF1654" s="9"/>
      <c r="BG1654" s="9"/>
      <c r="BH1654" s="9"/>
      <c r="BI1654" s="9"/>
      <c r="BJ1654" s="9"/>
      <c r="BK1654" s="9"/>
      <c r="BL1654" s="9"/>
      <c r="BM1654" s="9"/>
      <c r="BN1654" s="9"/>
      <c r="BO1654" s="9"/>
      <c r="BP1654" s="9"/>
      <c r="BQ1654" s="9"/>
      <c r="BR1654" s="9"/>
      <c r="BS1654" s="9"/>
      <c r="BT1654" s="9"/>
      <c r="BU1654" s="9"/>
      <c r="BV1654" s="9"/>
      <c r="BW1654" s="9"/>
    </row>
    <row r="1655" spans="1:75" x14ac:dyDescent="0.25">
      <c r="A1655" s="9"/>
      <c r="B1655" s="9"/>
      <c r="C1655" s="9"/>
      <c r="D1655" s="9"/>
      <c r="E1655" s="9"/>
      <c r="F1655" s="9"/>
      <c r="G1655" s="9"/>
      <c r="H1655" s="9"/>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c r="AI1655" s="9"/>
      <c r="AJ1655" s="9"/>
      <c r="AK1655" s="9"/>
      <c r="AL1655" s="9"/>
      <c r="AM1655" s="9"/>
      <c r="AN1655" s="9"/>
      <c r="AO1655" s="9"/>
      <c r="AP1655" s="9"/>
      <c r="AQ1655" s="9"/>
      <c r="AR1655" s="9"/>
      <c r="AS1655" s="9"/>
      <c r="AT1655" s="9"/>
      <c r="AU1655" s="9"/>
      <c r="AV1655" s="9"/>
      <c r="AW1655" s="9"/>
      <c r="AX1655" s="9"/>
      <c r="AY1655" s="9"/>
      <c r="AZ1655" s="9"/>
      <c r="BA1655" s="9"/>
      <c r="BB1655" s="9"/>
      <c r="BC1655" s="9"/>
      <c r="BD1655" s="9"/>
      <c r="BE1655" s="9"/>
      <c r="BF1655" s="9"/>
      <c r="BG1655" s="9"/>
      <c r="BH1655" s="9"/>
      <c r="BI1655" s="9"/>
      <c r="BJ1655" s="9"/>
      <c r="BK1655" s="9"/>
      <c r="BL1655" s="9"/>
      <c r="BM1655" s="9"/>
      <c r="BN1655" s="9"/>
      <c r="BO1655" s="9"/>
      <c r="BP1655" s="9"/>
      <c r="BQ1655" s="9"/>
      <c r="BR1655" s="9"/>
      <c r="BS1655" s="9"/>
      <c r="BT1655" s="9"/>
      <c r="BU1655" s="9"/>
      <c r="BV1655" s="9"/>
      <c r="BW1655" s="9"/>
    </row>
    <row r="1656" spans="1:75" x14ac:dyDescent="0.25">
      <c r="A1656" s="9"/>
      <c r="B1656" s="9"/>
      <c r="C1656" s="9"/>
      <c r="D1656" s="9"/>
      <c r="E1656" s="9"/>
      <c r="F1656" s="9"/>
      <c r="G1656" s="9"/>
      <c r="H1656" s="9"/>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c r="AS1656" s="9"/>
      <c r="AT1656" s="9"/>
      <c r="AU1656" s="9"/>
      <c r="AV1656" s="9"/>
      <c r="AW1656" s="9"/>
      <c r="AX1656" s="9"/>
      <c r="AY1656" s="9"/>
      <c r="AZ1656" s="9"/>
      <c r="BA1656" s="9"/>
      <c r="BB1656" s="9"/>
      <c r="BC1656" s="9"/>
      <c r="BD1656" s="9"/>
      <c r="BE1656" s="9"/>
      <c r="BF1656" s="9"/>
      <c r="BG1656" s="9"/>
      <c r="BH1656" s="9"/>
      <c r="BI1656" s="9"/>
      <c r="BJ1656" s="9"/>
      <c r="BK1656" s="9"/>
      <c r="BL1656" s="9"/>
      <c r="BM1656" s="9"/>
      <c r="BN1656" s="9"/>
      <c r="BO1656" s="9"/>
      <c r="BP1656" s="9"/>
      <c r="BQ1656" s="9"/>
      <c r="BR1656" s="9"/>
      <c r="BS1656" s="9"/>
      <c r="BT1656" s="9"/>
      <c r="BU1656" s="9"/>
      <c r="BV1656" s="9"/>
      <c r="BW1656" s="9"/>
    </row>
    <row r="1657" spans="1:75" x14ac:dyDescent="0.25">
      <c r="A1657" s="9"/>
      <c r="B1657" s="9"/>
      <c r="C1657" s="9"/>
      <c r="D1657" s="9"/>
      <c r="E1657" s="9"/>
      <c r="F1657" s="9"/>
      <c r="G1657" s="9"/>
      <c r="H1657" s="9"/>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c r="AI1657" s="9"/>
      <c r="AJ1657" s="9"/>
      <c r="AK1657" s="9"/>
      <c r="AL1657" s="9"/>
      <c r="AM1657" s="9"/>
      <c r="AN1657" s="9"/>
      <c r="AO1657" s="9"/>
      <c r="AP1657" s="9"/>
      <c r="AQ1657" s="9"/>
      <c r="AR1657" s="9"/>
      <c r="AS1657" s="9"/>
      <c r="AT1657" s="9"/>
      <c r="AU1657" s="9"/>
      <c r="AV1657" s="9"/>
      <c r="AW1657" s="9"/>
      <c r="AX1657" s="9"/>
      <c r="AY1657" s="9"/>
      <c r="AZ1657" s="9"/>
      <c r="BA1657" s="9"/>
      <c r="BB1657" s="9"/>
      <c r="BC1657" s="9"/>
      <c r="BD1657" s="9"/>
      <c r="BE1657" s="9"/>
      <c r="BF1657" s="9"/>
      <c r="BG1657" s="9"/>
      <c r="BH1657" s="9"/>
      <c r="BI1657" s="9"/>
      <c r="BJ1657" s="9"/>
      <c r="BK1657" s="9"/>
      <c r="BL1657" s="9"/>
      <c r="BM1657" s="9"/>
      <c r="BN1657" s="9"/>
      <c r="BO1657" s="9"/>
      <c r="BP1657" s="9"/>
      <c r="BQ1657" s="9"/>
      <c r="BR1657" s="9"/>
      <c r="BS1657" s="9"/>
      <c r="BT1657" s="9"/>
      <c r="BU1657" s="9"/>
      <c r="BV1657" s="9"/>
      <c r="BW1657" s="9"/>
    </row>
    <row r="1658" spans="1:75" x14ac:dyDescent="0.25">
      <c r="A1658" s="9"/>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c r="AS1658" s="9"/>
      <c r="AT1658" s="9"/>
      <c r="AU1658" s="9"/>
      <c r="AV1658" s="9"/>
      <c r="AW1658" s="9"/>
      <c r="AX1658" s="9"/>
      <c r="AY1658" s="9"/>
      <c r="AZ1658" s="9"/>
      <c r="BA1658" s="9"/>
      <c r="BB1658" s="9"/>
      <c r="BC1658" s="9"/>
      <c r="BD1658" s="9"/>
      <c r="BE1658" s="9"/>
      <c r="BF1658" s="9"/>
      <c r="BG1658" s="9"/>
      <c r="BH1658" s="9"/>
      <c r="BI1658" s="9"/>
      <c r="BJ1658" s="9"/>
      <c r="BK1658" s="9"/>
      <c r="BL1658" s="9"/>
      <c r="BM1658" s="9"/>
      <c r="BN1658" s="9"/>
      <c r="BO1658" s="9"/>
      <c r="BP1658" s="9"/>
      <c r="BQ1658" s="9"/>
      <c r="BR1658" s="9"/>
      <c r="BS1658" s="9"/>
      <c r="BT1658" s="9"/>
      <c r="BU1658" s="9"/>
      <c r="BV1658" s="9"/>
      <c r="BW1658" s="9"/>
    </row>
    <row r="1659" spans="1:75" x14ac:dyDescent="0.25">
      <c r="A1659" s="9"/>
      <c r="B1659" s="9"/>
      <c r="C1659" s="9"/>
      <c r="D1659" s="9"/>
      <c r="E1659" s="9"/>
      <c r="F1659" s="9"/>
      <c r="G1659" s="9"/>
      <c r="H1659" s="9"/>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c r="AI1659" s="9"/>
      <c r="AJ1659" s="9"/>
      <c r="AK1659" s="9"/>
      <c r="AL1659" s="9"/>
      <c r="AM1659" s="9"/>
      <c r="AN1659" s="9"/>
      <c r="AO1659" s="9"/>
      <c r="AP1659" s="9"/>
      <c r="AQ1659" s="9"/>
      <c r="AR1659" s="9"/>
      <c r="AS1659" s="9"/>
      <c r="AT1659" s="9"/>
      <c r="AU1659" s="9"/>
      <c r="AV1659" s="9"/>
      <c r="AW1659" s="9"/>
      <c r="AX1659" s="9"/>
      <c r="AY1659" s="9"/>
      <c r="AZ1659" s="9"/>
      <c r="BA1659" s="9"/>
      <c r="BB1659" s="9"/>
      <c r="BC1659" s="9"/>
      <c r="BD1659" s="9"/>
      <c r="BE1659" s="9"/>
      <c r="BF1659" s="9"/>
      <c r="BG1659" s="9"/>
      <c r="BH1659" s="9"/>
      <c r="BI1659" s="9"/>
      <c r="BJ1659" s="9"/>
      <c r="BK1659" s="9"/>
      <c r="BL1659" s="9"/>
      <c r="BM1659" s="9"/>
      <c r="BN1659" s="9"/>
      <c r="BO1659" s="9"/>
      <c r="BP1659" s="9"/>
      <c r="BQ1659" s="9"/>
      <c r="BR1659" s="9"/>
      <c r="BS1659" s="9"/>
      <c r="BT1659" s="9"/>
      <c r="BU1659" s="9"/>
      <c r="BV1659" s="9"/>
      <c r="BW1659" s="9"/>
    </row>
    <row r="1660" spans="1:75" x14ac:dyDescent="0.25">
      <c r="A1660" s="9"/>
      <c r="B1660" s="9"/>
      <c r="C1660" s="9"/>
      <c r="D1660" s="9"/>
      <c r="E1660" s="9"/>
      <c r="F1660" s="9"/>
      <c r="G1660" s="9"/>
      <c r="H1660" s="9"/>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c r="AI1660" s="9"/>
      <c r="AJ1660" s="9"/>
      <c r="AK1660" s="9"/>
      <c r="AL1660" s="9"/>
      <c r="AM1660" s="9"/>
      <c r="AN1660" s="9"/>
      <c r="AO1660" s="9"/>
      <c r="AP1660" s="9"/>
      <c r="AQ1660" s="9"/>
      <c r="AR1660" s="9"/>
      <c r="AS1660" s="9"/>
      <c r="AT1660" s="9"/>
      <c r="AU1660" s="9"/>
      <c r="AV1660" s="9"/>
      <c r="AW1660" s="9"/>
      <c r="AX1660" s="9"/>
      <c r="AY1660" s="9"/>
      <c r="AZ1660" s="9"/>
      <c r="BA1660" s="9"/>
      <c r="BB1660" s="9"/>
      <c r="BC1660" s="9"/>
      <c r="BD1660" s="9"/>
      <c r="BE1660" s="9"/>
      <c r="BF1660" s="9"/>
      <c r="BG1660" s="9"/>
      <c r="BH1660" s="9"/>
      <c r="BI1660" s="9"/>
      <c r="BJ1660" s="9"/>
      <c r="BK1660" s="9"/>
      <c r="BL1660" s="9"/>
      <c r="BM1660" s="9"/>
      <c r="BN1660" s="9"/>
      <c r="BO1660" s="9"/>
      <c r="BP1660" s="9"/>
      <c r="BQ1660" s="9"/>
      <c r="BR1660" s="9"/>
      <c r="BS1660" s="9"/>
      <c r="BT1660" s="9"/>
      <c r="BU1660" s="9"/>
      <c r="BV1660" s="9"/>
      <c r="BW1660" s="9"/>
    </row>
    <row r="1661" spans="1:75" x14ac:dyDescent="0.25">
      <c r="A1661" s="9"/>
      <c r="B1661" s="9"/>
      <c r="C1661" s="9"/>
      <c r="D1661" s="9"/>
      <c r="E1661" s="9"/>
      <c r="F1661" s="9"/>
      <c r="G1661" s="9"/>
      <c r="H1661" s="9"/>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c r="AO1661" s="9"/>
      <c r="AP1661" s="9"/>
      <c r="AQ1661" s="9"/>
      <c r="AR1661" s="9"/>
      <c r="AS1661" s="9"/>
      <c r="AT1661" s="9"/>
      <c r="AU1661" s="9"/>
      <c r="AV1661" s="9"/>
      <c r="AW1661" s="9"/>
      <c r="AX1661" s="9"/>
      <c r="AY1661" s="9"/>
      <c r="AZ1661" s="9"/>
      <c r="BA1661" s="9"/>
      <c r="BB1661" s="9"/>
      <c r="BC1661" s="9"/>
      <c r="BD1661" s="9"/>
      <c r="BE1661" s="9"/>
      <c r="BF1661" s="9"/>
      <c r="BG1661" s="9"/>
      <c r="BH1661" s="9"/>
      <c r="BI1661" s="9"/>
      <c r="BJ1661" s="9"/>
      <c r="BK1661" s="9"/>
      <c r="BL1661" s="9"/>
      <c r="BM1661" s="9"/>
      <c r="BN1661" s="9"/>
      <c r="BO1661" s="9"/>
      <c r="BP1661" s="9"/>
      <c r="BQ1661" s="9"/>
      <c r="BR1661" s="9"/>
      <c r="BS1661" s="9"/>
      <c r="BT1661" s="9"/>
      <c r="BU1661" s="9"/>
      <c r="BV1661" s="9"/>
      <c r="BW1661" s="9"/>
    </row>
    <row r="1662" spans="1:75" x14ac:dyDescent="0.25">
      <c r="A1662" s="9"/>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c r="AX1662" s="9"/>
      <c r="AY1662" s="9"/>
      <c r="AZ1662" s="9"/>
      <c r="BA1662" s="9"/>
      <c r="BB1662" s="9"/>
      <c r="BC1662" s="9"/>
      <c r="BD1662" s="9"/>
      <c r="BE1662" s="9"/>
      <c r="BF1662" s="9"/>
      <c r="BG1662" s="9"/>
      <c r="BH1662" s="9"/>
      <c r="BI1662" s="9"/>
      <c r="BJ1662" s="9"/>
      <c r="BK1662" s="9"/>
      <c r="BL1662" s="9"/>
      <c r="BM1662" s="9"/>
      <c r="BN1662" s="9"/>
      <c r="BO1662" s="9"/>
      <c r="BP1662" s="9"/>
      <c r="BQ1662" s="9"/>
      <c r="BR1662" s="9"/>
      <c r="BS1662" s="9"/>
      <c r="BT1662" s="9"/>
      <c r="BU1662" s="9"/>
      <c r="BV1662" s="9"/>
      <c r="BW1662" s="9"/>
    </row>
    <row r="1663" spans="1:75" x14ac:dyDescent="0.25">
      <c r="A1663" s="9"/>
      <c r="B1663" s="9"/>
      <c r="C1663" s="9"/>
      <c r="D1663" s="9"/>
      <c r="E1663" s="9"/>
      <c r="F1663" s="9"/>
      <c r="G1663" s="9"/>
      <c r="H1663" s="9"/>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c r="AI1663" s="9"/>
      <c r="AJ1663" s="9"/>
      <c r="AK1663" s="9"/>
      <c r="AL1663" s="9"/>
      <c r="AM1663" s="9"/>
      <c r="AN1663" s="9"/>
      <c r="AO1663" s="9"/>
      <c r="AP1663" s="9"/>
      <c r="AQ1663" s="9"/>
      <c r="AR1663" s="9"/>
      <c r="AS1663" s="9"/>
      <c r="AT1663" s="9"/>
      <c r="AU1663" s="9"/>
      <c r="AV1663" s="9"/>
      <c r="AW1663" s="9"/>
      <c r="AX1663" s="9"/>
      <c r="AY1663" s="9"/>
      <c r="AZ1663" s="9"/>
      <c r="BA1663" s="9"/>
      <c r="BB1663" s="9"/>
      <c r="BC1663" s="9"/>
      <c r="BD1663" s="9"/>
      <c r="BE1663" s="9"/>
      <c r="BF1663" s="9"/>
      <c r="BG1663" s="9"/>
      <c r="BH1663" s="9"/>
      <c r="BI1663" s="9"/>
      <c r="BJ1663" s="9"/>
      <c r="BK1663" s="9"/>
      <c r="BL1663" s="9"/>
      <c r="BM1663" s="9"/>
      <c r="BN1663" s="9"/>
      <c r="BO1663" s="9"/>
      <c r="BP1663" s="9"/>
      <c r="BQ1663" s="9"/>
      <c r="BR1663" s="9"/>
      <c r="BS1663" s="9"/>
      <c r="BT1663" s="9"/>
      <c r="BU1663" s="9"/>
      <c r="BV1663" s="9"/>
      <c r="BW1663" s="9"/>
    </row>
    <row r="1664" spans="1:75" x14ac:dyDescent="0.25">
      <c r="A1664" s="9"/>
      <c r="B1664" s="9"/>
      <c r="C1664" s="9"/>
      <c r="D1664" s="9"/>
      <c r="E1664" s="9"/>
      <c r="F1664" s="9"/>
      <c r="G1664" s="9"/>
      <c r="H1664" s="9"/>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c r="AI1664" s="9"/>
      <c r="AJ1664" s="9"/>
      <c r="AK1664" s="9"/>
      <c r="AL1664" s="9"/>
      <c r="AM1664" s="9"/>
      <c r="AN1664" s="9"/>
      <c r="AO1664" s="9"/>
      <c r="AP1664" s="9"/>
      <c r="AQ1664" s="9"/>
      <c r="AR1664" s="9"/>
      <c r="AS1664" s="9"/>
      <c r="AT1664" s="9"/>
      <c r="AU1664" s="9"/>
      <c r="AV1664" s="9"/>
      <c r="AW1664" s="9"/>
      <c r="AX1664" s="9"/>
      <c r="AY1664" s="9"/>
      <c r="AZ1664" s="9"/>
      <c r="BA1664" s="9"/>
      <c r="BB1664" s="9"/>
      <c r="BC1664" s="9"/>
      <c r="BD1664" s="9"/>
      <c r="BE1664" s="9"/>
      <c r="BF1664" s="9"/>
      <c r="BG1664" s="9"/>
      <c r="BH1664" s="9"/>
      <c r="BI1664" s="9"/>
      <c r="BJ1664" s="9"/>
      <c r="BK1664" s="9"/>
      <c r="BL1664" s="9"/>
      <c r="BM1664" s="9"/>
      <c r="BN1664" s="9"/>
      <c r="BO1664" s="9"/>
      <c r="BP1664" s="9"/>
      <c r="BQ1664" s="9"/>
      <c r="BR1664" s="9"/>
      <c r="BS1664" s="9"/>
      <c r="BT1664" s="9"/>
      <c r="BU1664" s="9"/>
      <c r="BV1664" s="9"/>
      <c r="BW1664" s="9"/>
    </row>
    <row r="1665" spans="1:75" x14ac:dyDescent="0.25">
      <c r="A1665" s="9"/>
      <c r="B1665" s="9"/>
      <c r="C1665" s="9"/>
      <c r="D1665" s="9"/>
      <c r="E1665" s="9"/>
      <c r="F1665" s="9"/>
      <c r="G1665" s="9"/>
      <c r="H1665" s="9"/>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c r="AI1665" s="9"/>
      <c r="AJ1665" s="9"/>
      <c r="AK1665" s="9"/>
      <c r="AL1665" s="9"/>
      <c r="AM1665" s="9"/>
      <c r="AN1665" s="9"/>
      <c r="AO1665" s="9"/>
      <c r="AP1665" s="9"/>
      <c r="AQ1665" s="9"/>
      <c r="AR1665" s="9"/>
      <c r="AS1665" s="9"/>
      <c r="AT1665" s="9"/>
      <c r="AU1665" s="9"/>
      <c r="AV1665" s="9"/>
      <c r="AW1665" s="9"/>
      <c r="AX1665" s="9"/>
      <c r="AY1665" s="9"/>
      <c r="AZ1665" s="9"/>
      <c r="BA1665" s="9"/>
      <c r="BB1665" s="9"/>
      <c r="BC1665" s="9"/>
      <c r="BD1665" s="9"/>
      <c r="BE1665" s="9"/>
      <c r="BF1665" s="9"/>
      <c r="BG1665" s="9"/>
      <c r="BH1665" s="9"/>
      <c r="BI1665" s="9"/>
      <c r="BJ1665" s="9"/>
      <c r="BK1665" s="9"/>
      <c r="BL1665" s="9"/>
      <c r="BM1665" s="9"/>
      <c r="BN1665" s="9"/>
      <c r="BO1665" s="9"/>
      <c r="BP1665" s="9"/>
      <c r="BQ1665" s="9"/>
      <c r="BR1665" s="9"/>
      <c r="BS1665" s="9"/>
      <c r="BT1665" s="9"/>
      <c r="BU1665" s="9"/>
      <c r="BV1665" s="9"/>
      <c r="BW1665" s="9"/>
    </row>
    <row r="1666" spans="1:75" x14ac:dyDescent="0.25">
      <c r="A1666" s="9"/>
      <c r="B1666" s="9"/>
      <c r="C1666" s="9"/>
      <c r="D1666" s="9"/>
      <c r="E1666" s="9"/>
      <c r="F1666" s="9"/>
      <c r="G1666" s="9"/>
      <c r="H1666" s="9"/>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c r="AX1666" s="9"/>
      <c r="AY1666" s="9"/>
      <c r="AZ1666" s="9"/>
      <c r="BA1666" s="9"/>
      <c r="BB1666" s="9"/>
      <c r="BC1666" s="9"/>
      <c r="BD1666" s="9"/>
      <c r="BE1666" s="9"/>
      <c r="BF1666" s="9"/>
      <c r="BG1666" s="9"/>
      <c r="BH1666" s="9"/>
      <c r="BI1666" s="9"/>
      <c r="BJ1666" s="9"/>
      <c r="BK1666" s="9"/>
      <c r="BL1666" s="9"/>
      <c r="BM1666" s="9"/>
      <c r="BN1666" s="9"/>
      <c r="BO1666" s="9"/>
      <c r="BP1666" s="9"/>
      <c r="BQ1666" s="9"/>
      <c r="BR1666" s="9"/>
      <c r="BS1666" s="9"/>
      <c r="BT1666" s="9"/>
      <c r="BU1666" s="9"/>
      <c r="BV1666" s="9"/>
      <c r="BW1666" s="9"/>
    </row>
    <row r="1667" spans="1:75" x14ac:dyDescent="0.25">
      <c r="A1667" s="9"/>
      <c r="B1667" s="9"/>
      <c r="C1667" s="9"/>
      <c r="D1667" s="9"/>
      <c r="E1667" s="9"/>
      <c r="F1667" s="9"/>
      <c r="G1667" s="9"/>
      <c r="H1667" s="9"/>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c r="AS1667" s="9"/>
      <c r="AT1667" s="9"/>
      <c r="AU1667" s="9"/>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row>
    <row r="1668" spans="1:75" x14ac:dyDescent="0.25">
      <c r="A1668" s="9"/>
      <c r="B1668" s="9"/>
      <c r="C1668" s="9"/>
      <c r="D1668" s="9"/>
      <c r="E1668" s="9"/>
      <c r="F1668" s="9"/>
      <c r="G1668" s="9"/>
      <c r="H1668" s="9"/>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c r="AS1668" s="9"/>
      <c r="AT1668" s="9"/>
      <c r="AU1668" s="9"/>
      <c r="AV1668" s="9"/>
      <c r="AW1668" s="9"/>
      <c r="AX1668" s="9"/>
      <c r="AY1668" s="9"/>
      <c r="AZ1668" s="9"/>
      <c r="BA1668" s="9"/>
      <c r="BB1668" s="9"/>
      <c r="BC1668" s="9"/>
      <c r="BD1668" s="9"/>
      <c r="BE1668" s="9"/>
      <c r="BF1668" s="9"/>
      <c r="BG1668" s="9"/>
      <c r="BH1668" s="9"/>
      <c r="BI1668" s="9"/>
      <c r="BJ1668" s="9"/>
      <c r="BK1668" s="9"/>
      <c r="BL1668" s="9"/>
      <c r="BM1668" s="9"/>
      <c r="BN1668" s="9"/>
      <c r="BO1668" s="9"/>
      <c r="BP1668" s="9"/>
      <c r="BQ1668" s="9"/>
      <c r="BR1668" s="9"/>
      <c r="BS1668" s="9"/>
      <c r="BT1668" s="9"/>
      <c r="BU1668" s="9"/>
      <c r="BV1668" s="9"/>
      <c r="BW1668" s="9"/>
    </row>
    <row r="1669" spans="1:75" x14ac:dyDescent="0.25">
      <c r="A1669" s="9"/>
      <c r="B1669" s="9"/>
      <c r="C1669" s="9"/>
      <c r="D1669" s="9"/>
      <c r="E1669" s="9"/>
      <c r="F1669" s="9"/>
      <c r="G1669" s="9"/>
      <c r="H1669" s="9"/>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c r="AR1669" s="9"/>
      <c r="AS1669" s="9"/>
      <c r="AT1669" s="9"/>
      <c r="AU1669" s="9"/>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row>
    <row r="1670" spans="1:75" x14ac:dyDescent="0.25">
      <c r="A1670" s="9"/>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c r="AS1670" s="9"/>
      <c r="AT1670" s="9"/>
      <c r="AU1670" s="9"/>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row>
    <row r="1671" spans="1:75" x14ac:dyDescent="0.25">
      <c r="A1671" s="9"/>
      <c r="B1671" s="9"/>
      <c r="C1671" s="9"/>
      <c r="D1671" s="9"/>
      <c r="E1671" s="9"/>
      <c r="F1671" s="9"/>
      <c r="G1671" s="9"/>
      <c r="H1671" s="9"/>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c r="AI1671" s="9"/>
      <c r="AJ1671" s="9"/>
      <c r="AK1671" s="9"/>
      <c r="AL1671" s="9"/>
      <c r="AM1671" s="9"/>
      <c r="AN1671" s="9"/>
      <c r="AO1671" s="9"/>
      <c r="AP1671" s="9"/>
      <c r="AQ1671" s="9"/>
      <c r="AR1671" s="9"/>
      <c r="AS1671" s="9"/>
      <c r="AT1671" s="9"/>
      <c r="AU1671" s="9"/>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row>
    <row r="1672" spans="1:75" x14ac:dyDescent="0.25">
      <c r="A1672" s="9"/>
      <c r="B1672" s="9"/>
      <c r="C1672" s="9"/>
      <c r="D1672" s="9"/>
      <c r="E1672" s="9"/>
      <c r="F1672" s="9"/>
      <c r="G1672" s="9"/>
      <c r="H1672" s="9"/>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c r="AI1672" s="9"/>
      <c r="AJ1672" s="9"/>
      <c r="AK1672" s="9"/>
      <c r="AL1672" s="9"/>
      <c r="AM1672" s="9"/>
      <c r="AN1672" s="9"/>
      <c r="AO1672" s="9"/>
      <c r="AP1672" s="9"/>
      <c r="AQ1672" s="9"/>
      <c r="AR1672" s="9"/>
      <c r="AS1672" s="9"/>
      <c r="AT1672" s="9"/>
      <c r="AU1672" s="9"/>
      <c r="AV1672" s="9"/>
      <c r="AW1672" s="9"/>
      <c r="AX1672" s="9"/>
      <c r="AY1672" s="9"/>
      <c r="AZ1672" s="9"/>
      <c r="BA1672" s="9"/>
      <c r="BB1672" s="9"/>
      <c r="BC1672" s="9"/>
      <c r="BD1672" s="9"/>
      <c r="BE1672" s="9"/>
      <c r="BF1672" s="9"/>
      <c r="BG1672" s="9"/>
      <c r="BH1672" s="9"/>
      <c r="BI1672" s="9"/>
      <c r="BJ1672" s="9"/>
      <c r="BK1672" s="9"/>
      <c r="BL1672" s="9"/>
      <c r="BM1672" s="9"/>
      <c r="BN1672" s="9"/>
      <c r="BO1672" s="9"/>
      <c r="BP1672" s="9"/>
      <c r="BQ1672" s="9"/>
      <c r="BR1672" s="9"/>
      <c r="BS1672" s="9"/>
      <c r="BT1672" s="9"/>
      <c r="BU1672" s="9"/>
      <c r="BV1672" s="9"/>
      <c r="BW1672" s="9"/>
    </row>
    <row r="1673" spans="1:75" x14ac:dyDescent="0.25">
      <c r="A1673" s="9"/>
      <c r="B1673" s="9"/>
      <c r="C1673" s="9"/>
      <c r="D1673" s="9"/>
      <c r="E1673" s="9"/>
      <c r="F1673" s="9"/>
      <c r="G1673" s="9"/>
      <c r="H1673" s="9"/>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c r="AI1673" s="9"/>
      <c r="AJ1673" s="9"/>
      <c r="AK1673" s="9"/>
      <c r="AL1673" s="9"/>
      <c r="AM1673" s="9"/>
      <c r="AN1673" s="9"/>
      <c r="AO1673" s="9"/>
      <c r="AP1673" s="9"/>
      <c r="AQ1673" s="9"/>
      <c r="AR1673" s="9"/>
      <c r="AS1673" s="9"/>
      <c r="AT1673" s="9"/>
      <c r="AU1673" s="9"/>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row>
    <row r="1674" spans="1:75" x14ac:dyDescent="0.25">
      <c r="A1674" s="9"/>
      <c r="B1674" s="9"/>
      <c r="C1674" s="9"/>
      <c r="D1674" s="9"/>
      <c r="E1674" s="9"/>
      <c r="F1674" s="9"/>
      <c r="G1674" s="9"/>
      <c r="H1674" s="9"/>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c r="AR1674" s="9"/>
      <c r="AS1674" s="9"/>
      <c r="AT1674" s="9"/>
      <c r="AU1674" s="9"/>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row>
    <row r="1675" spans="1:75" x14ac:dyDescent="0.25">
      <c r="A1675" s="9"/>
      <c r="B1675" s="9"/>
      <c r="C1675" s="9"/>
      <c r="D1675" s="9"/>
      <c r="E1675" s="9"/>
      <c r="F1675" s="9"/>
      <c r="G1675" s="9"/>
      <c r="H1675" s="9"/>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c r="AI1675" s="9"/>
      <c r="AJ1675" s="9"/>
      <c r="AK1675" s="9"/>
      <c r="AL1675" s="9"/>
      <c r="AM1675" s="9"/>
      <c r="AN1675" s="9"/>
      <c r="AO1675" s="9"/>
      <c r="AP1675" s="9"/>
      <c r="AQ1675" s="9"/>
      <c r="AR1675" s="9"/>
      <c r="AS1675" s="9"/>
      <c r="AT1675" s="9"/>
      <c r="AU1675" s="9"/>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row>
    <row r="1676" spans="1:75" x14ac:dyDescent="0.25">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c r="AI1676" s="9"/>
      <c r="AJ1676" s="9"/>
      <c r="AK1676" s="9"/>
      <c r="AL1676" s="9"/>
      <c r="AM1676" s="9"/>
      <c r="AN1676" s="9"/>
      <c r="AO1676" s="9"/>
      <c r="AP1676" s="9"/>
      <c r="AQ1676" s="9"/>
      <c r="AR1676" s="9"/>
      <c r="AS1676" s="9"/>
      <c r="AT1676" s="9"/>
      <c r="AU1676" s="9"/>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row>
    <row r="1677" spans="1:75" x14ac:dyDescent="0.25">
      <c r="A1677" s="9"/>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c r="AI1677" s="9"/>
      <c r="AJ1677" s="9"/>
      <c r="AK1677" s="9"/>
      <c r="AL1677" s="9"/>
      <c r="AM1677" s="9"/>
      <c r="AN1677" s="9"/>
      <c r="AO1677" s="9"/>
      <c r="AP1677" s="9"/>
      <c r="AQ1677" s="9"/>
      <c r="AR1677" s="9"/>
      <c r="AS1677" s="9"/>
      <c r="AT1677" s="9"/>
      <c r="AU1677" s="9"/>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row>
    <row r="1678" spans="1:75" x14ac:dyDescent="0.25">
      <c r="A1678" s="9"/>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c r="AS1678" s="9"/>
      <c r="AT1678" s="9"/>
      <c r="AU1678" s="9"/>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row>
    <row r="1679" spans="1:75" x14ac:dyDescent="0.25">
      <c r="A1679" s="9"/>
      <c r="B1679" s="9"/>
      <c r="C1679" s="9"/>
      <c r="D1679" s="9"/>
      <c r="E1679" s="9"/>
      <c r="F1679" s="9"/>
      <c r="G1679" s="9"/>
      <c r="H1679" s="9"/>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c r="AI1679" s="9"/>
      <c r="AJ1679" s="9"/>
      <c r="AK1679" s="9"/>
      <c r="AL1679" s="9"/>
      <c r="AM1679" s="9"/>
      <c r="AN1679" s="9"/>
      <c r="AO1679" s="9"/>
      <c r="AP1679" s="9"/>
      <c r="AQ1679" s="9"/>
      <c r="AR1679" s="9"/>
      <c r="AS1679" s="9"/>
      <c r="AT1679" s="9"/>
      <c r="AU1679" s="9"/>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row>
    <row r="1680" spans="1:75" x14ac:dyDescent="0.25">
      <c r="A1680" s="9"/>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row>
    <row r="1681" spans="1:75" x14ac:dyDescent="0.25">
      <c r="A1681" s="9"/>
      <c r="B1681" s="9"/>
      <c r="C1681" s="9"/>
      <c r="D1681" s="9"/>
      <c r="E1681" s="9"/>
      <c r="F1681" s="9"/>
      <c r="G1681" s="9"/>
      <c r="H1681" s="9"/>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c r="AS1681" s="9"/>
      <c r="AT1681" s="9"/>
      <c r="AU1681" s="9"/>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row>
    <row r="1682" spans="1:75" x14ac:dyDescent="0.25">
      <c r="A1682" s="9"/>
      <c r="B1682" s="9"/>
      <c r="C1682" s="9"/>
      <c r="D1682" s="9"/>
      <c r="E1682" s="9"/>
      <c r="F1682" s="9"/>
      <c r="G1682" s="9"/>
      <c r="H1682" s="9"/>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c r="AI1682" s="9"/>
      <c r="AJ1682" s="9"/>
      <c r="AK1682" s="9"/>
      <c r="AL1682" s="9"/>
      <c r="AM1682" s="9"/>
      <c r="AN1682" s="9"/>
      <c r="AO1682" s="9"/>
      <c r="AP1682" s="9"/>
      <c r="AQ1682" s="9"/>
      <c r="AR1682" s="9"/>
      <c r="AS1682" s="9"/>
      <c r="AT1682" s="9"/>
      <c r="AU1682" s="9"/>
      <c r="AV1682" s="9"/>
      <c r="AW1682" s="9"/>
      <c r="AX1682" s="9"/>
      <c r="AY1682" s="9"/>
      <c r="AZ1682" s="9"/>
      <c r="BA1682" s="9"/>
      <c r="BB1682" s="9"/>
      <c r="BC1682" s="9"/>
      <c r="BD1682" s="9"/>
      <c r="BE1682" s="9"/>
      <c r="BF1682" s="9"/>
      <c r="BG1682" s="9"/>
      <c r="BH1682" s="9"/>
      <c r="BI1682" s="9"/>
      <c r="BJ1682" s="9"/>
      <c r="BK1682" s="9"/>
      <c r="BL1682" s="9"/>
      <c r="BM1682" s="9"/>
      <c r="BN1682" s="9"/>
      <c r="BO1682" s="9"/>
      <c r="BP1682" s="9"/>
      <c r="BQ1682" s="9"/>
      <c r="BR1682" s="9"/>
      <c r="BS1682" s="9"/>
      <c r="BT1682" s="9"/>
      <c r="BU1682" s="9"/>
      <c r="BV1682" s="9"/>
      <c r="BW1682" s="9"/>
    </row>
    <row r="1683" spans="1:75" x14ac:dyDescent="0.25">
      <c r="A1683" s="9"/>
      <c r="B1683" s="9"/>
      <c r="C1683" s="9"/>
      <c r="D1683" s="9"/>
      <c r="E1683" s="9"/>
      <c r="F1683" s="9"/>
      <c r="G1683" s="9"/>
      <c r="H1683" s="9"/>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c r="AI1683" s="9"/>
      <c r="AJ1683" s="9"/>
      <c r="AK1683" s="9"/>
      <c r="AL1683" s="9"/>
      <c r="AM1683" s="9"/>
      <c r="AN1683" s="9"/>
      <c r="AO1683" s="9"/>
      <c r="AP1683" s="9"/>
      <c r="AQ1683" s="9"/>
      <c r="AR1683" s="9"/>
      <c r="AS1683" s="9"/>
      <c r="AT1683" s="9"/>
      <c r="AU1683" s="9"/>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row>
    <row r="1684" spans="1:75" x14ac:dyDescent="0.25">
      <c r="A1684" s="9"/>
      <c r="B1684" s="9"/>
      <c r="C1684" s="9"/>
      <c r="D1684" s="9"/>
      <c r="E1684" s="9"/>
      <c r="F1684" s="9"/>
      <c r="G1684" s="9"/>
      <c r="H1684" s="9"/>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c r="AI1684" s="9"/>
      <c r="AJ1684" s="9"/>
      <c r="AK1684" s="9"/>
      <c r="AL1684" s="9"/>
      <c r="AM1684" s="9"/>
      <c r="AN1684" s="9"/>
      <c r="AO1684" s="9"/>
      <c r="AP1684" s="9"/>
      <c r="AQ1684" s="9"/>
      <c r="AR1684" s="9"/>
      <c r="AS1684" s="9"/>
      <c r="AT1684" s="9"/>
      <c r="AU1684" s="9"/>
      <c r="AV1684" s="9"/>
      <c r="AW1684" s="9"/>
      <c r="AX1684" s="9"/>
      <c r="AY1684" s="9"/>
      <c r="AZ1684" s="9"/>
      <c r="BA1684" s="9"/>
      <c r="BB1684" s="9"/>
      <c r="BC1684" s="9"/>
      <c r="BD1684" s="9"/>
      <c r="BE1684" s="9"/>
      <c r="BF1684" s="9"/>
      <c r="BG1684" s="9"/>
      <c r="BH1684" s="9"/>
      <c r="BI1684" s="9"/>
      <c r="BJ1684" s="9"/>
      <c r="BK1684" s="9"/>
      <c r="BL1684" s="9"/>
      <c r="BM1684" s="9"/>
      <c r="BN1684" s="9"/>
      <c r="BO1684" s="9"/>
      <c r="BP1684" s="9"/>
      <c r="BQ1684" s="9"/>
      <c r="BR1684" s="9"/>
      <c r="BS1684" s="9"/>
      <c r="BT1684" s="9"/>
      <c r="BU1684" s="9"/>
      <c r="BV1684" s="9"/>
      <c r="BW1684" s="9"/>
    </row>
    <row r="1685" spans="1:75" x14ac:dyDescent="0.25">
      <c r="A1685" s="9"/>
      <c r="B1685" s="9"/>
      <c r="C1685" s="9"/>
      <c r="D1685" s="9"/>
      <c r="E1685" s="9"/>
      <c r="F1685" s="9"/>
      <c r="G1685" s="9"/>
      <c r="H1685" s="9"/>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c r="AO1685" s="9"/>
      <c r="AP1685" s="9"/>
      <c r="AQ1685" s="9"/>
      <c r="AR1685" s="9"/>
      <c r="AS1685" s="9"/>
      <c r="AT1685" s="9"/>
      <c r="AU1685" s="9"/>
      <c r="AV1685" s="9"/>
      <c r="AW1685" s="9"/>
      <c r="AX1685" s="9"/>
      <c r="AY1685" s="9"/>
      <c r="AZ1685" s="9"/>
      <c r="BA1685" s="9"/>
      <c r="BB1685" s="9"/>
      <c r="BC1685" s="9"/>
      <c r="BD1685" s="9"/>
      <c r="BE1685" s="9"/>
      <c r="BF1685" s="9"/>
      <c r="BG1685" s="9"/>
      <c r="BH1685" s="9"/>
      <c r="BI1685" s="9"/>
      <c r="BJ1685" s="9"/>
      <c r="BK1685" s="9"/>
      <c r="BL1685" s="9"/>
      <c r="BM1685" s="9"/>
      <c r="BN1685" s="9"/>
      <c r="BO1685" s="9"/>
      <c r="BP1685" s="9"/>
      <c r="BQ1685" s="9"/>
      <c r="BR1685" s="9"/>
      <c r="BS1685" s="9"/>
      <c r="BT1685" s="9"/>
      <c r="BU1685" s="9"/>
      <c r="BV1685" s="9"/>
      <c r="BW1685" s="9"/>
    </row>
    <row r="1686" spans="1:75" x14ac:dyDescent="0.25">
      <c r="A1686" s="9"/>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c r="AO1686" s="9"/>
      <c r="AP1686" s="9"/>
      <c r="AQ1686" s="9"/>
      <c r="AR1686" s="9"/>
      <c r="AS1686" s="9"/>
      <c r="AT1686" s="9"/>
      <c r="AU1686" s="9"/>
      <c r="AV1686" s="9"/>
      <c r="AW1686" s="9"/>
      <c r="AX1686" s="9"/>
      <c r="AY1686" s="9"/>
      <c r="AZ1686" s="9"/>
      <c r="BA1686" s="9"/>
      <c r="BB1686" s="9"/>
      <c r="BC1686" s="9"/>
      <c r="BD1686" s="9"/>
      <c r="BE1686" s="9"/>
      <c r="BF1686" s="9"/>
      <c r="BG1686" s="9"/>
      <c r="BH1686" s="9"/>
      <c r="BI1686" s="9"/>
      <c r="BJ1686" s="9"/>
      <c r="BK1686" s="9"/>
      <c r="BL1686" s="9"/>
      <c r="BM1686" s="9"/>
      <c r="BN1686" s="9"/>
      <c r="BO1686" s="9"/>
      <c r="BP1686" s="9"/>
      <c r="BQ1686" s="9"/>
      <c r="BR1686" s="9"/>
      <c r="BS1686" s="9"/>
      <c r="BT1686" s="9"/>
      <c r="BU1686" s="9"/>
      <c r="BV1686" s="9"/>
      <c r="BW1686" s="9"/>
    </row>
    <row r="1687" spans="1:75" x14ac:dyDescent="0.25">
      <c r="A1687" s="9"/>
      <c r="B1687" s="9"/>
      <c r="C1687" s="9"/>
      <c r="D1687" s="9"/>
      <c r="E1687" s="9"/>
      <c r="F1687" s="9"/>
      <c r="G1687" s="9"/>
      <c r="H1687" s="9"/>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c r="AI1687" s="9"/>
      <c r="AJ1687" s="9"/>
      <c r="AK1687" s="9"/>
      <c r="AL1687" s="9"/>
      <c r="AM1687" s="9"/>
      <c r="AN1687" s="9"/>
      <c r="AO1687" s="9"/>
      <c r="AP1687" s="9"/>
      <c r="AQ1687" s="9"/>
      <c r="AR1687" s="9"/>
      <c r="AS1687" s="9"/>
      <c r="AT1687" s="9"/>
      <c r="AU1687" s="9"/>
      <c r="AV1687" s="9"/>
      <c r="AW1687" s="9"/>
      <c r="AX1687" s="9"/>
      <c r="AY1687" s="9"/>
      <c r="AZ1687" s="9"/>
      <c r="BA1687" s="9"/>
      <c r="BB1687" s="9"/>
      <c r="BC1687" s="9"/>
      <c r="BD1687" s="9"/>
      <c r="BE1687" s="9"/>
      <c r="BF1687" s="9"/>
      <c r="BG1687" s="9"/>
      <c r="BH1687" s="9"/>
      <c r="BI1687" s="9"/>
      <c r="BJ1687" s="9"/>
      <c r="BK1687" s="9"/>
      <c r="BL1687" s="9"/>
      <c r="BM1687" s="9"/>
      <c r="BN1687" s="9"/>
      <c r="BO1687" s="9"/>
      <c r="BP1687" s="9"/>
      <c r="BQ1687" s="9"/>
      <c r="BR1687" s="9"/>
      <c r="BS1687" s="9"/>
      <c r="BT1687" s="9"/>
      <c r="BU1687" s="9"/>
      <c r="BV1687" s="9"/>
      <c r="BW1687" s="9"/>
    </row>
    <row r="1688" spans="1:75" x14ac:dyDescent="0.25">
      <c r="A1688" s="9"/>
      <c r="B1688" s="9"/>
      <c r="C1688" s="9"/>
      <c r="D1688" s="9"/>
      <c r="E1688" s="9"/>
      <c r="F1688" s="9"/>
      <c r="G1688" s="9"/>
      <c r="H1688" s="9"/>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c r="AI1688" s="9"/>
      <c r="AJ1688" s="9"/>
      <c r="AK1688" s="9"/>
      <c r="AL1688" s="9"/>
      <c r="AM1688" s="9"/>
      <c r="AN1688" s="9"/>
      <c r="AO1688" s="9"/>
      <c r="AP1688" s="9"/>
      <c r="AQ1688" s="9"/>
      <c r="AR1688" s="9"/>
      <c r="AS1688" s="9"/>
      <c r="AT1688" s="9"/>
      <c r="AU1688" s="9"/>
      <c r="AV1688" s="9"/>
      <c r="AW1688" s="9"/>
      <c r="AX1688" s="9"/>
      <c r="AY1688" s="9"/>
      <c r="AZ1688" s="9"/>
      <c r="BA1688" s="9"/>
      <c r="BB1688" s="9"/>
      <c r="BC1688" s="9"/>
      <c r="BD1688" s="9"/>
      <c r="BE1688" s="9"/>
      <c r="BF1688" s="9"/>
      <c r="BG1688" s="9"/>
      <c r="BH1688" s="9"/>
      <c r="BI1688" s="9"/>
      <c r="BJ1688" s="9"/>
      <c r="BK1688" s="9"/>
      <c r="BL1688" s="9"/>
      <c r="BM1688" s="9"/>
      <c r="BN1688" s="9"/>
      <c r="BO1688" s="9"/>
      <c r="BP1688" s="9"/>
      <c r="BQ1688" s="9"/>
      <c r="BR1688" s="9"/>
      <c r="BS1688" s="9"/>
      <c r="BT1688" s="9"/>
      <c r="BU1688" s="9"/>
      <c r="BV1688" s="9"/>
      <c r="BW1688" s="9"/>
    </row>
    <row r="1689" spans="1:75" x14ac:dyDescent="0.25">
      <c r="A1689" s="9"/>
      <c r="B1689" s="9"/>
      <c r="C1689" s="9"/>
      <c r="D1689" s="9"/>
      <c r="E1689" s="9"/>
      <c r="F1689" s="9"/>
      <c r="G1689" s="9"/>
      <c r="H1689" s="9"/>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c r="AO1689" s="9"/>
      <c r="AP1689" s="9"/>
      <c r="AQ1689" s="9"/>
      <c r="AR1689" s="9"/>
      <c r="AS1689" s="9"/>
      <c r="AT1689" s="9"/>
      <c r="AU1689" s="9"/>
      <c r="AV1689" s="9"/>
      <c r="AW1689" s="9"/>
      <c r="AX1689" s="9"/>
      <c r="AY1689" s="9"/>
      <c r="AZ1689" s="9"/>
      <c r="BA1689" s="9"/>
      <c r="BB1689" s="9"/>
      <c r="BC1689" s="9"/>
      <c r="BD1689" s="9"/>
      <c r="BE1689" s="9"/>
      <c r="BF1689" s="9"/>
      <c r="BG1689" s="9"/>
      <c r="BH1689" s="9"/>
      <c r="BI1689" s="9"/>
      <c r="BJ1689" s="9"/>
      <c r="BK1689" s="9"/>
      <c r="BL1689" s="9"/>
      <c r="BM1689" s="9"/>
      <c r="BN1689" s="9"/>
      <c r="BO1689" s="9"/>
      <c r="BP1689" s="9"/>
      <c r="BQ1689" s="9"/>
      <c r="BR1689" s="9"/>
      <c r="BS1689" s="9"/>
      <c r="BT1689" s="9"/>
      <c r="BU1689" s="9"/>
      <c r="BV1689" s="9"/>
      <c r="BW1689" s="9"/>
    </row>
    <row r="1690" spans="1:75" x14ac:dyDescent="0.25">
      <c r="A1690" s="9"/>
      <c r="B1690" s="9"/>
      <c r="C1690" s="9"/>
      <c r="D1690" s="9"/>
      <c r="E1690" s="9"/>
      <c r="F1690" s="9"/>
      <c r="G1690" s="9"/>
      <c r="H1690" s="9"/>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c r="AS1690" s="9"/>
      <c r="AT1690" s="9"/>
      <c r="AU1690" s="9"/>
      <c r="AV1690" s="9"/>
      <c r="AW1690" s="9"/>
      <c r="AX1690" s="9"/>
      <c r="AY1690" s="9"/>
      <c r="AZ1690" s="9"/>
      <c r="BA1690" s="9"/>
      <c r="BB1690" s="9"/>
      <c r="BC1690" s="9"/>
      <c r="BD1690" s="9"/>
      <c r="BE1690" s="9"/>
      <c r="BF1690" s="9"/>
      <c r="BG1690" s="9"/>
      <c r="BH1690" s="9"/>
      <c r="BI1690" s="9"/>
      <c r="BJ1690" s="9"/>
      <c r="BK1690" s="9"/>
      <c r="BL1690" s="9"/>
      <c r="BM1690" s="9"/>
      <c r="BN1690" s="9"/>
      <c r="BO1690" s="9"/>
      <c r="BP1690" s="9"/>
      <c r="BQ1690" s="9"/>
      <c r="BR1690" s="9"/>
      <c r="BS1690" s="9"/>
      <c r="BT1690" s="9"/>
      <c r="BU1690" s="9"/>
      <c r="BV1690" s="9"/>
      <c r="BW1690" s="9"/>
    </row>
    <row r="1691" spans="1:75" x14ac:dyDescent="0.25">
      <c r="A1691" s="9"/>
      <c r="B1691" s="9"/>
      <c r="C1691" s="9"/>
      <c r="D1691" s="9"/>
      <c r="E1691" s="9"/>
      <c r="F1691" s="9"/>
      <c r="G1691" s="9"/>
      <c r="H1691" s="9"/>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c r="AI1691" s="9"/>
      <c r="AJ1691" s="9"/>
      <c r="AK1691" s="9"/>
      <c r="AL1691" s="9"/>
      <c r="AM1691" s="9"/>
      <c r="AN1691" s="9"/>
      <c r="AO1691" s="9"/>
      <c r="AP1691" s="9"/>
      <c r="AQ1691" s="9"/>
      <c r="AR1691" s="9"/>
      <c r="AS1691" s="9"/>
      <c r="AT1691" s="9"/>
      <c r="AU1691" s="9"/>
      <c r="AV1691" s="9"/>
      <c r="AW1691" s="9"/>
      <c r="AX1691" s="9"/>
      <c r="AY1691" s="9"/>
      <c r="AZ1691" s="9"/>
      <c r="BA1691" s="9"/>
      <c r="BB1691" s="9"/>
      <c r="BC1691" s="9"/>
      <c r="BD1691" s="9"/>
      <c r="BE1691" s="9"/>
      <c r="BF1691" s="9"/>
      <c r="BG1691" s="9"/>
      <c r="BH1691" s="9"/>
      <c r="BI1691" s="9"/>
      <c r="BJ1691" s="9"/>
      <c r="BK1691" s="9"/>
      <c r="BL1691" s="9"/>
      <c r="BM1691" s="9"/>
      <c r="BN1691" s="9"/>
      <c r="BO1691" s="9"/>
      <c r="BP1691" s="9"/>
      <c r="BQ1691" s="9"/>
      <c r="BR1691" s="9"/>
      <c r="BS1691" s="9"/>
      <c r="BT1691" s="9"/>
      <c r="BU1691" s="9"/>
      <c r="BV1691" s="9"/>
      <c r="BW1691" s="9"/>
    </row>
    <row r="1692" spans="1:75" x14ac:dyDescent="0.25">
      <c r="A1692" s="9"/>
      <c r="B1692" s="9"/>
      <c r="C1692" s="9"/>
      <c r="D1692" s="9"/>
      <c r="E1692" s="9"/>
      <c r="F1692" s="9"/>
      <c r="G1692" s="9"/>
      <c r="H1692" s="9"/>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c r="AI1692" s="9"/>
      <c r="AJ1692" s="9"/>
      <c r="AK1692" s="9"/>
      <c r="AL1692" s="9"/>
      <c r="AM1692" s="9"/>
      <c r="AN1692" s="9"/>
      <c r="AO1692" s="9"/>
      <c r="AP1692" s="9"/>
      <c r="AQ1692" s="9"/>
      <c r="AR1692" s="9"/>
      <c r="AS1692" s="9"/>
      <c r="AT1692" s="9"/>
      <c r="AU1692" s="9"/>
      <c r="AV1692" s="9"/>
      <c r="AW1692" s="9"/>
      <c r="AX1692" s="9"/>
      <c r="AY1692" s="9"/>
      <c r="AZ1692" s="9"/>
      <c r="BA1692" s="9"/>
      <c r="BB1692" s="9"/>
      <c r="BC1692" s="9"/>
      <c r="BD1692" s="9"/>
      <c r="BE1692" s="9"/>
      <c r="BF1692" s="9"/>
      <c r="BG1692" s="9"/>
      <c r="BH1692" s="9"/>
      <c r="BI1692" s="9"/>
      <c r="BJ1692" s="9"/>
      <c r="BK1692" s="9"/>
      <c r="BL1692" s="9"/>
      <c r="BM1692" s="9"/>
      <c r="BN1692" s="9"/>
      <c r="BO1692" s="9"/>
      <c r="BP1692" s="9"/>
      <c r="BQ1692" s="9"/>
      <c r="BR1692" s="9"/>
      <c r="BS1692" s="9"/>
      <c r="BT1692" s="9"/>
      <c r="BU1692" s="9"/>
      <c r="BV1692" s="9"/>
      <c r="BW1692" s="9"/>
    </row>
    <row r="1693" spans="1:75" x14ac:dyDescent="0.25">
      <c r="A1693" s="9"/>
      <c r="B1693" s="9"/>
      <c r="C1693" s="9"/>
      <c r="D1693" s="9"/>
      <c r="E1693" s="9"/>
      <c r="F1693" s="9"/>
      <c r="G1693" s="9"/>
      <c r="H1693" s="9"/>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c r="AI1693" s="9"/>
      <c r="AJ1693" s="9"/>
      <c r="AK1693" s="9"/>
      <c r="AL1693" s="9"/>
      <c r="AM1693" s="9"/>
      <c r="AN1693" s="9"/>
      <c r="AO1693" s="9"/>
      <c r="AP1693" s="9"/>
      <c r="AQ1693" s="9"/>
      <c r="AR1693" s="9"/>
      <c r="AS1693" s="9"/>
      <c r="AT1693" s="9"/>
      <c r="AU1693" s="9"/>
      <c r="AV1693" s="9"/>
      <c r="AW1693" s="9"/>
      <c r="AX1693" s="9"/>
      <c r="AY1693" s="9"/>
      <c r="AZ1693" s="9"/>
      <c r="BA1693" s="9"/>
      <c r="BB1693" s="9"/>
      <c r="BC1693" s="9"/>
      <c r="BD1693" s="9"/>
      <c r="BE1693" s="9"/>
      <c r="BF1693" s="9"/>
      <c r="BG1693" s="9"/>
      <c r="BH1693" s="9"/>
      <c r="BI1693" s="9"/>
      <c r="BJ1693" s="9"/>
      <c r="BK1693" s="9"/>
      <c r="BL1693" s="9"/>
      <c r="BM1693" s="9"/>
      <c r="BN1693" s="9"/>
      <c r="BO1693" s="9"/>
      <c r="BP1693" s="9"/>
      <c r="BQ1693" s="9"/>
      <c r="BR1693" s="9"/>
      <c r="BS1693" s="9"/>
      <c r="BT1693" s="9"/>
      <c r="BU1693" s="9"/>
      <c r="BV1693" s="9"/>
      <c r="BW1693" s="9"/>
    </row>
    <row r="1694" spans="1:75" x14ac:dyDescent="0.25">
      <c r="A1694" s="9"/>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c r="AS1694" s="9"/>
      <c r="AT1694" s="9"/>
      <c r="AU1694" s="9"/>
      <c r="AV1694" s="9"/>
      <c r="AW1694" s="9"/>
      <c r="AX1694" s="9"/>
      <c r="AY1694" s="9"/>
      <c r="AZ1694" s="9"/>
      <c r="BA1694" s="9"/>
      <c r="BB1694" s="9"/>
      <c r="BC1694" s="9"/>
      <c r="BD1694" s="9"/>
      <c r="BE1694" s="9"/>
      <c r="BF1694" s="9"/>
      <c r="BG1694" s="9"/>
      <c r="BH1694" s="9"/>
      <c r="BI1694" s="9"/>
      <c r="BJ1694" s="9"/>
      <c r="BK1694" s="9"/>
      <c r="BL1694" s="9"/>
      <c r="BM1694" s="9"/>
      <c r="BN1694" s="9"/>
      <c r="BO1694" s="9"/>
      <c r="BP1694" s="9"/>
      <c r="BQ1694" s="9"/>
      <c r="BR1694" s="9"/>
      <c r="BS1694" s="9"/>
      <c r="BT1694" s="9"/>
      <c r="BU1694" s="9"/>
      <c r="BV1694" s="9"/>
      <c r="BW1694" s="9"/>
    </row>
    <row r="1695" spans="1:75" x14ac:dyDescent="0.25">
      <c r="A1695" s="9"/>
      <c r="B1695" s="9"/>
      <c r="C1695" s="9"/>
      <c r="D1695" s="9"/>
      <c r="E1695" s="9"/>
      <c r="F1695" s="9"/>
      <c r="G1695" s="9"/>
      <c r="H1695" s="9"/>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c r="AS1695" s="9"/>
      <c r="AT1695" s="9"/>
      <c r="AU1695" s="9"/>
      <c r="AV1695" s="9"/>
      <c r="AW1695" s="9"/>
      <c r="AX1695" s="9"/>
      <c r="AY1695" s="9"/>
      <c r="AZ1695" s="9"/>
      <c r="BA1695" s="9"/>
      <c r="BB1695" s="9"/>
      <c r="BC1695" s="9"/>
      <c r="BD1695" s="9"/>
      <c r="BE1695" s="9"/>
      <c r="BF1695" s="9"/>
      <c r="BG1695" s="9"/>
      <c r="BH1695" s="9"/>
      <c r="BI1695" s="9"/>
      <c r="BJ1695" s="9"/>
      <c r="BK1695" s="9"/>
      <c r="BL1695" s="9"/>
      <c r="BM1695" s="9"/>
      <c r="BN1695" s="9"/>
      <c r="BO1695" s="9"/>
      <c r="BP1695" s="9"/>
      <c r="BQ1695" s="9"/>
      <c r="BR1695" s="9"/>
      <c r="BS1695" s="9"/>
      <c r="BT1695" s="9"/>
      <c r="BU1695" s="9"/>
      <c r="BV1695" s="9"/>
      <c r="BW1695" s="9"/>
    </row>
    <row r="1696" spans="1:75" x14ac:dyDescent="0.25">
      <c r="A1696" s="9"/>
      <c r="B1696" s="9"/>
      <c r="C1696" s="9"/>
      <c r="D1696" s="9"/>
      <c r="E1696" s="9"/>
      <c r="F1696" s="9"/>
      <c r="G1696" s="9"/>
      <c r="H1696" s="9"/>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c r="AI1696" s="9"/>
      <c r="AJ1696" s="9"/>
      <c r="AK1696" s="9"/>
      <c r="AL1696" s="9"/>
      <c r="AM1696" s="9"/>
      <c r="AN1696" s="9"/>
      <c r="AO1696" s="9"/>
      <c r="AP1696" s="9"/>
      <c r="AQ1696" s="9"/>
      <c r="AR1696" s="9"/>
      <c r="AS1696" s="9"/>
      <c r="AT1696" s="9"/>
      <c r="AU1696" s="9"/>
      <c r="AV1696" s="9"/>
      <c r="AW1696" s="9"/>
      <c r="AX1696" s="9"/>
      <c r="AY1696" s="9"/>
      <c r="AZ1696" s="9"/>
      <c r="BA1696" s="9"/>
      <c r="BB1696" s="9"/>
      <c r="BC1696" s="9"/>
      <c r="BD1696" s="9"/>
      <c r="BE1696" s="9"/>
      <c r="BF1696" s="9"/>
      <c r="BG1696" s="9"/>
      <c r="BH1696" s="9"/>
      <c r="BI1696" s="9"/>
      <c r="BJ1696" s="9"/>
      <c r="BK1696" s="9"/>
      <c r="BL1696" s="9"/>
      <c r="BM1696" s="9"/>
      <c r="BN1696" s="9"/>
      <c r="BO1696" s="9"/>
      <c r="BP1696" s="9"/>
      <c r="BQ1696" s="9"/>
      <c r="BR1696" s="9"/>
      <c r="BS1696" s="9"/>
      <c r="BT1696" s="9"/>
      <c r="BU1696" s="9"/>
      <c r="BV1696" s="9"/>
      <c r="BW1696" s="9"/>
    </row>
    <row r="1697" spans="1:75" x14ac:dyDescent="0.25">
      <c r="A1697" s="9"/>
      <c r="B1697" s="9"/>
      <c r="C1697" s="9"/>
      <c r="D1697" s="9"/>
      <c r="E1697" s="9"/>
      <c r="F1697" s="9"/>
      <c r="G1697" s="9"/>
      <c r="H1697" s="9"/>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c r="AI1697" s="9"/>
      <c r="AJ1697" s="9"/>
      <c r="AK1697" s="9"/>
      <c r="AL1697" s="9"/>
      <c r="AM1697" s="9"/>
      <c r="AN1697" s="9"/>
      <c r="AO1697" s="9"/>
      <c r="AP1697" s="9"/>
      <c r="AQ1697" s="9"/>
      <c r="AR1697" s="9"/>
      <c r="AS1697" s="9"/>
      <c r="AT1697" s="9"/>
      <c r="AU1697" s="9"/>
      <c r="AV1697" s="9"/>
      <c r="AW1697" s="9"/>
      <c r="AX1697" s="9"/>
      <c r="AY1697" s="9"/>
      <c r="AZ1697" s="9"/>
      <c r="BA1697" s="9"/>
      <c r="BB1697" s="9"/>
      <c r="BC1697" s="9"/>
      <c r="BD1697" s="9"/>
      <c r="BE1697" s="9"/>
      <c r="BF1697" s="9"/>
      <c r="BG1697" s="9"/>
      <c r="BH1697" s="9"/>
      <c r="BI1697" s="9"/>
      <c r="BJ1697" s="9"/>
      <c r="BK1697" s="9"/>
      <c r="BL1697" s="9"/>
      <c r="BM1697" s="9"/>
      <c r="BN1697" s="9"/>
      <c r="BO1697" s="9"/>
      <c r="BP1697" s="9"/>
      <c r="BQ1697" s="9"/>
      <c r="BR1697" s="9"/>
      <c r="BS1697" s="9"/>
      <c r="BT1697" s="9"/>
      <c r="BU1697" s="9"/>
      <c r="BV1697" s="9"/>
      <c r="BW1697" s="9"/>
    </row>
    <row r="1698" spans="1:75" x14ac:dyDescent="0.25">
      <c r="A1698" s="9"/>
      <c r="B1698" s="9"/>
      <c r="C1698" s="9"/>
      <c r="D1698" s="9"/>
      <c r="E1698" s="9"/>
      <c r="F1698" s="9"/>
      <c r="G1698" s="9"/>
      <c r="H1698" s="9"/>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c r="AI1698" s="9"/>
      <c r="AJ1698" s="9"/>
      <c r="AK1698" s="9"/>
      <c r="AL1698" s="9"/>
      <c r="AM1698" s="9"/>
      <c r="AN1698" s="9"/>
      <c r="AO1698" s="9"/>
      <c r="AP1698" s="9"/>
      <c r="AQ1698" s="9"/>
      <c r="AR1698" s="9"/>
      <c r="AS1698" s="9"/>
      <c r="AT1698" s="9"/>
      <c r="AU1698" s="9"/>
      <c r="AV1698" s="9"/>
      <c r="AW1698" s="9"/>
      <c r="AX1698" s="9"/>
      <c r="AY1698" s="9"/>
      <c r="AZ1698" s="9"/>
      <c r="BA1698" s="9"/>
      <c r="BB1698" s="9"/>
      <c r="BC1698" s="9"/>
      <c r="BD1698" s="9"/>
      <c r="BE1698" s="9"/>
      <c r="BF1698" s="9"/>
      <c r="BG1698" s="9"/>
      <c r="BH1698" s="9"/>
      <c r="BI1698" s="9"/>
      <c r="BJ1698" s="9"/>
      <c r="BK1698" s="9"/>
      <c r="BL1698" s="9"/>
      <c r="BM1698" s="9"/>
      <c r="BN1698" s="9"/>
      <c r="BO1698" s="9"/>
      <c r="BP1698" s="9"/>
      <c r="BQ1698" s="9"/>
      <c r="BR1698" s="9"/>
      <c r="BS1698" s="9"/>
      <c r="BT1698" s="9"/>
      <c r="BU1698" s="9"/>
      <c r="BV1698" s="9"/>
      <c r="BW1698" s="9"/>
    </row>
    <row r="1699" spans="1:75" x14ac:dyDescent="0.25">
      <c r="A1699" s="9"/>
      <c r="B1699" s="9"/>
      <c r="C1699" s="9"/>
      <c r="D1699" s="9"/>
      <c r="E1699" s="9"/>
      <c r="F1699" s="9"/>
      <c r="G1699" s="9"/>
      <c r="H1699" s="9"/>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c r="AI1699" s="9"/>
      <c r="AJ1699" s="9"/>
      <c r="AK1699" s="9"/>
      <c r="AL1699" s="9"/>
      <c r="AM1699" s="9"/>
      <c r="AN1699" s="9"/>
      <c r="AO1699" s="9"/>
      <c r="AP1699" s="9"/>
      <c r="AQ1699" s="9"/>
      <c r="AR1699" s="9"/>
      <c r="AS1699" s="9"/>
      <c r="AT1699" s="9"/>
      <c r="AU1699" s="9"/>
      <c r="AV1699" s="9"/>
      <c r="AW1699" s="9"/>
      <c r="AX1699" s="9"/>
      <c r="AY1699" s="9"/>
      <c r="AZ1699" s="9"/>
      <c r="BA1699" s="9"/>
      <c r="BB1699" s="9"/>
      <c r="BC1699" s="9"/>
      <c r="BD1699" s="9"/>
      <c r="BE1699" s="9"/>
      <c r="BF1699" s="9"/>
      <c r="BG1699" s="9"/>
      <c r="BH1699" s="9"/>
      <c r="BI1699" s="9"/>
      <c r="BJ1699" s="9"/>
      <c r="BK1699" s="9"/>
      <c r="BL1699" s="9"/>
      <c r="BM1699" s="9"/>
      <c r="BN1699" s="9"/>
      <c r="BO1699" s="9"/>
      <c r="BP1699" s="9"/>
      <c r="BQ1699" s="9"/>
      <c r="BR1699" s="9"/>
      <c r="BS1699" s="9"/>
      <c r="BT1699" s="9"/>
      <c r="BU1699" s="9"/>
      <c r="BV1699" s="9"/>
      <c r="BW1699" s="9"/>
    </row>
    <row r="1700" spans="1:75" x14ac:dyDescent="0.25">
      <c r="A1700" s="9"/>
      <c r="B1700" s="9"/>
      <c r="C1700" s="9"/>
      <c r="D1700" s="9"/>
      <c r="E1700" s="9"/>
      <c r="F1700" s="9"/>
      <c r="G1700" s="9"/>
      <c r="H1700" s="9"/>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c r="AI1700" s="9"/>
      <c r="AJ1700" s="9"/>
      <c r="AK1700" s="9"/>
      <c r="AL1700" s="9"/>
      <c r="AM1700" s="9"/>
      <c r="AN1700" s="9"/>
      <c r="AO1700" s="9"/>
      <c r="AP1700" s="9"/>
      <c r="AQ1700" s="9"/>
      <c r="AR1700" s="9"/>
      <c r="AS1700" s="9"/>
      <c r="AT1700" s="9"/>
      <c r="AU1700" s="9"/>
      <c r="AV1700" s="9"/>
      <c r="AW1700" s="9"/>
      <c r="AX1700" s="9"/>
      <c r="AY1700" s="9"/>
      <c r="AZ1700" s="9"/>
      <c r="BA1700" s="9"/>
      <c r="BB1700" s="9"/>
      <c r="BC1700" s="9"/>
      <c r="BD1700" s="9"/>
      <c r="BE1700" s="9"/>
      <c r="BF1700" s="9"/>
      <c r="BG1700" s="9"/>
      <c r="BH1700" s="9"/>
      <c r="BI1700" s="9"/>
      <c r="BJ1700" s="9"/>
      <c r="BK1700" s="9"/>
      <c r="BL1700" s="9"/>
      <c r="BM1700" s="9"/>
      <c r="BN1700" s="9"/>
      <c r="BO1700" s="9"/>
      <c r="BP1700" s="9"/>
      <c r="BQ1700" s="9"/>
      <c r="BR1700" s="9"/>
      <c r="BS1700" s="9"/>
      <c r="BT1700" s="9"/>
      <c r="BU1700" s="9"/>
      <c r="BV1700" s="9"/>
      <c r="BW1700" s="9"/>
    </row>
    <row r="1701" spans="1:75" x14ac:dyDescent="0.25">
      <c r="A1701" s="9"/>
      <c r="B1701" s="9"/>
      <c r="C1701" s="9"/>
      <c r="D1701" s="9"/>
      <c r="E1701" s="9"/>
      <c r="F1701" s="9"/>
      <c r="G1701" s="9"/>
      <c r="H1701" s="9"/>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c r="AI1701" s="9"/>
      <c r="AJ1701" s="9"/>
      <c r="AK1701" s="9"/>
      <c r="AL1701" s="9"/>
      <c r="AM1701" s="9"/>
      <c r="AN1701" s="9"/>
      <c r="AO1701" s="9"/>
      <c r="AP1701" s="9"/>
      <c r="AQ1701" s="9"/>
      <c r="AR1701" s="9"/>
      <c r="AS1701" s="9"/>
      <c r="AT1701" s="9"/>
      <c r="AU1701" s="9"/>
      <c r="AV1701" s="9"/>
      <c r="AW1701" s="9"/>
      <c r="AX1701" s="9"/>
      <c r="AY1701" s="9"/>
      <c r="AZ1701" s="9"/>
      <c r="BA1701" s="9"/>
      <c r="BB1701" s="9"/>
      <c r="BC1701" s="9"/>
      <c r="BD1701" s="9"/>
      <c r="BE1701" s="9"/>
      <c r="BF1701" s="9"/>
      <c r="BG1701" s="9"/>
      <c r="BH1701" s="9"/>
      <c r="BI1701" s="9"/>
      <c r="BJ1701" s="9"/>
      <c r="BK1701" s="9"/>
      <c r="BL1701" s="9"/>
      <c r="BM1701" s="9"/>
      <c r="BN1701" s="9"/>
      <c r="BO1701" s="9"/>
      <c r="BP1701" s="9"/>
      <c r="BQ1701" s="9"/>
      <c r="BR1701" s="9"/>
      <c r="BS1701" s="9"/>
      <c r="BT1701" s="9"/>
      <c r="BU1701" s="9"/>
      <c r="BV1701" s="9"/>
      <c r="BW1701" s="9"/>
    </row>
    <row r="1702" spans="1:75" x14ac:dyDescent="0.25">
      <c r="A1702" s="9"/>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c r="AR1702" s="9"/>
      <c r="AS1702" s="9"/>
      <c r="AT1702" s="9"/>
      <c r="AU1702" s="9"/>
      <c r="AV1702" s="9"/>
      <c r="AW1702" s="9"/>
      <c r="AX1702" s="9"/>
      <c r="AY1702" s="9"/>
      <c r="AZ1702" s="9"/>
      <c r="BA1702" s="9"/>
      <c r="BB1702" s="9"/>
      <c r="BC1702" s="9"/>
      <c r="BD1702" s="9"/>
      <c r="BE1702" s="9"/>
      <c r="BF1702" s="9"/>
      <c r="BG1702" s="9"/>
      <c r="BH1702" s="9"/>
      <c r="BI1702" s="9"/>
      <c r="BJ1702" s="9"/>
      <c r="BK1702" s="9"/>
      <c r="BL1702" s="9"/>
      <c r="BM1702" s="9"/>
      <c r="BN1702" s="9"/>
      <c r="BO1702" s="9"/>
      <c r="BP1702" s="9"/>
      <c r="BQ1702" s="9"/>
      <c r="BR1702" s="9"/>
      <c r="BS1702" s="9"/>
      <c r="BT1702" s="9"/>
      <c r="BU1702" s="9"/>
      <c r="BV1702" s="9"/>
      <c r="BW1702" s="9"/>
    </row>
    <row r="1703" spans="1:75" x14ac:dyDescent="0.25">
      <c r="A1703" s="9"/>
      <c r="B1703" s="9"/>
      <c r="C1703" s="9"/>
      <c r="D1703" s="9"/>
      <c r="E1703" s="9"/>
      <c r="F1703" s="9"/>
      <c r="G1703" s="9"/>
      <c r="H1703" s="9"/>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c r="AI1703" s="9"/>
      <c r="AJ1703" s="9"/>
      <c r="AK1703" s="9"/>
      <c r="AL1703" s="9"/>
      <c r="AM1703" s="9"/>
      <c r="AN1703" s="9"/>
      <c r="AO1703" s="9"/>
      <c r="AP1703" s="9"/>
      <c r="AQ1703" s="9"/>
      <c r="AR1703" s="9"/>
      <c r="AS1703" s="9"/>
      <c r="AT1703" s="9"/>
      <c r="AU1703" s="9"/>
      <c r="AV1703" s="9"/>
      <c r="AW1703" s="9"/>
      <c r="AX1703" s="9"/>
      <c r="AY1703" s="9"/>
      <c r="AZ1703" s="9"/>
      <c r="BA1703" s="9"/>
      <c r="BB1703" s="9"/>
      <c r="BC1703" s="9"/>
      <c r="BD1703" s="9"/>
      <c r="BE1703" s="9"/>
      <c r="BF1703" s="9"/>
      <c r="BG1703" s="9"/>
      <c r="BH1703" s="9"/>
      <c r="BI1703" s="9"/>
      <c r="BJ1703" s="9"/>
      <c r="BK1703" s="9"/>
      <c r="BL1703" s="9"/>
      <c r="BM1703" s="9"/>
      <c r="BN1703" s="9"/>
      <c r="BO1703" s="9"/>
      <c r="BP1703" s="9"/>
      <c r="BQ1703" s="9"/>
      <c r="BR1703" s="9"/>
      <c r="BS1703" s="9"/>
      <c r="BT1703" s="9"/>
      <c r="BU1703" s="9"/>
      <c r="BV1703" s="9"/>
      <c r="BW1703" s="9"/>
    </row>
    <row r="1704" spans="1:75" x14ac:dyDescent="0.25">
      <c r="A1704" s="9"/>
      <c r="B1704" s="9"/>
      <c r="C1704" s="9"/>
      <c r="D1704" s="9"/>
      <c r="E1704" s="9"/>
      <c r="F1704" s="9"/>
      <c r="G1704" s="9"/>
      <c r="H1704" s="9"/>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9"/>
      <c r="AL1704" s="9"/>
      <c r="AM1704" s="9"/>
      <c r="AN1704" s="9"/>
      <c r="AO1704" s="9"/>
      <c r="AP1704" s="9"/>
      <c r="AQ1704" s="9"/>
      <c r="AR1704" s="9"/>
      <c r="AS1704" s="9"/>
      <c r="AT1704" s="9"/>
      <c r="AU1704" s="9"/>
      <c r="AV1704" s="9"/>
      <c r="AW1704" s="9"/>
      <c r="AX1704" s="9"/>
      <c r="AY1704" s="9"/>
      <c r="AZ1704" s="9"/>
      <c r="BA1704" s="9"/>
      <c r="BB1704" s="9"/>
      <c r="BC1704" s="9"/>
      <c r="BD1704" s="9"/>
      <c r="BE1704" s="9"/>
      <c r="BF1704" s="9"/>
      <c r="BG1704" s="9"/>
      <c r="BH1704" s="9"/>
      <c r="BI1704" s="9"/>
      <c r="BJ1704" s="9"/>
      <c r="BK1704" s="9"/>
      <c r="BL1704" s="9"/>
      <c r="BM1704" s="9"/>
      <c r="BN1704" s="9"/>
      <c r="BO1704" s="9"/>
      <c r="BP1704" s="9"/>
      <c r="BQ1704" s="9"/>
      <c r="BR1704" s="9"/>
      <c r="BS1704" s="9"/>
      <c r="BT1704" s="9"/>
      <c r="BU1704" s="9"/>
      <c r="BV1704" s="9"/>
      <c r="BW1704" s="9"/>
    </row>
    <row r="1705" spans="1:75" x14ac:dyDescent="0.25">
      <c r="A1705" s="9"/>
      <c r="B1705" s="9"/>
      <c r="C1705" s="9"/>
      <c r="D1705" s="9"/>
      <c r="E1705" s="9"/>
      <c r="F1705" s="9"/>
      <c r="G1705" s="9"/>
      <c r="H1705" s="9"/>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c r="AI1705" s="9"/>
      <c r="AJ1705" s="9"/>
      <c r="AK1705" s="9"/>
      <c r="AL1705" s="9"/>
      <c r="AM1705" s="9"/>
      <c r="AN1705" s="9"/>
      <c r="AO1705" s="9"/>
      <c r="AP1705" s="9"/>
      <c r="AQ1705" s="9"/>
      <c r="AR1705" s="9"/>
      <c r="AS1705" s="9"/>
      <c r="AT1705" s="9"/>
      <c r="AU1705" s="9"/>
      <c r="AV1705" s="9"/>
      <c r="AW1705" s="9"/>
      <c r="AX1705" s="9"/>
      <c r="AY1705" s="9"/>
      <c r="AZ1705" s="9"/>
      <c r="BA1705" s="9"/>
      <c r="BB1705" s="9"/>
      <c r="BC1705" s="9"/>
      <c r="BD1705" s="9"/>
      <c r="BE1705" s="9"/>
      <c r="BF1705" s="9"/>
      <c r="BG1705" s="9"/>
      <c r="BH1705" s="9"/>
      <c r="BI1705" s="9"/>
      <c r="BJ1705" s="9"/>
      <c r="BK1705" s="9"/>
      <c r="BL1705" s="9"/>
      <c r="BM1705" s="9"/>
      <c r="BN1705" s="9"/>
      <c r="BO1705" s="9"/>
      <c r="BP1705" s="9"/>
      <c r="BQ1705" s="9"/>
      <c r="BR1705" s="9"/>
      <c r="BS1705" s="9"/>
      <c r="BT1705" s="9"/>
      <c r="BU1705" s="9"/>
      <c r="BV1705" s="9"/>
      <c r="BW1705" s="9"/>
    </row>
    <row r="1706" spans="1:75" x14ac:dyDescent="0.25">
      <c r="A1706" s="9"/>
      <c r="B1706" s="9"/>
      <c r="C1706" s="9"/>
      <c r="D1706" s="9"/>
      <c r="E1706" s="9"/>
      <c r="F1706" s="9"/>
      <c r="G1706" s="9"/>
      <c r="H1706" s="9"/>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c r="AI1706" s="9"/>
      <c r="AJ1706" s="9"/>
      <c r="AK1706" s="9"/>
      <c r="AL1706" s="9"/>
      <c r="AM1706" s="9"/>
      <c r="AN1706" s="9"/>
      <c r="AO1706" s="9"/>
      <c r="AP1706" s="9"/>
      <c r="AQ1706" s="9"/>
      <c r="AR1706" s="9"/>
      <c r="AS1706" s="9"/>
      <c r="AT1706" s="9"/>
      <c r="AU1706" s="9"/>
      <c r="AV1706" s="9"/>
      <c r="AW1706" s="9"/>
      <c r="AX1706" s="9"/>
      <c r="AY1706" s="9"/>
      <c r="AZ1706" s="9"/>
      <c r="BA1706" s="9"/>
      <c r="BB1706" s="9"/>
      <c r="BC1706" s="9"/>
      <c r="BD1706" s="9"/>
      <c r="BE1706" s="9"/>
      <c r="BF1706" s="9"/>
      <c r="BG1706" s="9"/>
      <c r="BH1706" s="9"/>
      <c r="BI1706" s="9"/>
      <c r="BJ1706" s="9"/>
      <c r="BK1706" s="9"/>
      <c r="BL1706" s="9"/>
      <c r="BM1706" s="9"/>
      <c r="BN1706" s="9"/>
      <c r="BO1706" s="9"/>
      <c r="BP1706" s="9"/>
      <c r="BQ1706" s="9"/>
      <c r="BR1706" s="9"/>
      <c r="BS1706" s="9"/>
      <c r="BT1706" s="9"/>
      <c r="BU1706" s="9"/>
      <c r="BV1706" s="9"/>
      <c r="BW1706" s="9"/>
    </row>
    <row r="1707" spans="1:75" x14ac:dyDescent="0.25">
      <c r="A1707" s="9"/>
      <c r="B1707" s="9"/>
      <c r="C1707" s="9"/>
      <c r="D1707" s="9"/>
      <c r="E1707" s="9"/>
      <c r="F1707" s="9"/>
      <c r="G1707" s="9"/>
      <c r="H1707" s="9"/>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c r="AI1707" s="9"/>
      <c r="AJ1707" s="9"/>
      <c r="AK1707" s="9"/>
      <c r="AL1707" s="9"/>
      <c r="AM1707" s="9"/>
      <c r="AN1707" s="9"/>
      <c r="AO1707" s="9"/>
      <c r="AP1707" s="9"/>
      <c r="AQ1707" s="9"/>
      <c r="AR1707" s="9"/>
      <c r="AS1707" s="9"/>
      <c r="AT1707" s="9"/>
      <c r="AU1707" s="9"/>
      <c r="AV1707" s="9"/>
      <c r="AW1707" s="9"/>
      <c r="AX1707" s="9"/>
      <c r="AY1707" s="9"/>
      <c r="AZ1707" s="9"/>
      <c r="BA1707" s="9"/>
      <c r="BB1707" s="9"/>
      <c r="BC1707" s="9"/>
      <c r="BD1707" s="9"/>
      <c r="BE1707" s="9"/>
      <c r="BF1707" s="9"/>
      <c r="BG1707" s="9"/>
      <c r="BH1707" s="9"/>
      <c r="BI1707" s="9"/>
      <c r="BJ1707" s="9"/>
      <c r="BK1707" s="9"/>
      <c r="BL1707" s="9"/>
      <c r="BM1707" s="9"/>
      <c r="BN1707" s="9"/>
      <c r="BO1707" s="9"/>
      <c r="BP1707" s="9"/>
      <c r="BQ1707" s="9"/>
      <c r="BR1707" s="9"/>
      <c r="BS1707" s="9"/>
      <c r="BT1707" s="9"/>
      <c r="BU1707" s="9"/>
      <c r="BV1707" s="9"/>
      <c r="BW1707" s="9"/>
    </row>
    <row r="1708" spans="1:75" x14ac:dyDescent="0.25">
      <c r="A1708" s="9"/>
      <c r="B1708" s="9"/>
      <c r="C1708" s="9"/>
      <c r="D1708" s="9"/>
      <c r="E1708" s="9"/>
      <c r="F1708" s="9"/>
      <c r="G1708" s="9"/>
      <c r="H1708" s="9"/>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c r="AI1708" s="9"/>
      <c r="AJ1708" s="9"/>
      <c r="AK1708" s="9"/>
      <c r="AL1708" s="9"/>
      <c r="AM1708" s="9"/>
      <c r="AN1708" s="9"/>
      <c r="AO1708" s="9"/>
      <c r="AP1708" s="9"/>
      <c r="AQ1708" s="9"/>
      <c r="AR1708" s="9"/>
      <c r="AS1708" s="9"/>
      <c r="AT1708" s="9"/>
      <c r="AU1708" s="9"/>
      <c r="AV1708" s="9"/>
      <c r="AW1708" s="9"/>
      <c r="AX1708" s="9"/>
      <c r="AY1708" s="9"/>
      <c r="AZ1708" s="9"/>
      <c r="BA1708" s="9"/>
      <c r="BB1708" s="9"/>
      <c r="BC1708" s="9"/>
      <c r="BD1708" s="9"/>
      <c r="BE1708" s="9"/>
      <c r="BF1708" s="9"/>
      <c r="BG1708" s="9"/>
      <c r="BH1708" s="9"/>
      <c r="BI1708" s="9"/>
      <c r="BJ1708" s="9"/>
      <c r="BK1708" s="9"/>
      <c r="BL1708" s="9"/>
      <c r="BM1708" s="9"/>
      <c r="BN1708" s="9"/>
      <c r="BO1708" s="9"/>
      <c r="BP1708" s="9"/>
      <c r="BQ1708" s="9"/>
      <c r="BR1708" s="9"/>
      <c r="BS1708" s="9"/>
      <c r="BT1708" s="9"/>
      <c r="BU1708" s="9"/>
      <c r="BV1708" s="9"/>
      <c r="BW1708" s="9"/>
    </row>
    <row r="1709" spans="1:75" x14ac:dyDescent="0.25">
      <c r="A1709" s="9"/>
      <c r="B1709" s="9"/>
      <c r="C1709" s="9"/>
      <c r="D1709" s="9"/>
      <c r="E1709" s="9"/>
      <c r="F1709" s="9"/>
      <c r="G1709" s="9"/>
      <c r="H1709" s="9"/>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c r="AI1709" s="9"/>
      <c r="AJ1709" s="9"/>
      <c r="AK1709" s="9"/>
      <c r="AL1709" s="9"/>
      <c r="AM1709" s="9"/>
      <c r="AN1709" s="9"/>
      <c r="AO1709" s="9"/>
      <c r="AP1709" s="9"/>
      <c r="AQ1709" s="9"/>
      <c r="AR1709" s="9"/>
      <c r="AS1709" s="9"/>
      <c r="AT1709" s="9"/>
      <c r="AU1709" s="9"/>
      <c r="AV1709" s="9"/>
      <c r="AW1709" s="9"/>
      <c r="AX1709" s="9"/>
      <c r="AY1709" s="9"/>
      <c r="AZ1709" s="9"/>
      <c r="BA1709" s="9"/>
      <c r="BB1709" s="9"/>
      <c r="BC1709" s="9"/>
      <c r="BD1709" s="9"/>
      <c r="BE1709" s="9"/>
      <c r="BF1709" s="9"/>
      <c r="BG1709" s="9"/>
      <c r="BH1709" s="9"/>
      <c r="BI1709" s="9"/>
      <c r="BJ1709" s="9"/>
      <c r="BK1709" s="9"/>
      <c r="BL1709" s="9"/>
      <c r="BM1709" s="9"/>
      <c r="BN1709" s="9"/>
      <c r="BO1709" s="9"/>
      <c r="BP1709" s="9"/>
      <c r="BQ1709" s="9"/>
      <c r="BR1709" s="9"/>
      <c r="BS1709" s="9"/>
      <c r="BT1709" s="9"/>
      <c r="BU1709" s="9"/>
      <c r="BV1709" s="9"/>
      <c r="BW1709" s="9"/>
    </row>
    <row r="1710" spans="1:75" x14ac:dyDescent="0.25">
      <c r="A1710" s="9"/>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c r="AO1710" s="9"/>
      <c r="AP1710" s="9"/>
      <c r="AQ1710" s="9"/>
      <c r="AR1710" s="9"/>
      <c r="AS1710" s="9"/>
      <c r="AT1710" s="9"/>
      <c r="AU1710" s="9"/>
      <c r="AV1710" s="9"/>
      <c r="AW1710" s="9"/>
      <c r="AX1710" s="9"/>
      <c r="AY1710" s="9"/>
      <c r="AZ1710" s="9"/>
      <c r="BA1710" s="9"/>
      <c r="BB1710" s="9"/>
      <c r="BC1710" s="9"/>
      <c r="BD1710" s="9"/>
      <c r="BE1710" s="9"/>
      <c r="BF1710" s="9"/>
      <c r="BG1710" s="9"/>
      <c r="BH1710" s="9"/>
      <c r="BI1710" s="9"/>
      <c r="BJ1710" s="9"/>
      <c r="BK1710" s="9"/>
      <c r="BL1710" s="9"/>
      <c r="BM1710" s="9"/>
      <c r="BN1710" s="9"/>
      <c r="BO1710" s="9"/>
      <c r="BP1710" s="9"/>
      <c r="BQ1710" s="9"/>
      <c r="BR1710" s="9"/>
      <c r="BS1710" s="9"/>
      <c r="BT1710" s="9"/>
      <c r="BU1710" s="9"/>
      <c r="BV1710" s="9"/>
      <c r="BW1710" s="9"/>
    </row>
    <row r="1711" spans="1:75" x14ac:dyDescent="0.25">
      <c r="A1711" s="9"/>
      <c r="B1711" s="9"/>
      <c r="C1711" s="9"/>
      <c r="D1711" s="9"/>
      <c r="E1711" s="9"/>
      <c r="F1711" s="9"/>
      <c r="G1711" s="9"/>
      <c r="H1711" s="9"/>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c r="AI1711" s="9"/>
      <c r="AJ1711" s="9"/>
      <c r="AK1711" s="9"/>
      <c r="AL1711" s="9"/>
      <c r="AM1711" s="9"/>
      <c r="AN1711" s="9"/>
      <c r="AO1711" s="9"/>
      <c r="AP1711" s="9"/>
      <c r="AQ1711" s="9"/>
      <c r="AR1711" s="9"/>
      <c r="AS1711" s="9"/>
      <c r="AT1711" s="9"/>
      <c r="AU1711" s="9"/>
      <c r="AV1711" s="9"/>
      <c r="AW1711" s="9"/>
      <c r="AX1711" s="9"/>
      <c r="AY1711" s="9"/>
      <c r="AZ1711" s="9"/>
      <c r="BA1711" s="9"/>
      <c r="BB1711" s="9"/>
      <c r="BC1711" s="9"/>
      <c r="BD1711" s="9"/>
      <c r="BE1711" s="9"/>
      <c r="BF1711" s="9"/>
      <c r="BG1711" s="9"/>
      <c r="BH1711" s="9"/>
      <c r="BI1711" s="9"/>
      <c r="BJ1711" s="9"/>
      <c r="BK1711" s="9"/>
      <c r="BL1711" s="9"/>
      <c r="BM1711" s="9"/>
      <c r="BN1711" s="9"/>
      <c r="BO1711" s="9"/>
      <c r="BP1711" s="9"/>
      <c r="BQ1711" s="9"/>
      <c r="BR1711" s="9"/>
      <c r="BS1711" s="9"/>
      <c r="BT1711" s="9"/>
      <c r="BU1711" s="9"/>
      <c r="BV1711" s="9"/>
      <c r="BW1711" s="9"/>
    </row>
    <row r="1712" spans="1:75" x14ac:dyDescent="0.25">
      <c r="A1712" s="9"/>
      <c r="B1712" s="9"/>
      <c r="C1712" s="9"/>
      <c r="D1712" s="9"/>
      <c r="E1712" s="9"/>
      <c r="F1712" s="9"/>
      <c r="G1712" s="9"/>
      <c r="H1712" s="9"/>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c r="AQ1712" s="9"/>
      <c r="AR1712" s="9"/>
      <c r="AS1712" s="9"/>
      <c r="AT1712" s="9"/>
      <c r="AU1712" s="9"/>
      <c r="AV1712" s="9"/>
      <c r="AW1712" s="9"/>
      <c r="AX1712" s="9"/>
      <c r="AY1712" s="9"/>
      <c r="AZ1712" s="9"/>
      <c r="BA1712" s="9"/>
      <c r="BB1712" s="9"/>
      <c r="BC1712" s="9"/>
      <c r="BD1712" s="9"/>
      <c r="BE1712" s="9"/>
      <c r="BF1712" s="9"/>
      <c r="BG1712" s="9"/>
      <c r="BH1712" s="9"/>
      <c r="BI1712" s="9"/>
      <c r="BJ1712" s="9"/>
      <c r="BK1712" s="9"/>
      <c r="BL1712" s="9"/>
      <c r="BM1712" s="9"/>
      <c r="BN1712" s="9"/>
      <c r="BO1712" s="9"/>
      <c r="BP1712" s="9"/>
      <c r="BQ1712" s="9"/>
      <c r="BR1712" s="9"/>
      <c r="BS1712" s="9"/>
      <c r="BT1712" s="9"/>
      <c r="BU1712" s="9"/>
      <c r="BV1712" s="9"/>
      <c r="BW1712" s="9"/>
    </row>
    <row r="1713" spans="1:75" x14ac:dyDescent="0.25">
      <c r="A1713" s="9"/>
      <c r="B1713" s="9"/>
      <c r="C1713" s="9"/>
      <c r="D1713" s="9"/>
      <c r="E1713" s="9"/>
      <c r="F1713" s="9"/>
      <c r="G1713" s="9"/>
      <c r="H1713" s="9"/>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c r="AY1713" s="9"/>
      <c r="AZ1713" s="9"/>
      <c r="BA1713" s="9"/>
      <c r="BB1713" s="9"/>
      <c r="BC1713" s="9"/>
      <c r="BD1713" s="9"/>
      <c r="BE1713" s="9"/>
      <c r="BF1713" s="9"/>
      <c r="BG1713" s="9"/>
      <c r="BH1713" s="9"/>
      <c r="BI1713" s="9"/>
      <c r="BJ1713" s="9"/>
      <c r="BK1713" s="9"/>
      <c r="BL1713" s="9"/>
      <c r="BM1713" s="9"/>
      <c r="BN1713" s="9"/>
      <c r="BO1713" s="9"/>
      <c r="BP1713" s="9"/>
      <c r="BQ1713" s="9"/>
      <c r="BR1713" s="9"/>
      <c r="BS1713" s="9"/>
      <c r="BT1713" s="9"/>
      <c r="BU1713" s="9"/>
      <c r="BV1713" s="9"/>
      <c r="BW1713" s="9"/>
    </row>
    <row r="1714" spans="1:75" x14ac:dyDescent="0.25">
      <c r="A1714" s="9"/>
      <c r="B1714" s="9"/>
      <c r="C1714" s="9"/>
      <c r="D1714" s="9"/>
      <c r="E1714" s="9"/>
      <c r="F1714" s="9"/>
      <c r="G1714" s="9"/>
      <c r="H1714" s="9"/>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c r="AS1714" s="9"/>
      <c r="AT1714" s="9"/>
      <c r="AU1714" s="9"/>
      <c r="AV1714" s="9"/>
      <c r="AW1714" s="9"/>
      <c r="AX1714" s="9"/>
      <c r="AY1714" s="9"/>
      <c r="AZ1714" s="9"/>
      <c r="BA1714" s="9"/>
      <c r="BB1714" s="9"/>
      <c r="BC1714" s="9"/>
      <c r="BD1714" s="9"/>
      <c r="BE1714" s="9"/>
      <c r="BF1714" s="9"/>
      <c r="BG1714" s="9"/>
      <c r="BH1714" s="9"/>
      <c r="BI1714" s="9"/>
      <c r="BJ1714" s="9"/>
      <c r="BK1714" s="9"/>
      <c r="BL1714" s="9"/>
      <c r="BM1714" s="9"/>
      <c r="BN1714" s="9"/>
      <c r="BO1714" s="9"/>
      <c r="BP1714" s="9"/>
      <c r="BQ1714" s="9"/>
      <c r="BR1714" s="9"/>
      <c r="BS1714" s="9"/>
      <c r="BT1714" s="9"/>
      <c r="BU1714" s="9"/>
      <c r="BV1714" s="9"/>
      <c r="BW1714" s="9"/>
    </row>
    <row r="1715" spans="1:75" x14ac:dyDescent="0.25">
      <c r="A1715" s="9"/>
      <c r="B1715" s="9"/>
      <c r="C1715" s="9"/>
      <c r="D1715" s="9"/>
      <c r="E1715" s="9"/>
      <c r="F1715" s="9"/>
      <c r="G1715" s="9"/>
      <c r="H1715" s="9"/>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c r="AQ1715" s="9"/>
      <c r="AR1715" s="9"/>
      <c r="AS1715" s="9"/>
      <c r="AT1715" s="9"/>
      <c r="AU1715" s="9"/>
      <c r="AV1715" s="9"/>
      <c r="AW1715" s="9"/>
      <c r="AX1715" s="9"/>
      <c r="AY1715" s="9"/>
      <c r="AZ1715" s="9"/>
      <c r="BA1715" s="9"/>
      <c r="BB1715" s="9"/>
      <c r="BC1715" s="9"/>
      <c r="BD1715" s="9"/>
      <c r="BE1715" s="9"/>
      <c r="BF1715" s="9"/>
      <c r="BG1715" s="9"/>
      <c r="BH1715" s="9"/>
      <c r="BI1715" s="9"/>
      <c r="BJ1715" s="9"/>
      <c r="BK1715" s="9"/>
      <c r="BL1715" s="9"/>
      <c r="BM1715" s="9"/>
      <c r="BN1715" s="9"/>
      <c r="BO1715" s="9"/>
      <c r="BP1715" s="9"/>
      <c r="BQ1715" s="9"/>
      <c r="BR1715" s="9"/>
      <c r="BS1715" s="9"/>
      <c r="BT1715" s="9"/>
      <c r="BU1715" s="9"/>
      <c r="BV1715" s="9"/>
      <c r="BW1715" s="9"/>
    </row>
    <row r="1716" spans="1:75" x14ac:dyDescent="0.25">
      <c r="A1716" s="9"/>
      <c r="B1716" s="9"/>
      <c r="C1716" s="9"/>
      <c r="D1716" s="9"/>
      <c r="E1716" s="9"/>
      <c r="F1716" s="9"/>
      <c r="G1716" s="9"/>
      <c r="H1716" s="9"/>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c r="AQ1716" s="9"/>
      <c r="AR1716" s="9"/>
      <c r="AS1716" s="9"/>
      <c r="AT1716" s="9"/>
      <c r="AU1716" s="9"/>
      <c r="AV1716" s="9"/>
      <c r="AW1716" s="9"/>
      <c r="AX1716" s="9"/>
      <c r="AY1716" s="9"/>
      <c r="AZ1716" s="9"/>
      <c r="BA1716" s="9"/>
      <c r="BB1716" s="9"/>
      <c r="BC1716" s="9"/>
      <c r="BD1716" s="9"/>
      <c r="BE1716" s="9"/>
      <c r="BF1716" s="9"/>
      <c r="BG1716" s="9"/>
      <c r="BH1716" s="9"/>
      <c r="BI1716" s="9"/>
      <c r="BJ1716" s="9"/>
      <c r="BK1716" s="9"/>
      <c r="BL1716" s="9"/>
      <c r="BM1716" s="9"/>
      <c r="BN1716" s="9"/>
      <c r="BO1716" s="9"/>
      <c r="BP1716" s="9"/>
      <c r="BQ1716" s="9"/>
      <c r="BR1716" s="9"/>
      <c r="BS1716" s="9"/>
      <c r="BT1716" s="9"/>
      <c r="BU1716" s="9"/>
      <c r="BV1716" s="9"/>
      <c r="BW1716" s="9"/>
    </row>
    <row r="1717" spans="1:75" x14ac:dyDescent="0.25">
      <c r="A1717" s="9"/>
      <c r="B1717" s="9"/>
      <c r="C1717" s="9"/>
      <c r="D1717" s="9"/>
      <c r="E1717" s="9"/>
      <c r="F1717" s="9"/>
      <c r="G1717" s="9"/>
      <c r="H1717" s="9"/>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c r="AQ1717" s="9"/>
      <c r="AR1717" s="9"/>
      <c r="AS1717" s="9"/>
      <c r="AT1717" s="9"/>
      <c r="AU1717" s="9"/>
      <c r="AV1717" s="9"/>
      <c r="AW1717" s="9"/>
      <c r="AX1717" s="9"/>
      <c r="AY1717" s="9"/>
      <c r="AZ1717" s="9"/>
      <c r="BA1717" s="9"/>
      <c r="BB1717" s="9"/>
      <c r="BC1717" s="9"/>
      <c r="BD1717" s="9"/>
      <c r="BE1717" s="9"/>
      <c r="BF1717" s="9"/>
      <c r="BG1717" s="9"/>
      <c r="BH1717" s="9"/>
      <c r="BI1717" s="9"/>
      <c r="BJ1717" s="9"/>
      <c r="BK1717" s="9"/>
      <c r="BL1717" s="9"/>
      <c r="BM1717" s="9"/>
      <c r="BN1717" s="9"/>
      <c r="BO1717" s="9"/>
      <c r="BP1717" s="9"/>
      <c r="BQ1717" s="9"/>
      <c r="BR1717" s="9"/>
      <c r="BS1717" s="9"/>
      <c r="BT1717" s="9"/>
      <c r="BU1717" s="9"/>
      <c r="BV1717" s="9"/>
      <c r="BW1717" s="9"/>
    </row>
    <row r="1718" spans="1:75" x14ac:dyDescent="0.25">
      <c r="A1718" s="9"/>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c r="AS1718" s="9"/>
      <c r="AT1718" s="9"/>
      <c r="AU1718" s="9"/>
      <c r="AV1718" s="9"/>
      <c r="AW1718" s="9"/>
      <c r="AX1718" s="9"/>
      <c r="AY1718" s="9"/>
      <c r="AZ1718" s="9"/>
      <c r="BA1718" s="9"/>
      <c r="BB1718" s="9"/>
      <c r="BC1718" s="9"/>
      <c r="BD1718" s="9"/>
      <c r="BE1718" s="9"/>
      <c r="BF1718" s="9"/>
      <c r="BG1718" s="9"/>
      <c r="BH1718" s="9"/>
      <c r="BI1718" s="9"/>
      <c r="BJ1718" s="9"/>
      <c r="BK1718" s="9"/>
      <c r="BL1718" s="9"/>
      <c r="BM1718" s="9"/>
      <c r="BN1718" s="9"/>
      <c r="BO1718" s="9"/>
      <c r="BP1718" s="9"/>
      <c r="BQ1718" s="9"/>
      <c r="BR1718" s="9"/>
      <c r="BS1718" s="9"/>
      <c r="BT1718" s="9"/>
      <c r="BU1718" s="9"/>
      <c r="BV1718" s="9"/>
      <c r="BW1718" s="9"/>
    </row>
    <row r="1719" spans="1:75" x14ac:dyDescent="0.25">
      <c r="A1719" s="9"/>
      <c r="B1719" s="9"/>
      <c r="C1719" s="9"/>
      <c r="D1719" s="9"/>
      <c r="E1719" s="9"/>
      <c r="F1719" s="9"/>
      <c r="G1719" s="9"/>
      <c r="H1719" s="9"/>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c r="AQ1719" s="9"/>
      <c r="AR1719" s="9"/>
      <c r="AS1719" s="9"/>
      <c r="AT1719" s="9"/>
      <c r="AU1719" s="9"/>
      <c r="AV1719" s="9"/>
      <c r="AW1719" s="9"/>
      <c r="AX1719" s="9"/>
      <c r="AY1719" s="9"/>
      <c r="AZ1719" s="9"/>
      <c r="BA1719" s="9"/>
      <c r="BB1719" s="9"/>
      <c r="BC1719" s="9"/>
      <c r="BD1719" s="9"/>
      <c r="BE1719" s="9"/>
      <c r="BF1719" s="9"/>
      <c r="BG1719" s="9"/>
      <c r="BH1719" s="9"/>
      <c r="BI1719" s="9"/>
      <c r="BJ1719" s="9"/>
      <c r="BK1719" s="9"/>
      <c r="BL1719" s="9"/>
      <c r="BM1719" s="9"/>
      <c r="BN1719" s="9"/>
      <c r="BO1719" s="9"/>
      <c r="BP1719" s="9"/>
      <c r="BQ1719" s="9"/>
      <c r="BR1719" s="9"/>
      <c r="BS1719" s="9"/>
      <c r="BT1719" s="9"/>
      <c r="BU1719" s="9"/>
      <c r="BV1719" s="9"/>
      <c r="BW1719" s="9"/>
    </row>
    <row r="1720" spans="1:75" x14ac:dyDescent="0.25">
      <c r="A1720" s="9"/>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c r="AQ1720" s="9"/>
      <c r="AR1720" s="9"/>
      <c r="AS1720" s="9"/>
      <c r="AT1720" s="9"/>
      <c r="AU1720" s="9"/>
      <c r="AV1720" s="9"/>
      <c r="AW1720" s="9"/>
      <c r="AX1720" s="9"/>
      <c r="AY1720" s="9"/>
      <c r="AZ1720" s="9"/>
      <c r="BA1720" s="9"/>
      <c r="BB1720" s="9"/>
      <c r="BC1720" s="9"/>
      <c r="BD1720" s="9"/>
      <c r="BE1720" s="9"/>
      <c r="BF1720" s="9"/>
      <c r="BG1720" s="9"/>
      <c r="BH1720" s="9"/>
      <c r="BI1720" s="9"/>
      <c r="BJ1720" s="9"/>
      <c r="BK1720" s="9"/>
      <c r="BL1720" s="9"/>
      <c r="BM1720" s="9"/>
      <c r="BN1720" s="9"/>
      <c r="BO1720" s="9"/>
      <c r="BP1720" s="9"/>
      <c r="BQ1720" s="9"/>
      <c r="BR1720" s="9"/>
      <c r="BS1720" s="9"/>
      <c r="BT1720" s="9"/>
      <c r="BU1720" s="9"/>
      <c r="BV1720" s="9"/>
      <c r="BW1720" s="9"/>
    </row>
    <row r="1721" spans="1:75" x14ac:dyDescent="0.25">
      <c r="A1721" s="9"/>
      <c r="B1721" s="9"/>
      <c r="C1721" s="9"/>
      <c r="D1721" s="9"/>
      <c r="E1721" s="9"/>
      <c r="F1721" s="9"/>
      <c r="G1721" s="9"/>
      <c r="H1721" s="9"/>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c r="AQ1721" s="9"/>
      <c r="AR1721" s="9"/>
      <c r="AS1721" s="9"/>
      <c r="AT1721" s="9"/>
      <c r="AU1721" s="9"/>
      <c r="AV1721" s="9"/>
      <c r="AW1721" s="9"/>
      <c r="AX1721" s="9"/>
      <c r="AY1721" s="9"/>
      <c r="AZ1721" s="9"/>
      <c r="BA1721" s="9"/>
      <c r="BB1721" s="9"/>
      <c r="BC1721" s="9"/>
      <c r="BD1721" s="9"/>
      <c r="BE1721" s="9"/>
      <c r="BF1721" s="9"/>
      <c r="BG1721" s="9"/>
      <c r="BH1721" s="9"/>
      <c r="BI1721" s="9"/>
      <c r="BJ1721" s="9"/>
      <c r="BK1721" s="9"/>
      <c r="BL1721" s="9"/>
      <c r="BM1721" s="9"/>
      <c r="BN1721" s="9"/>
      <c r="BO1721" s="9"/>
      <c r="BP1721" s="9"/>
      <c r="BQ1721" s="9"/>
      <c r="BR1721" s="9"/>
      <c r="BS1721" s="9"/>
      <c r="BT1721" s="9"/>
      <c r="BU1721" s="9"/>
      <c r="BV1721" s="9"/>
      <c r="BW1721" s="9"/>
    </row>
    <row r="1722" spans="1:75" x14ac:dyDescent="0.25">
      <c r="A1722" s="9"/>
      <c r="B1722" s="9"/>
      <c r="C1722" s="9"/>
      <c r="D1722" s="9"/>
      <c r="E1722" s="9"/>
      <c r="F1722" s="9"/>
      <c r="G1722" s="9"/>
      <c r="H1722" s="9"/>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c r="AQ1722" s="9"/>
      <c r="AR1722" s="9"/>
      <c r="AS1722" s="9"/>
      <c r="AT1722" s="9"/>
      <c r="AU1722" s="9"/>
      <c r="AV1722" s="9"/>
      <c r="AW1722" s="9"/>
      <c r="AX1722" s="9"/>
      <c r="AY1722" s="9"/>
      <c r="AZ1722" s="9"/>
      <c r="BA1722" s="9"/>
      <c r="BB1722" s="9"/>
      <c r="BC1722" s="9"/>
      <c r="BD1722" s="9"/>
      <c r="BE1722" s="9"/>
      <c r="BF1722" s="9"/>
      <c r="BG1722" s="9"/>
      <c r="BH1722" s="9"/>
      <c r="BI1722" s="9"/>
      <c r="BJ1722" s="9"/>
      <c r="BK1722" s="9"/>
      <c r="BL1722" s="9"/>
      <c r="BM1722" s="9"/>
      <c r="BN1722" s="9"/>
      <c r="BO1722" s="9"/>
      <c r="BP1722" s="9"/>
      <c r="BQ1722" s="9"/>
      <c r="BR1722" s="9"/>
      <c r="BS1722" s="9"/>
      <c r="BT1722" s="9"/>
      <c r="BU1722" s="9"/>
      <c r="BV1722" s="9"/>
      <c r="BW1722" s="9"/>
    </row>
    <row r="1723" spans="1:75" x14ac:dyDescent="0.25">
      <c r="A1723" s="9"/>
      <c r="B1723" s="9"/>
      <c r="C1723" s="9"/>
      <c r="D1723" s="9"/>
      <c r="E1723" s="9"/>
      <c r="F1723" s="9"/>
      <c r="G1723" s="9"/>
      <c r="H1723" s="9"/>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c r="AQ1723" s="9"/>
      <c r="AR1723" s="9"/>
      <c r="AS1723" s="9"/>
      <c r="AT1723" s="9"/>
      <c r="AU1723" s="9"/>
      <c r="AV1723" s="9"/>
      <c r="AW1723" s="9"/>
      <c r="AX1723" s="9"/>
      <c r="AY1723" s="9"/>
      <c r="AZ1723" s="9"/>
      <c r="BA1723" s="9"/>
      <c r="BB1723" s="9"/>
      <c r="BC1723" s="9"/>
      <c r="BD1723" s="9"/>
      <c r="BE1723" s="9"/>
      <c r="BF1723" s="9"/>
      <c r="BG1723" s="9"/>
      <c r="BH1723" s="9"/>
      <c r="BI1723" s="9"/>
      <c r="BJ1723" s="9"/>
      <c r="BK1723" s="9"/>
      <c r="BL1723" s="9"/>
      <c r="BM1723" s="9"/>
      <c r="BN1723" s="9"/>
      <c r="BO1723" s="9"/>
      <c r="BP1723" s="9"/>
      <c r="BQ1723" s="9"/>
      <c r="BR1723" s="9"/>
      <c r="BS1723" s="9"/>
      <c r="BT1723" s="9"/>
      <c r="BU1723" s="9"/>
      <c r="BV1723" s="9"/>
      <c r="BW1723" s="9"/>
    </row>
    <row r="1724" spans="1:75" x14ac:dyDescent="0.25">
      <c r="A1724" s="9"/>
      <c r="B1724" s="9"/>
      <c r="C1724" s="9"/>
      <c r="D1724" s="9"/>
      <c r="E1724" s="9"/>
      <c r="F1724" s="9"/>
      <c r="G1724" s="9"/>
      <c r="H1724" s="9"/>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c r="AQ1724" s="9"/>
      <c r="AR1724" s="9"/>
      <c r="AS1724" s="9"/>
      <c r="AT1724" s="9"/>
      <c r="AU1724" s="9"/>
      <c r="AV1724" s="9"/>
      <c r="AW1724" s="9"/>
      <c r="AX1724" s="9"/>
      <c r="AY1724" s="9"/>
      <c r="AZ1724" s="9"/>
      <c r="BA1724" s="9"/>
      <c r="BB1724" s="9"/>
      <c r="BC1724" s="9"/>
      <c r="BD1724" s="9"/>
      <c r="BE1724" s="9"/>
      <c r="BF1724" s="9"/>
      <c r="BG1724" s="9"/>
      <c r="BH1724" s="9"/>
      <c r="BI1724" s="9"/>
      <c r="BJ1724" s="9"/>
      <c r="BK1724" s="9"/>
      <c r="BL1724" s="9"/>
      <c r="BM1724" s="9"/>
      <c r="BN1724" s="9"/>
      <c r="BO1724" s="9"/>
      <c r="BP1724" s="9"/>
      <c r="BQ1724" s="9"/>
      <c r="BR1724" s="9"/>
      <c r="BS1724" s="9"/>
      <c r="BT1724" s="9"/>
      <c r="BU1724" s="9"/>
      <c r="BV1724" s="9"/>
      <c r="BW1724" s="9"/>
    </row>
    <row r="1725" spans="1:75" x14ac:dyDescent="0.25">
      <c r="A1725" s="9"/>
      <c r="B1725" s="9"/>
      <c r="C1725" s="9"/>
      <c r="D1725" s="9"/>
      <c r="E1725" s="9"/>
      <c r="F1725" s="9"/>
      <c r="G1725" s="9"/>
      <c r="H1725" s="9"/>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c r="AQ1725" s="9"/>
      <c r="AR1725" s="9"/>
      <c r="AS1725" s="9"/>
      <c r="AT1725" s="9"/>
      <c r="AU1725" s="9"/>
      <c r="AV1725" s="9"/>
      <c r="AW1725" s="9"/>
      <c r="AX1725" s="9"/>
      <c r="AY1725" s="9"/>
      <c r="AZ1725" s="9"/>
      <c r="BA1725" s="9"/>
      <c r="BB1725" s="9"/>
      <c r="BC1725" s="9"/>
      <c r="BD1725" s="9"/>
      <c r="BE1725" s="9"/>
      <c r="BF1725" s="9"/>
      <c r="BG1725" s="9"/>
      <c r="BH1725" s="9"/>
      <c r="BI1725" s="9"/>
      <c r="BJ1725" s="9"/>
      <c r="BK1725" s="9"/>
      <c r="BL1725" s="9"/>
      <c r="BM1725" s="9"/>
      <c r="BN1725" s="9"/>
      <c r="BO1725" s="9"/>
      <c r="BP1725" s="9"/>
      <c r="BQ1725" s="9"/>
      <c r="BR1725" s="9"/>
      <c r="BS1725" s="9"/>
      <c r="BT1725" s="9"/>
      <c r="BU1725" s="9"/>
      <c r="BV1725" s="9"/>
      <c r="BW1725" s="9"/>
    </row>
    <row r="1726" spans="1:75" x14ac:dyDescent="0.25">
      <c r="A1726" s="9"/>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c r="AS1726" s="9"/>
      <c r="AT1726" s="9"/>
      <c r="AU1726" s="9"/>
      <c r="AV1726" s="9"/>
      <c r="AW1726" s="9"/>
      <c r="AX1726" s="9"/>
      <c r="AY1726" s="9"/>
      <c r="AZ1726" s="9"/>
      <c r="BA1726" s="9"/>
      <c r="BB1726" s="9"/>
      <c r="BC1726" s="9"/>
      <c r="BD1726" s="9"/>
      <c r="BE1726" s="9"/>
      <c r="BF1726" s="9"/>
      <c r="BG1726" s="9"/>
      <c r="BH1726" s="9"/>
      <c r="BI1726" s="9"/>
      <c r="BJ1726" s="9"/>
      <c r="BK1726" s="9"/>
      <c r="BL1726" s="9"/>
      <c r="BM1726" s="9"/>
      <c r="BN1726" s="9"/>
      <c r="BO1726" s="9"/>
      <c r="BP1726" s="9"/>
      <c r="BQ1726" s="9"/>
      <c r="BR1726" s="9"/>
      <c r="BS1726" s="9"/>
      <c r="BT1726" s="9"/>
      <c r="BU1726" s="9"/>
      <c r="BV1726" s="9"/>
      <c r="BW1726" s="9"/>
    </row>
    <row r="1727" spans="1:75" x14ac:dyDescent="0.25">
      <c r="A1727" s="9"/>
      <c r="B1727" s="9"/>
      <c r="C1727" s="9"/>
      <c r="D1727" s="9"/>
      <c r="E1727" s="9"/>
      <c r="F1727" s="9"/>
      <c r="G1727" s="9"/>
      <c r="H1727" s="9"/>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c r="AS1727" s="9"/>
      <c r="AT1727" s="9"/>
      <c r="AU1727" s="9"/>
      <c r="AV1727" s="9"/>
      <c r="AW1727" s="9"/>
      <c r="AX1727" s="9"/>
      <c r="AY1727" s="9"/>
      <c r="AZ1727" s="9"/>
      <c r="BA1727" s="9"/>
      <c r="BB1727" s="9"/>
      <c r="BC1727" s="9"/>
      <c r="BD1727" s="9"/>
      <c r="BE1727" s="9"/>
      <c r="BF1727" s="9"/>
      <c r="BG1727" s="9"/>
      <c r="BH1727" s="9"/>
      <c r="BI1727" s="9"/>
      <c r="BJ1727" s="9"/>
      <c r="BK1727" s="9"/>
      <c r="BL1727" s="9"/>
      <c r="BM1727" s="9"/>
      <c r="BN1727" s="9"/>
      <c r="BO1727" s="9"/>
      <c r="BP1727" s="9"/>
      <c r="BQ1727" s="9"/>
      <c r="BR1727" s="9"/>
      <c r="BS1727" s="9"/>
      <c r="BT1727" s="9"/>
      <c r="BU1727" s="9"/>
      <c r="BV1727" s="9"/>
      <c r="BW1727" s="9"/>
    </row>
    <row r="1728" spans="1:75" x14ac:dyDescent="0.25">
      <c r="A1728" s="9"/>
      <c r="B1728" s="9"/>
      <c r="C1728" s="9"/>
      <c r="D1728" s="9"/>
      <c r="E1728" s="9"/>
      <c r="F1728" s="9"/>
      <c r="G1728" s="9"/>
      <c r="H1728" s="9"/>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c r="AQ1728" s="9"/>
      <c r="AR1728" s="9"/>
      <c r="AS1728" s="9"/>
      <c r="AT1728" s="9"/>
      <c r="AU1728" s="9"/>
      <c r="AV1728" s="9"/>
      <c r="AW1728" s="9"/>
      <c r="AX1728" s="9"/>
      <c r="AY1728" s="9"/>
      <c r="AZ1728" s="9"/>
      <c r="BA1728" s="9"/>
      <c r="BB1728" s="9"/>
      <c r="BC1728" s="9"/>
      <c r="BD1728" s="9"/>
      <c r="BE1728" s="9"/>
      <c r="BF1728" s="9"/>
      <c r="BG1728" s="9"/>
      <c r="BH1728" s="9"/>
      <c r="BI1728" s="9"/>
      <c r="BJ1728" s="9"/>
      <c r="BK1728" s="9"/>
      <c r="BL1728" s="9"/>
      <c r="BM1728" s="9"/>
      <c r="BN1728" s="9"/>
      <c r="BO1728" s="9"/>
      <c r="BP1728" s="9"/>
      <c r="BQ1728" s="9"/>
      <c r="BR1728" s="9"/>
      <c r="BS1728" s="9"/>
      <c r="BT1728" s="9"/>
      <c r="BU1728" s="9"/>
      <c r="BV1728" s="9"/>
      <c r="BW1728" s="9"/>
    </row>
    <row r="1729" spans="1:75" x14ac:dyDescent="0.25">
      <c r="A1729" s="9"/>
      <c r="B1729" s="9"/>
      <c r="C1729" s="9"/>
      <c r="D1729" s="9"/>
      <c r="E1729" s="9"/>
      <c r="F1729" s="9"/>
      <c r="G1729" s="9"/>
      <c r="H1729" s="9"/>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c r="AQ1729" s="9"/>
      <c r="AR1729" s="9"/>
      <c r="AS1729" s="9"/>
      <c r="AT1729" s="9"/>
      <c r="AU1729" s="9"/>
      <c r="AV1729" s="9"/>
      <c r="AW1729" s="9"/>
      <c r="AX1729" s="9"/>
      <c r="AY1729" s="9"/>
      <c r="AZ1729" s="9"/>
      <c r="BA1729" s="9"/>
      <c r="BB1729" s="9"/>
      <c r="BC1729" s="9"/>
      <c r="BD1729" s="9"/>
      <c r="BE1729" s="9"/>
      <c r="BF1729" s="9"/>
      <c r="BG1729" s="9"/>
      <c r="BH1729" s="9"/>
      <c r="BI1729" s="9"/>
      <c r="BJ1729" s="9"/>
      <c r="BK1729" s="9"/>
      <c r="BL1729" s="9"/>
      <c r="BM1729" s="9"/>
      <c r="BN1729" s="9"/>
      <c r="BO1729" s="9"/>
      <c r="BP1729" s="9"/>
      <c r="BQ1729" s="9"/>
      <c r="BR1729" s="9"/>
      <c r="BS1729" s="9"/>
      <c r="BT1729" s="9"/>
      <c r="BU1729" s="9"/>
      <c r="BV1729" s="9"/>
      <c r="BW1729" s="9"/>
    </row>
    <row r="1730" spans="1:75" x14ac:dyDescent="0.25">
      <c r="A1730" s="9"/>
      <c r="B1730" s="9"/>
      <c r="C1730" s="9"/>
      <c r="D1730" s="9"/>
      <c r="E1730" s="9"/>
      <c r="F1730" s="9"/>
      <c r="G1730" s="9"/>
      <c r="H1730" s="9"/>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c r="AQ1730" s="9"/>
      <c r="AR1730" s="9"/>
      <c r="AS1730" s="9"/>
      <c r="AT1730" s="9"/>
      <c r="AU1730" s="9"/>
      <c r="AV1730" s="9"/>
      <c r="AW1730" s="9"/>
      <c r="AX1730" s="9"/>
      <c r="AY1730" s="9"/>
      <c r="AZ1730" s="9"/>
      <c r="BA1730" s="9"/>
      <c r="BB1730" s="9"/>
      <c r="BC1730" s="9"/>
      <c r="BD1730" s="9"/>
      <c r="BE1730" s="9"/>
      <c r="BF1730" s="9"/>
      <c r="BG1730" s="9"/>
      <c r="BH1730" s="9"/>
      <c r="BI1730" s="9"/>
      <c r="BJ1730" s="9"/>
      <c r="BK1730" s="9"/>
      <c r="BL1730" s="9"/>
      <c r="BM1730" s="9"/>
      <c r="BN1730" s="9"/>
      <c r="BO1730" s="9"/>
      <c r="BP1730" s="9"/>
      <c r="BQ1730" s="9"/>
      <c r="BR1730" s="9"/>
      <c r="BS1730" s="9"/>
      <c r="BT1730" s="9"/>
      <c r="BU1730" s="9"/>
      <c r="BV1730" s="9"/>
      <c r="BW1730" s="9"/>
    </row>
    <row r="1731" spans="1:75" x14ac:dyDescent="0.25">
      <c r="A1731" s="9"/>
      <c r="B1731" s="9"/>
      <c r="C1731" s="9"/>
      <c r="D1731" s="9"/>
      <c r="E1731" s="9"/>
      <c r="F1731" s="9"/>
      <c r="G1731" s="9"/>
      <c r="H1731" s="9"/>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c r="AQ1731" s="9"/>
      <c r="AR1731" s="9"/>
      <c r="AS1731" s="9"/>
      <c r="AT1731" s="9"/>
      <c r="AU1731" s="9"/>
      <c r="AV1731" s="9"/>
      <c r="AW1731" s="9"/>
      <c r="AX1731" s="9"/>
      <c r="AY1731" s="9"/>
      <c r="AZ1731" s="9"/>
      <c r="BA1731" s="9"/>
      <c r="BB1731" s="9"/>
      <c r="BC1731" s="9"/>
      <c r="BD1731" s="9"/>
      <c r="BE1731" s="9"/>
      <c r="BF1731" s="9"/>
      <c r="BG1731" s="9"/>
      <c r="BH1731" s="9"/>
      <c r="BI1731" s="9"/>
      <c r="BJ1731" s="9"/>
      <c r="BK1731" s="9"/>
      <c r="BL1731" s="9"/>
      <c r="BM1731" s="9"/>
      <c r="BN1731" s="9"/>
      <c r="BO1731" s="9"/>
      <c r="BP1731" s="9"/>
      <c r="BQ1731" s="9"/>
      <c r="BR1731" s="9"/>
      <c r="BS1731" s="9"/>
      <c r="BT1731" s="9"/>
      <c r="BU1731" s="9"/>
      <c r="BV1731" s="9"/>
      <c r="BW1731" s="9"/>
    </row>
    <row r="1732" spans="1:75" x14ac:dyDescent="0.25">
      <c r="A1732" s="9"/>
      <c r="B1732" s="9"/>
      <c r="C1732" s="9"/>
      <c r="D1732" s="9"/>
      <c r="E1732" s="9"/>
      <c r="F1732" s="9"/>
      <c r="G1732" s="9"/>
      <c r="H1732" s="9"/>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c r="AQ1732" s="9"/>
      <c r="AR1732" s="9"/>
      <c r="AS1732" s="9"/>
      <c r="AT1732" s="9"/>
      <c r="AU1732" s="9"/>
      <c r="AV1732" s="9"/>
      <c r="AW1732" s="9"/>
      <c r="AX1732" s="9"/>
      <c r="AY1732" s="9"/>
      <c r="AZ1732" s="9"/>
      <c r="BA1732" s="9"/>
      <c r="BB1732" s="9"/>
      <c r="BC1732" s="9"/>
      <c r="BD1732" s="9"/>
      <c r="BE1732" s="9"/>
      <c r="BF1732" s="9"/>
      <c r="BG1732" s="9"/>
      <c r="BH1732" s="9"/>
      <c r="BI1732" s="9"/>
      <c r="BJ1732" s="9"/>
      <c r="BK1732" s="9"/>
      <c r="BL1732" s="9"/>
      <c r="BM1732" s="9"/>
      <c r="BN1732" s="9"/>
      <c r="BO1732" s="9"/>
      <c r="BP1732" s="9"/>
      <c r="BQ1732" s="9"/>
      <c r="BR1732" s="9"/>
      <c r="BS1732" s="9"/>
      <c r="BT1732" s="9"/>
      <c r="BU1732" s="9"/>
      <c r="BV1732" s="9"/>
      <c r="BW1732" s="9"/>
    </row>
    <row r="1733" spans="1:75" x14ac:dyDescent="0.25">
      <c r="A1733" s="9"/>
      <c r="B1733" s="9"/>
      <c r="C1733" s="9"/>
      <c r="D1733" s="9"/>
      <c r="E1733" s="9"/>
      <c r="F1733" s="9"/>
      <c r="G1733" s="9"/>
      <c r="H1733" s="9"/>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c r="AQ1733" s="9"/>
      <c r="AR1733" s="9"/>
      <c r="AS1733" s="9"/>
      <c r="AT1733" s="9"/>
      <c r="AU1733" s="9"/>
      <c r="AV1733" s="9"/>
      <c r="AW1733" s="9"/>
      <c r="AX1733" s="9"/>
      <c r="AY1733" s="9"/>
      <c r="AZ1733" s="9"/>
      <c r="BA1733" s="9"/>
      <c r="BB1733" s="9"/>
      <c r="BC1733" s="9"/>
      <c r="BD1733" s="9"/>
      <c r="BE1733" s="9"/>
      <c r="BF1733" s="9"/>
      <c r="BG1733" s="9"/>
      <c r="BH1733" s="9"/>
      <c r="BI1733" s="9"/>
      <c r="BJ1733" s="9"/>
      <c r="BK1733" s="9"/>
      <c r="BL1733" s="9"/>
      <c r="BM1733" s="9"/>
      <c r="BN1733" s="9"/>
      <c r="BO1733" s="9"/>
      <c r="BP1733" s="9"/>
      <c r="BQ1733" s="9"/>
      <c r="BR1733" s="9"/>
      <c r="BS1733" s="9"/>
      <c r="BT1733" s="9"/>
      <c r="BU1733" s="9"/>
      <c r="BV1733" s="9"/>
      <c r="BW1733" s="9"/>
    </row>
    <row r="1734" spans="1:75" x14ac:dyDescent="0.25">
      <c r="A1734" s="9"/>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c r="AQ1734" s="9"/>
      <c r="AR1734" s="9"/>
      <c r="AS1734" s="9"/>
      <c r="AT1734" s="9"/>
      <c r="AU1734" s="9"/>
      <c r="AV1734" s="9"/>
      <c r="AW1734" s="9"/>
      <c r="AX1734" s="9"/>
      <c r="AY1734" s="9"/>
      <c r="AZ1734" s="9"/>
      <c r="BA1734" s="9"/>
      <c r="BB1734" s="9"/>
      <c r="BC1734" s="9"/>
      <c r="BD1734" s="9"/>
      <c r="BE1734" s="9"/>
      <c r="BF1734" s="9"/>
      <c r="BG1734" s="9"/>
      <c r="BH1734" s="9"/>
      <c r="BI1734" s="9"/>
      <c r="BJ1734" s="9"/>
      <c r="BK1734" s="9"/>
      <c r="BL1734" s="9"/>
      <c r="BM1734" s="9"/>
      <c r="BN1734" s="9"/>
      <c r="BO1734" s="9"/>
      <c r="BP1734" s="9"/>
      <c r="BQ1734" s="9"/>
      <c r="BR1734" s="9"/>
      <c r="BS1734" s="9"/>
      <c r="BT1734" s="9"/>
      <c r="BU1734" s="9"/>
      <c r="BV1734" s="9"/>
      <c r="BW1734" s="9"/>
    </row>
    <row r="1735" spans="1:75" x14ac:dyDescent="0.25">
      <c r="A1735" s="9"/>
      <c r="B1735" s="9"/>
      <c r="C1735" s="9"/>
      <c r="D1735" s="9"/>
      <c r="E1735" s="9"/>
      <c r="F1735" s="9"/>
      <c r="G1735" s="9"/>
      <c r="H1735" s="9"/>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c r="AQ1735" s="9"/>
      <c r="AR1735" s="9"/>
      <c r="AS1735" s="9"/>
      <c r="AT1735" s="9"/>
      <c r="AU1735" s="9"/>
      <c r="AV1735" s="9"/>
      <c r="AW1735" s="9"/>
      <c r="AX1735" s="9"/>
      <c r="AY1735" s="9"/>
      <c r="AZ1735" s="9"/>
      <c r="BA1735" s="9"/>
      <c r="BB1735" s="9"/>
      <c r="BC1735" s="9"/>
      <c r="BD1735" s="9"/>
      <c r="BE1735" s="9"/>
      <c r="BF1735" s="9"/>
      <c r="BG1735" s="9"/>
      <c r="BH1735" s="9"/>
      <c r="BI1735" s="9"/>
      <c r="BJ1735" s="9"/>
      <c r="BK1735" s="9"/>
      <c r="BL1735" s="9"/>
      <c r="BM1735" s="9"/>
      <c r="BN1735" s="9"/>
      <c r="BO1735" s="9"/>
      <c r="BP1735" s="9"/>
      <c r="BQ1735" s="9"/>
      <c r="BR1735" s="9"/>
      <c r="BS1735" s="9"/>
      <c r="BT1735" s="9"/>
      <c r="BU1735" s="9"/>
      <c r="BV1735" s="9"/>
      <c r="BW1735" s="9"/>
    </row>
    <row r="1736" spans="1:75" x14ac:dyDescent="0.25">
      <c r="A1736" s="9"/>
      <c r="B1736" s="9"/>
      <c r="C1736" s="9"/>
      <c r="D1736" s="9"/>
      <c r="E1736" s="9"/>
      <c r="F1736" s="9"/>
      <c r="G1736" s="9"/>
      <c r="H1736" s="9"/>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c r="AS1736" s="9"/>
      <c r="AT1736" s="9"/>
      <c r="AU1736" s="9"/>
      <c r="AV1736" s="9"/>
      <c r="AW1736" s="9"/>
      <c r="AX1736" s="9"/>
      <c r="AY1736" s="9"/>
      <c r="AZ1736" s="9"/>
      <c r="BA1736" s="9"/>
      <c r="BB1736" s="9"/>
      <c r="BC1736" s="9"/>
      <c r="BD1736" s="9"/>
      <c r="BE1736" s="9"/>
      <c r="BF1736" s="9"/>
      <c r="BG1736" s="9"/>
      <c r="BH1736" s="9"/>
      <c r="BI1736" s="9"/>
      <c r="BJ1736" s="9"/>
      <c r="BK1736" s="9"/>
      <c r="BL1736" s="9"/>
      <c r="BM1736" s="9"/>
      <c r="BN1736" s="9"/>
      <c r="BO1736" s="9"/>
      <c r="BP1736" s="9"/>
      <c r="BQ1736" s="9"/>
      <c r="BR1736" s="9"/>
      <c r="BS1736" s="9"/>
      <c r="BT1736" s="9"/>
      <c r="BU1736" s="9"/>
      <c r="BV1736" s="9"/>
      <c r="BW1736" s="9"/>
    </row>
    <row r="1737" spans="1:75" x14ac:dyDescent="0.25">
      <c r="A1737" s="9"/>
      <c r="B1737" s="9"/>
      <c r="C1737" s="9"/>
      <c r="D1737" s="9"/>
      <c r="E1737" s="9"/>
      <c r="F1737" s="9"/>
      <c r="G1737" s="9"/>
      <c r="H1737" s="9"/>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c r="AQ1737" s="9"/>
      <c r="AR1737" s="9"/>
      <c r="AS1737" s="9"/>
      <c r="AT1737" s="9"/>
      <c r="AU1737" s="9"/>
      <c r="AV1737" s="9"/>
      <c r="AW1737" s="9"/>
      <c r="AX1737" s="9"/>
      <c r="AY1737" s="9"/>
      <c r="AZ1737" s="9"/>
      <c r="BA1737" s="9"/>
      <c r="BB1737" s="9"/>
      <c r="BC1737" s="9"/>
      <c r="BD1737" s="9"/>
      <c r="BE1737" s="9"/>
      <c r="BF1737" s="9"/>
      <c r="BG1737" s="9"/>
      <c r="BH1737" s="9"/>
      <c r="BI1737" s="9"/>
      <c r="BJ1737" s="9"/>
      <c r="BK1737" s="9"/>
      <c r="BL1737" s="9"/>
      <c r="BM1737" s="9"/>
      <c r="BN1737" s="9"/>
      <c r="BO1737" s="9"/>
      <c r="BP1737" s="9"/>
      <c r="BQ1737" s="9"/>
      <c r="BR1737" s="9"/>
      <c r="BS1737" s="9"/>
      <c r="BT1737" s="9"/>
      <c r="BU1737" s="9"/>
      <c r="BV1737" s="9"/>
      <c r="BW1737" s="9"/>
    </row>
    <row r="1738" spans="1:75" x14ac:dyDescent="0.25">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c r="AQ1738" s="9"/>
      <c r="AR1738" s="9"/>
      <c r="AS1738" s="9"/>
      <c r="AT1738" s="9"/>
      <c r="AU1738" s="9"/>
      <c r="AV1738" s="9"/>
      <c r="AW1738" s="9"/>
      <c r="AX1738" s="9"/>
      <c r="AY1738" s="9"/>
      <c r="AZ1738" s="9"/>
      <c r="BA1738" s="9"/>
      <c r="BB1738" s="9"/>
      <c r="BC1738" s="9"/>
      <c r="BD1738" s="9"/>
      <c r="BE1738" s="9"/>
      <c r="BF1738" s="9"/>
      <c r="BG1738" s="9"/>
      <c r="BH1738" s="9"/>
      <c r="BI1738" s="9"/>
      <c r="BJ1738" s="9"/>
      <c r="BK1738" s="9"/>
      <c r="BL1738" s="9"/>
      <c r="BM1738" s="9"/>
      <c r="BN1738" s="9"/>
      <c r="BO1738" s="9"/>
      <c r="BP1738" s="9"/>
      <c r="BQ1738" s="9"/>
      <c r="BR1738" s="9"/>
      <c r="BS1738" s="9"/>
      <c r="BT1738" s="9"/>
      <c r="BU1738" s="9"/>
      <c r="BV1738" s="9"/>
      <c r="BW1738" s="9"/>
    </row>
    <row r="1739" spans="1:75" x14ac:dyDescent="0.25">
      <c r="A1739" s="9"/>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c r="AQ1739" s="9"/>
      <c r="AR1739" s="9"/>
      <c r="AS1739" s="9"/>
      <c r="AT1739" s="9"/>
      <c r="AU1739" s="9"/>
      <c r="AV1739" s="9"/>
      <c r="AW1739" s="9"/>
      <c r="AX1739" s="9"/>
      <c r="AY1739" s="9"/>
      <c r="AZ1739" s="9"/>
      <c r="BA1739" s="9"/>
      <c r="BB1739" s="9"/>
      <c r="BC1739" s="9"/>
      <c r="BD1739" s="9"/>
      <c r="BE1739" s="9"/>
      <c r="BF1739" s="9"/>
      <c r="BG1739" s="9"/>
      <c r="BH1739" s="9"/>
      <c r="BI1739" s="9"/>
      <c r="BJ1739" s="9"/>
      <c r="BK1739" s="9"/>
      <c r="BL1739" s="9"/>
      <c r="BM1739" s="9"/>
      <c r="BN1739" s="9"/>
      <c r="BO1739" s="9"/>
      <c r="BP1739" s="9"/>
      <c r="BQ1739" s="9"/>
      <c r="BR1739" s="9"/>
      <c r="BS1739" s="9"/>
      <c r="BT1739" s="9"/>
      <c r="BU1739" s="9"/>
      <c r="BV1739" s="9"/>
      <c r="BW1739" s="9"/>
    </row>
    <row r="1740" spans="1:75" x14ac:dyDescent="0.25">
      <c r="A1740" s="9"/>
      <c r="B1740" s="9"/>
      <c r="C1740" s="9"/>
      <c r="D1740" s="9"/>
      <c r="E1740" s="9"/>
      <c r="F1740" s="9"/>
      <c r="G1740" s="9"/>
      <c r="H1740" s="9"/>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c r="AQ1740" s="9"/>
      <c r="AR1740" s="9"/>
      <c r="AS1740" s="9"/>
      <c r="AT1740" s="9"/>
      <c r="AU1740" s="9"/>
      <c r="AV1740" s="9"/>
      <c r="AW1740" s="9"/>
      <c r="AX1740" s="9"/>
      <c r="AY1740" s="9"/>
      <c r="AZ1740" s="9"/>
      <c r="BA1740" s="9"/>
      <c r="BB1740" s="9"/>
      <c r="BC1740" s="9"/>
      <c r="BD1740" s="9"/>
      <c r="BE1740" s="9"/>
      <c r="BF1740" s="9"/>
      <c r="BG1740" s="9"/>
      <c r="BH1740" s="9"/>
      <c r="BI1740" s="9"/>
      <c r="BJ1740" s="9"/>
      <c r="BK1740" s="9"/>
      <c r="BL1740" s="9"/>
      <c r="BM1740" s="9"/>
      <c r="BN1740" s="9"/>
      <c r="BO1740" s="9"/>
      <c r="BP1740" s="9"/>
      <c r="BQ1740" s="9"/>
      <c r="BR1740" s="9"/>
      <c r="BS1740" s="9"/>
      <c r="BT1740" s="9"/>
      <c r="BU1740" s="9"/>
      <c r="BV1740" s="9"/>
      <c r="BW1740" s="9"/>
    </row>
    <row r="1741" spans="1:75" x14ac:dyDescent="0.25">
      <c r="A1741" s="9"/>
      <c r="B1741" s="9"/>
      <c r="C1741" s="9"/>
      <c r="D1741" s="9"/>
      <c r="E1741" s="9"/>
      <c r="F1741" s="9"/>
      <c r="G1741" s="9"/>
      <c r="H1741" s="9"/>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c r="AQ1741" s="9"/>
      <c r="AR1741" s="9"/>
      <c r="AS1741" s="9"/>
      <c r="AT1741" s="9"/>
      <c r="AU1741" s="9"/>
      <c r="AV1741" s="9"/>
      <c r="AW1741" s="9"/>
      <c r="AX1741" s="9"/>
      <c r="AY1741" s="9"/>
      <c r="AZ1741" s="9"/>
      <c r="BA1741" s="9"/>
      <c r="BB1741" s="9"/>
      <c r="BC1741" s="9"/>
      <c r="BD1741" s="9"/>
      <c r="BE1741" s="9"/>
      <c r="BF1741" s="9"/>
      <c r="BG1741" s="9"/>
      <c r="BH1741" s="9"/>
      <c r="BI1741" s="9"/>
      <c r="BJ1741" s="9"/>
      <c r="BK1741" s="9"/>
      <c r="BL1741" s="9"/>
      <c r="BM1741" s="9"/>
      <c r="BN1741" s="9"/>
      <c r="BO1741" s="9"/>
      <c r="BP1741" s="9"/>
      <c r="BQ1741" s="9"/>
      <c r="BR1741" s="9"/>
      <c r="BS1741" s="9"/>
      <c r="BT1741" s="9"/>
      <c r="BU1741" s="9"/>
      <c r="BV1741" s="9"/>
      <c r="BW1741" s="9"/>
    </row>
    <row r="1742" spans="1:75" x14ac:dyDescent="0.25">
      <c r="A1742" s="9"/>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c r="AS1742" s="9"/>
      <c r="AT1742" s="9"/>
      <c r="AU1742" s="9"/>
      <c r="AV1742" s="9"/>
      <c r="AW1742" s="9"/>
      <c r="AX1742" s="9"/>
      <c r="AY1742" s="9"/>
      <c r="AZ1742" s="9"/>
      <c r="BA1742" s="9"/>
      <c r="BB1742" s="9"/>
      <c r="BC1742" s="9"/>
      <c r="BD1742" s="9"/>
      <c r="BE1742" s="9"/>
      <c r="BF1742" s="9"/>
      <c r="BG1742" s="9"/>
      <c r="BH1742" s="9"/>
      <c r="BI1742" s="9"/>
      <c r="BJ1742" s="9"/>
      <c r="BK1742" s="9"/>
      <c r="BL1742" s="9"/>
      <c r="BM1742" s="9"/>
      <c r="BN1742" s="9"/>
      <c r="BO1742" s="9"/>
      <c r="BP1742" s="9"/>
      <c r="BQ1742" s="9"/>
      <c r="BR1742" s="9"/>
      <c r="BS1742" s="9"/>
      <c r="BT1742" s="9"/>
      <c r="BU1742" s="9"/>
      <c r="BV1742" s="9"/>
      <c r="BW1742" s="9"/>
    </row>
    <row r="1743" spans="1:75" x14ac:dyDescent="0.25">
      <c r="A1743" s="9"/>
      <c r="B1743" s="9"/>
      <c r="C1743" s="9"/>
      <c r="D1743" s="9"/>
      <c r="E1743" s="9"/>
      <c r="F1743" s="9"/>
      <c r="G1743" s="9"/>
      <c r="H1743" s="9"/>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c r="AQ1743" s="9"/>
      <c r="AR1743" s="9"/>
      <c r="AS1743" s="9"/>
      <c r="AT1743" s="9"/>
      <c r="AU1743" s="9"/>
      <c r="AV1743" s="9"/>
      <c r="AW1743" s="9"/>
      <c r="AX1743" s="9"/>
      <c r="AY1743" s="9"/>
      <c r="AZ1743" s="9"/>
      <c r="BA1743" s="9"/>
      <c r="BB1743" s="9"/>
      <c r="BC1743" s="9"/>
      <c r="BD1743" s="9"/>
      <c r="BE1743" s="9"/>
      <c r="BF1743" s="9"/>
      <c r="BG1743" s="9"/>
      <c r="BH1743" s="9"/>
      <c r="BI1743" s="9"/>
      <c r="BJ1743" s="9"/>
      <c r="BK1743" s="9"/>
      <c r="BL1743" s="9"/>
      <c r="BM1743" s="9"/>
      <c r="BN1743" s="9"/>
      <c r="BO1743" s="9"/>
      <c r="BP1743" s="9"/>
      <c r="BQ1743" s="9"/>
      <c r="BR1743" s="9"/>
      <c r="BS1743" s="9"/>
      <c r="BT1743" s="9"/>
      <c r="BU1743" s="9"/>
      <c r="BV1743" s="9"/>
      <c r="BW1743" s="9"/>
    </row>
    <row r="1744" spans="1:75" x14ac:dyDescent="0.25">
      <c r="A1744" s="9"/>
      <c r="B1744" s="9"/>
      <c r="C1744" s="9"/>
      <c r="D1744" s="9"/>
      <c r="E1744" s="9"/>
      <c r="F1744" s="9"/>
      <c r="G1744" s="9"/>
      <c r="H1744" s="9"/>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c r="AQ1744" s="9"/>
      <c r="AR1744" s="9"/>
      <c r="AS1744" s="9"/>
      <c r="AT1744" s="9"/>
      <c r="AU1744" s="9"/>
      <c r="AV1744" s="9"/>
      <c r="AW1744" s="9"/>
      <c r="AX1744" s="9"/>
      <c r="AY1744" s="9"/>
      <c r="AZ1744" s="9"/>
      <c r="BA1744" s="9"/>
      <c r="BB1744" s="9"/>
      <c r="BC1744" s="9"/>
      <c r="BD1744" s="9"/>
      <c r="BE1744" s="9"/>
      <c r="BF1744" s="9"/>
      <c r="BG1744" s="9"/>
      <c r="BH1744" s="9"/>
      <c r="BI1744" s="9"/>
      <c r="BJ1744" s="9"/>
      <c r="BK1744" s="9"/>
      <c r="BL1744" s="9"/>
      <c r="BM1744" s="9"/>
      <c r="BN1744" s="9"/>
      <c r="BO1744" s="9"/>
      <c r="BP1744" s="9"/>
      <c r="BQ1744" s="9"/>
      <c r="BR1744" s="9"/>
      <c r="BS1744" s="9"/>
      <c r="BT1744" s="9"/>
      <c r="BU1744" s="9"/>
      <c r="BV1744" s="9"/>
      <c r="BW1744" s="9"/>
    </row>
    <row r="1745" spans="1:75" x14ac:dyDescent="0.25">
      <c r="A1745" s="9"/>
      <c r="B1745" s="9"/>
      <c r="C1745" s="9"/>
      <c r="D1745" s="9"/>
      <c r="E1745" s="9"/>
      <c r="F1745" s="9"/>
      <c r="G1745" s="9"/>
      <c r="H1745" s="9"/>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c r="AQ1745" s="9"/>
      <c r="AR1745" s="9"/>
      <c r="AS1745" s="9"/>
      <c r="AT1745" s="9"/>
      <c r="AU1745" s="9"/>
      <c r="AV1745" s="9"/>
      <c r="AW1745" s="9"/>
      <c r="AX1745" s="9"/>
      <c r="AY1745" s="9"/>
      <c r="AZ1745" s="9"/>
      <c r="BA1745" s="9"/>
      <c r="BB1745" s="9"/>
      <c r="BC1745" s="9"/>
      <c r="BD1745" s="9"/>
      <c r="BE1745" s="9"/>
      <c r="BF1745" s="9"/>
      <c r="BG1745" s="9"/>
      <c r="BH1745" s="9"/>
      <c r="BI1745" s="9"/>
      <c r="BJ1745" s="9"/>
      <c r="BK1745" s="9"/>
      <c r="BL1745" s="9"/>
      <c r="BM1745" s="9"/>
      <c r="BN1745" s="9"/>
      <c r="BO1745" s="9"/>
      <c r="BP1745" s="9"/>
      <c r="BQ1745" s="9"/>
      <c r="BR1745" s="9"/>
      <c r="BS1745" s="9"/>
      <c r="BT1745" s="9"/>
      <c r="BU1745" s="9"/>
      <c r="BV1745" s="9"/>
      <c r="BW1745" s="9"/>
    </row>
    <row r="1746" spans="1:75" x14ac:dyDescent="0.25">
      <c r="A1746" s="9"/>
      <c r="B1746" s="9"/>
      <c r="C1746" s="9"/>
      <c r="D1746" s="9"/>
      <c r="E1746" s="9"/>
      <c r="F1746" s="9"/>
      <c r="G1746" s="9"/>
      <c r="H1746" s="9"/>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c r="AX1746" s="9"/>
      <c r="AY1746" s="9"/>
      <c r="AZ1746" s="9"/>
      <c r="BA1746" s="9"/>
      <c r="BB1746" s="9"/>
      <c r="BC1746" s="9"/>
      <c r="BD1746" s="9"/>
      <c r="BE1746" s="9"/>
      <c r="BF1746" s="9"/>
      <c r="BG1746" s="9"/>
      <c r="BH1746" s="9"/>
      <c r="BI1746" s="9"/>
      <c r="BJ1746" s="9"/>
      <c r="BK1746" s="9"/>
      <c r="BL1746" s="9"/>
      <c r="BM1746" s="9"/>
      <c r="BN1746" s="9"/>
      <c r="BO1746" s="9"/>
      <c r="BP1746" s="9"/>
      <c r="BQ1746" s="9"/>
      <c r="BR1746" s="9"/>
      <c r="BS1746" s="9"/>
      <c r="BT1746" s="9"/>
      <c r="BU1746" s="9"/>
      <c r="BV1746" s="9"/>
      <c r="BW1746" s="9"/>
    </row>
    <row r="1747" spans="1:75" x14ac:dyDescent="0.25">
      <c r="A1747" s="9"/>
      <c r="B1747" s="9"/>
      <c r="C1747" s="9"/>
      <c r="D1747" s="9"/>
      <c r="E1747" s="9"/>
      <c r="F1747" s="9"/>
      <c r="G1747" s="9"/>
      <c r="H1747" s="9"/>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c r="AS1747" s="9"/>
      <c r="AT1747" s="9"/>
      <c r="AU1747" s="9"/>
      <c r="AV1747" s="9"/>
      <c r="AW1747" s="9"/>
      <c r="AX1747" s="9"/>
      <c r="AY1747" s="9"/>
      <c r="AZ1747" s="9"/>
      <c r="BA1747" s="9"/>
      <c r="BB1747" s="9"/>
      <c r="BC1747" s="9"/>
      <c r="BD1747" s="9"/>
      <c r="BE1747" s="9"/>
      <c r="BF1747" s="9"/>
      <c r="BG1747" s="9"/>
      <c r="BH1747" s="9"/>
      <c r="BI1747" s="9"/>
      <c r="BJ1747" s="9"/>
      <c r="BK1747" s="9"/>
      <c r="BL1747" s="9"/>
      <c r="BM1747" s="9"/>
      <c r="BN1747" s="9"/>
      <c r="BO1747" s="9"/>
      <c r="BP1747" s="9"/>
      <c r="BQ1747" s="9"/>
      <c r="BR1747" s="9"/>
      <c r="BS1747" s="9"/>
      <c r="BT1747" s="9"/>
      <c r="BU1747" s="9"/>
      <c r="BV1747" s="9"/>
      <c r="BW1747" s="9"/>
    </row>
    <row r="1748" spans="1:75" x14ac:dyDescent="0.25">
      <c r="A1748" s="9"/>
      <c r="B1748" s="9"/>
      <c r="C1748" s="9"/>
      <c r="D1748" s="9"/>
      <c r="E1748" s="9"/>
      <c r="F1748" s="9"/>
      <c r="G1748" s="9"/>
      <c r="H1748" s="9"/>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c r="AQ1748" s="9"/>
      <c r="AR1748" s="9"/>
      <c r="AS1748" s="9"/>
      <c r="AT1748" s="9"/>
      <c r="AU1748" s="9"/>
      <c r="AV1748" s="9"/>
      <c r="AW1748" s="9"/>
      <c r="AX1748" s="9"/>
      <c r="AY1748" s="9"/>
      <c r="AZ1748" s="9"/>
      <c r="BA1748" s="9"/>
      <c r="BB1748" s="9"/>
      <c r="BC1748" s="9"/>
      <c r="BD1748" s="9"/>
      <c r="BE1748" s="9"/>
      <c r="BF1748" s="9"/>
      <c r="BG1748" s="9"/>
      <c r="BH1748" s="9"/>
      <c r="BI1748" s="9"/>
      <c r="BJ1748" s="9"/>
      <c r="BK1748" s="9"/>
      <c r="BL1748" s="9"/>
      <c r="BM1748" s="9"/>
      <c r="BN1748" s="9"/>
      <c r="BO1748" s="9"/>
      <c r="BP1748" s="9"/>
      <c r="BQ1748" s="9"/>
      <c r="BR1748" s="9"/>
      <c r="BS1748" s="9"/>
      <c r="BT1748" s="9"/>
      <c r="BU1748" s="9"/>
      <c r="BV1748" s="9"/>
      <c r="BW1748" s="9"/>
    </row>
    <row r="1749" spans="1:75" x14ac:dyDescent="0.25">
      <c r="A1749" s="9"/>
      <c r="B1749" s="9"/>
      <c r="C1749" s="9"/>
      <c r="D1749" s="9"/>
      <c r="E1749" s="9"/>
      <c r="F1749" s="9"/>
      <c r="G1749" s="9"/>
      <c r="H1749" s="9"/>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c r="AQ1749" s="9"/>
      <c r="AR1749" s="9"/>
      <c r="AS1749" s="9"/>
      <c r="AT1749" s="9"/>
      <c r="AU1749" s="9"/>
      <c r="AV1749" s="9"/>
      <c r="AW1749" s="9"/>
      <c r="AX1749" s="9"/>
      <c r="AY1749" s="9"/>
      <c r="AZ1749" s="9"/>
      <c r="BA1749" s="9"/>
      <c r="BB1749" s="9"/>
      <c r="BC1749" s="9"/>
      <c r="BD1749" s="9"/>
      <c r="BE1749" s="9"/>
      <c r="BF1749" s="9"/>
      <c r="BG1749" s="9"/>
      <c r="BH1749" s="9"/>
      <c r="BI1749" s="9"/>
      <c r="BJ1749" s="9"/>
      <c r="BK1749" s="9"/>
      <c r="BL1749" s="9"/>
      <c r="BM1749" s="9"/>
      <c r="BN1749" s="9"/>
      <c r="BO1749" s="9"/>
      <c r="BP1749" s="9"/>
      <c r="BQ1749" s="9"/>
      <c r="BR1749" s="9"/>
      <c r="BS1749" s="9"/>
      <c r="BT1749" s="9"/>
      <c r="BU1749" s="9"/>
      <c r="BV1749" s="9"/>
      <c r="BW1749" s="9"/>
    </row>
    <row r="1750" spans="1:75" x14ac:dyDescent="0.25">
      <c r="A1750" s="9"/>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c r="AQ1750" s="9"/>
      <c r="AR1750" s="9"/>
      <c r="AS1750" s="9"/>
      <c r="AT1750" s="9"/>
      <c r="AU1750" s="9"/>
      <c r="AV1750" s="9"/>
      <c r="AW1750" s="9"/>
      <c r="AX1750" s="9"/>
      <c r="AY1750" s="9"/>
      <c r="AZ1750" s="9"/>
      <c r="BA1750" s="9"/>
      <c r="BB1750" s="9"/>
      <c r="BC1750" s="9"/>
      <c r="BD1750" s="9"/>
      <c r="BE1750" s="9"/>
      <c r="BF1750" s="9"/>
      <c r="BG1750" s="9"/>
      <c r="BH1750" s="9"/>
      <c r="BI1750" s="9"/>
      <c r="BJ1750" s="9"/>
      <c r="BK1750" s="9"/>
      <c r="BL1750" s="9"/>
      <c r="BM1750" s="9"/>
      <c r="BN1750" s="9"/>
      <c r="BO1750" s="9"/>
      <c r="BP1750" s="9"/>
      <c r="BQ1750" s="9"/>
      <c r="BR1750" s="9"/>
      <c r="BS1750" s="9"/>
      <c r="BT1750" s="9"/>
      <c r="BU1750" s="9"/>
      <c r="BV1750" s="9"/>
      <c r="BW1750" s="9"/>
    </row>
    <row r="1751" spans="1:75" x14ac:dyDescent="0.25">
      <c r="A1751" s="9"/>
      <c r="B1751" s="9"/>
      <c r="C1751" s="9"/>
      <c r="D1751" s="9"/>
      <c r="E1751" s="9"/>
      <c r="F1751" s="9"/>
      <c r="G1751" s="9"/>
      <c r="H1751" s="9"/>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c r="AQ1751" s="9"/>
      <c r="AR1751" s="9"/>
      <c r="AS1751" s="9"/>
      <c r="AT1751" s="9"/>
      <c r="AU1751" s="9"/>
      <c r="AV1751" s="9"/>
      <c r="AW1751" s="9"/>
      <c r="AX1751" s="9"/>
      <c r="AY1751" s="9"/>
      <c r="AZ1751" s="9"/>
      <c r="BA1751" s="9"/>
      <c r="BB1751" s="9"/>
      <c r="BC1751" s="9"/>
      <c r="BD1751" s="9"/>
      <c r="BE1751" s="9"/>
      <c r="BF1751" s="9"/>
      <c r="BG1751" s="9"/>
      <c r="BH1751" s="9"/>
      <c r="BI1751" s="9"/>
      <c r="BJ1751" s="9"/>
      <c r="BK1751" s="9"/>
      <c r="BL1751" s="9"/>
      <c r="BM1751" s="9"/>
      <c r="BN1751" s="9"/>
      <c r="BO1751" s="9"/>
      <c r="BP1751" s="9"/>
      <c r="BQ1751" s="9"/>
      <c r="BR1751" s="9"/>
      <c r="BS1751" s="9"/>
      <c r="BT1751" s="9"/>
      <c r="BU1751" s="9"/>
      <c r="BV1751" s="9"/>
      <c r="BW1751" s="9"/>
    </row>
    <row r="1752" spans="1:75" x14ac:dyDescent="0.25">
      <c r="A1752" s="9"/>
      <c r="B1752" s="9"/>
      <c r="C1752" s="9"/>
      <c r="D1752" s="9"/>
      <c r="E1752" s="9"/>
      <c r="F1752" s="9"/>
      <c r="G1752" s="9"/>
      <c r="H1752" s="9"/>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c r="AQ1752" s="9"/>
      <c r="AR1752" s="9"/>
      <c r="AS1752" s="9"/>
      <c r="AT1752" s="9"/>
      <c r="AU1752" s="9"/>
      <c r="AV1752" s="9"/>
      <c r="AW1752" s="9"/>
      <c r="AX1752" s="9"/>
      <c r="AY1752" s="9"/>
      <c r="AZ1752" s="9"/>
      <c r="BA1752" s="9"/>
      <c r="BB1752" s="9"/>
      <c r="BC1752" s="9"/>
      <c r="BD1752" s="9"/>
      <c r="BE1752" s="9"/>
      <c r="BF1752" s="9"/>
      <c r="BG1752" s="9"/>
      <c r="BH1752" s="9"/>
      <c r="BI1752" s="9"/>
      <c r="BJ1752" s="9"/>
      <c r="BK1752" s="9"/>
      <c r="BL1752" s="9"/>
      <c r="BM1752" s="9"/>
      <c r="BN1752" s="9"/>
      <c r="BO1752" s="9"/>
      <c r="BP1752" s="9"/>
      <c r="BQ1752" s="9"/>
      <c r="BR1752" s="9"/>
      <c r="BS1752" s="9"/>
      <c r="BT1752" s="9"/>
      <c r="BU1752" s="9"/>
      <c r="BV1752" s="9"/>
      <c r="BW1752" s="9"/>
    </row>
    <row r="1753" spans="1:75" x14ac:dyDescent="0.25">
      <c r="A1753" s="9"/>
      <c r="B1753" s="9"/>
      <c r="C1753" s="9"/>
      <c r="D1753" s="9"/>
      <c r="E1753" s="9"/>
      <c r="F1753" s="9"/>
      <c r="G1753" s="9"/>
      <c r="H1753" s="9"/>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c r="AQ1753" s="9"/>
      <c r="AR1753" s="9"/>
      <c r="AS1753" s="9"/>
      <c r="AT1753" s="9"/>
      <c r="AU1753" s="9"/>
      <c r="AV1753" s="9"/>
      <c r="AW1753" s="9"/>
      <c r="AX1753" s="9"/>
      <c r="AY1753" s="9"/>
      <c r="AZ1753" s="9"/>
      <c r="BA1753" s="9"/>
      <c r="BB1753" s="9"/>
      <c r="BC1753" s="9"/>
      <c r="BD1753" s="9"/>
      <c r="BE1753" s="9"/>
      <c r="BF1753" s="9"/>
      <c r="BG1753" s="9"/>
      <c r="BH1753" s="9"/>
      <c r="BI1753" s="9"/>
      <c r="BJ1753" s="9"/>
      <c r="BK1753" s="9"/>
      <c r="BL1753" s="9"/>
      <c r="BM1753" s="9"/>
      <c r="BN1753" s="9"/>
      <c r="BO1753" s="9"/>
      <c r="BP1753" s="9"/>
      <c r="BQ1753" s="9"/>
      <c r="BR1753" s="9"/>
      <c r="BS1753" s="9"/>
      <c r="BT1753" s="9"/>
      <c r="BU1753" s="9"/>
      <c r="BV1753" s="9"/>
      <c r="BW1753" s="9"/>
    </row>
    <row r="1754" spans="1:75" x14ac:dyDescent="0.25">
      <c r="A1754" s="9"/>
      <c r="B1754" s="9"/>
      <c r="C1754" s="9"/>
      <c r="D1754" s="9"/>
      <c r="E1754" s="9"/>
      <c r="F1754" s="9"/>
      <c r="G1754" s="9"/>
      <c r="H1754" s="9"/>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c r="AQ1754" s="9"/>
      <c r="AR1754" s="9"/>
      <c r="AS1754" s="9"/>
      <c r="AT1754" s="9"/>
      <c r="AU1754" s="9"/>
      <c r="AV1754" s="9"/>
      <c r="AW1754" s="9"/>
      <c r="AX1754" s="9"/>
      <c r="AY1754" s="9"/>
      <c r="AZ1754" s="9"/>
      <c r="BA1754" s="9"/>
      <c r="BB1754" s="9"/>
      <c r="BC1754" s="9"/>
      <c r="BD1754" s="9"/>
      <c r="BE1754" s="9"/>
      <c r="BF1754" s="9"/>
      <c r="BG1754" s="9"/>
      <c r="BH1754" s="9"/>
      <c r="BI1754" s="9"/>
      <c r="BJ1754" s="9"/>
      <c r="BK1754" s="9"/>
      <c r="BL1754" s="9"/>
      <c r="BM1754" s="9"/>
      <c r="BN1754" s="9"/>
      <c r="BO1754" s="9"/>
      <c r="BP1754" s="9"/>
      <c r="BQ1754" s="9"/>
      <c r="BR1754" s="9"/>
      <c r="BS1754" s="9"/>
      <c r="BT1754" s="9"/>
      <c r="BU1754" s="9"/>
      <c r="BV1754" s="9"/>
      <c r="BW1754" s="9"/>
    </row>
    <row r="1755" spans="1:75" x14ac:dyDescent="0.25">
      <c r="A1755" s="9"/>
      <c r="B1755" s="9"/>
      <c r="C1755" s="9"/>
      <c r="D1755" s="9"/>
      <c r="E1755" s="9"/>
      <c r="F1755" s="9"/>
      <c r="G1755" s="9"/>
      <c r="H1755" s="9"/>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c r="AQ1755" s="9"/>
      <c r="AR1755" s="9"/>
      <c r="AS1755" s="9"/>
      <c r="AT1755" s="9"/>
      <c r="AU1755" s="9"/>
      <c r="AV1755" s="9"/>
      <c r="AW1755" s="9"/>
      <c r="AX1755" s="9"/>
      <c r="AY1755" s="9"/>
      <c r="AZ1755" s="9"/>
      <c r="BA1755" s="9"/>
      <c r="BB1755" s="9"/>
      <c r="BC1755" s="9"/>
      <c r="BD1755" s="9"/>
      <c r="BE1755" s="9"/>
      <c r="BF1755" s="9"/>
      <c r="BG1755" s="9"/>
      <c r="BH1755" s="9"/>
      <c r="BI1755" s="9"/>
      <c r="BJ1755" s="9"/>
      <c r="BK1755" s="9"/>
      <c r="BL1755" s="9"/>
      <c r="BM1755" s="9"/>
      <c r="BN1755" s="9"/>
      <c r="BO1755" s="9"/>
      <c r="BP1755" s="9"/>
      <c r="BQ1755" s="9"/>
      <c r="BR1755" s="9"/>
      <c r="BS1755" s="9"/>
      <c r="BT1755" s="9"/>
      <c r="BU1755" s="9"/>
      <c r="BV1755" s="9"/>
      <c r="BW1755" s="9"/>
    </row>
    <row r="1756" spans="1:75" x14ac:dyDescent="0.25">
      <c r="A1756" s="9"/>
      <c r="B1756" s="9"/>
      <c r="C1756" s="9"/>
      <c r="D1756" s="9"/>
      <c r="E1756" s="9"/>
      <c r="F1756" s="9"/>
      <c r="G1756" s="9"/>
      <c r="H1756" s="9"/>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c r="AQ1756" s="9"/>
      <c r="AR1756" s="9"/>
      <c r="AS1756" s="9"/>
      <c r="AT1756" s="9"/>
      <c r="AU1756" s="9"/>
      <c r="AV1756" s="9"/>
      <c r="AW1756" s="9"/>
      <c r="AX1756" s="9"/>
      <c r="AY1756" s="9"/>
      <c r="AZ1756" s="9"/>
      <c r="BA1756" s="9"/>
      <c r="BB1756" s="9"/>
      <c r="BC1756" s="9"/>
      <c r="BD1756" s="9"/>
      <c r="BE1756" s="9"/>
      <c r="BF1756" s="9"/>
      <c r="BG1756" s="9"/>
      <c r="BH1756" s="9"/>
      <c r="BI1756" s="9"/>
      <c r="BJ1756" s="9"/>
      <c r="BK1756" s="9"/>
      <c r="BL1756" s="9"/>
      <c r="BM1756" s="9"/>
      <c r="BN1756" s="9"/>
      <c r="BO1756" s="9"/>
      <c r="BP1756" s="9"/>
      <c r="BQ1756" s="9"/>
      <c r="BR1756" s="9"/>
      <c r="BS1756" s="9"/>
      <c r="BT1756" s="9"/>
      <c r="BU1756" s="9"/>
      <c r="BV1756" s="9"/>
      <c r="BW1756" s="9"/>
    </row>
    <row r="1757" spans="1:75" x14ac:dyDescent="0.25">
      <c r="A1757" s="9"/>
      <c r="B1757" s="9"/>
      <c r="C1757" s="9"/>
      <c r="D1757" s="9"/>
      <c r="E1757" s="9"/>
      <c r="F1757" s="9"/>
      <c r="G1757" s="9"/>
      <c r="H1757" s="9"/>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c r="AQ1757" s="9"/>
      <c r="AR1757" s="9"/>
      <c r="AS1757" s="9"/>
      <c r="AT1757" s="9"/>
      <c r="AU1757" s="9"/>
      <c r="AV1757" s="9"/>
      <c r="AW1757" s="9"/>
      <c r="AX1757" s="9"/>
      <c r="AY1757" s="9"/>
      <c r="AZ1757" s="9"/>
      <c r="BA1757" s="9"/>
      <c r="BB1757" s="9"/>
      <c r="BC1757" s="9"/>
      <c r="BD1757" s="9"/>
      <c r="BE1757" s="9"/>
      <c r="BF1757" s="9"/>
      <c r="BG1757" s="9"/>
      <c r="BH1757" s="9"/>
      <c r="BI1757" s="9"/>
      <c r="BJ1757" s="9"/>
      <c r="BK1757" s="9"/>
      <c r="BL1757" s="9"/>
      <c r="BM1757" s="9"/>
      <c r="BN1757" s="9"/>
      <c r="BO1757" s="9"/>
      <c r="BP1757" s="9"/>
      <c r="BQ1757" s="9"/>
      <c r="BR1757" s="9"/>
      <c r="BS1757" s="9"/>
      <c r="BT1757" s="9"/>
      <c r="BU1757" s="9"/>
      <c r="BV1757" s="9"/>
      <c r="BW1757" s="9"/>
    </row>
    <row r="1758" spans="1:75" x14ac:dyDescent="0.25">
      <c r="A1758" s="9"/>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c r="AQ1758" s="9"/>
      <c r="AR1758" s="9"/>
      <c r="AS1758" s="9"/>
      <c r="AT1758" s="9"/>
      <c r="AU1758" s="9"/>
      <c r="AV1758" s="9"/>
      <c r="AW1758" s="9"/>
      <c r="AX1758" s="9"/>
      <c r="AY1758" s="9"/>
      <c r="AZ1758" s="9"/>
      <c r="BA1758" s="9"/>
      <c r="BB1758" s="9"/>
      <c r="BC1758" s="9"/>
      <c r="BD1758" s="9"/>
      <c r="BE1758" s="9"/>
      <c r="BF1758" s="9"/>
      <c r="BG1758" s="9"/>
      <c r="BH1758" s="9"/>
      <c r="BI1758" s="9"/>
      <c r="BJ1758" s="9"/>
      <c r="BK1758" s="9"/>
      <c r="BL1758" s="9"/>
      <c r="BM1758" s="9"/>
      <c r="BN1758" s="9"/>
      <c r="BO1758" s="9"/>
      <c r="BP1758" s="9"/>
      <c r="BQ1758" s="9"/>
      <c r="BR1758" s="9"/>
      <c r="BS1758" s="9"/>
      <c r="BT1758" s="9"/>
      <c r="BU1758" s="9"/>
      <c r="BV1758" s="9"/>
      <c r="BW1758" s="9"/>
    </row>
    <row r="1759" spans="1:75" x14ac:dyDescent="0.25">
      <c r="A1759" s="9"/>
      <c r="B1759" s="9"/>
      <c r="C1759" s="9"/>
      <c r="D1759" s="9"/>
      <c r="E1759" s="9"/>
      <c r="F1759" s="9"/>
      <c r="G1759" s="9"/>
      <c r="H1759" s="9"/>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c r="AS1759" s="9"/>
      <c r="AT1759" s="9"/>
      <c r="AU1759" s="9"/>
      <c r="AV1759" s="9"/>
      <c r="AW1759" s="9"/>
      <c r="AX1759" s="9"/>
      <c r="AY1759" s="9"/>
      <c r="AZ1759" s="9"/>
      <c r="BA1759" s="9"/>
      <c r="BB1759" s="9"/>
      <c r="BC1759" s="9"/>
      <c r="BD1759" s="9"/>
      <c r="BE1759" s="9"/>
      <c r="BF1759" s="9"/>
      <c r="BG1759" s="9"/>
      <c r="BH1759" s="9"/>
      <c r="BI1759" s="9"/>
      <c r="BJ1759" s="9"/>
      <c r="BK1759" s="9"/>
      <c r="BL1759" s="9"/>
      <c r="BM1759" s="9"/>
      <c r="BN1759" s="9"/>
      <c r="BO1759" s="9"/>
      <c r="BP1759" s="9"/>
      <c r="BQ1759" s="9"/>
      <c r="BR1759" s="9"/>
      <c r="BS1759" s="9"/>
      <c r="BT1759" s="9"/>
      <c r="BU1759" s="9"/>
      <c r="BV1759" s="9"/>
      <c r="BW1759" s="9"/>
    </row>
    <row r="1760" spans="1:75" x14ac:dyDescent="0.25">
      <c r="A1760" s="9"/>
      <c r="B1760" s="9"/>
      <c r="C1760" s="9"/>
      <c r="D1760" s="9"/>
      <c r="E1760" s="9"/>
      <c r="F1760" s="9"/>
      <c r="G1760" s="9"/>
      <c r="H1760" s="9"/>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c r="AS1760" s="9"/>
      <c r="AT1760" s="9"/>
      <c r="AU1760" s="9"/>
      <c r="AV1760" s="9"/>
      <c r="AW1760" s="9"/>
      <c r="AX1760" s="9"/>
      <c r="AY1760" s="9"/>
      <c r="AZ1760" s="9"/>
      <c r="BA1760" s="9"/>
      <c r="BB1760" s="9"/>
      <c r="BC1760" s="9"/>
      <c r="BD1760" s="9"/>
      <c r="BE1760" s="9"/>
      <c r="BF1760" s="9"/>
      <c r="BG1760" s="9"/>
      <c r="BH1760" s="9"/>
      <c r="BI1760" s="9"/>
      <c r="BJ1760" s="9"/>
      <c r="BK1760" s="9"/>
      <c r="BL1760" s="9"/>
      <c r="BM1760" s="9"/>
      <c r="BN1760" s="9"/>
      <c r="BO1760" s="9"/>
      <c r="BP1760" s="9"/>
      <c r="BQ1760" s="9"/>
      <c r="BR1760" s="9"/>
      <c r="BS1760" s="9"/>
      <c r="BT1760" s="9"/>
      <c r="BU1760" s="9"/>
      <c r="BV1760" s="9"/>
      <c r="BW1760" s="9"/>
    </row>
    <row r="1761" spans="1:75" x14ac:dyDescent="0.25">
      <c r="A1761" s="9"/>
      <c r="B1761" s="9"/>
      <c r="C1761" s="9"/>
      <c r="D1761" s="9"/>
      <c r="E1761" s="9"/>
      <c r="F1761" s="9"/>
      <c r="G1761" s="9"/>
      <c r="H1761" s="9"/>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c r="AQ1761" s="9"/>
      <c r="AR1761" s="9"/>
      <c r="AS1761" s="9"/>
      <c r="AT1761" s="9"/>
      <c r="AU1761" s="9"/>
      <c r="AV1761" s="9"/>
      <c r="AW1761" s="9"/>
      <c r="AX1761" s="9"/>
      <c r="AY1761" s="9"/>
      <c r="AZ1761" s="9"/>
      <c r="BA1761" s="9"/>
      <c r="BB1761" s="9"/>
      <c r="BC1761" s="9"/>
      <c r="BD1761" s="9"/>
      <c r="BE1761" s="9"/>
      <c r="BF1761" s="9"/>
      <c r="BG1761" s="9"/>
      <c r="BH1761" s="9"/>
      <c r="BI1761" s="9"/>
      <c r="BJ1761" s="9"/>
      <c r="BK1761" s="9"/>
      <c r="BL1761" s="9"/>
      <c r="BM1761" s="9"/>
      <c r="BN1761" s="9"/>
      <c r="BO1761" s="9"/>
      <c r="BP1761" s="9"/>
      <c r="BQ1761" s="9"/>
      <c r="BR1761" s="9"/>
      <c r="BS1761" s="9"/>
      <c r="BT1761" s="9"/>
      <c r="BU1761" s="9"/>
      <c r="BV1761" s="9"/>
      <c r="BW1761" s="9"/>
    </row>
    <row r="1762" spans="1:75" x14ac:dyDescent="0.25">
      <c r="A1762" s="9"/>
      <c r="B1762" s="9"/>
      <c r="C1762" s="9"/>
      <c r="D1762" s="9"/>
      <c r="E1762" s="9"/>
      <c r="F1762" s="9"/>
      <c r="G1762" s="9"/>
      <c r="H1762" s="9"/>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c r="AQ1762" s="9"/>
      <c r="AR1762" s="9"/>
      <c r="AS1762" s="9"/>
      <c r="AT1762" s="9"/>
      <c r="AU1762" s="9"/>
      <c r="AV1762" s="9"/>
      <c r="AW1762" s="9"/>
      <c r="AX1762" s="9"/>
      <c r="AY1762" s="9"/>
      <c r="AZ1762" s="9"/>
      <c r="BA1762" s="9"/>
      <c r="BB1762" s="9"/>
      <c r="BC1762" s="9"/>
      <c r="BD1762" s="9"/>
      <c r="BE1762" s="9"/>
      <c r="BF1762" s="9"/>
      <c r="BG1762" s="9"/>
      <c r="BH1762" s="9"/>
      <c r="BI1762" s="9"/>
      <c r="BJ1762" s="9"/>
      <c r="BK1762" s="9"/>
      <c r="BL1762" s="9"/>
      <c r="BM1762" s="9"/>
      <c r="BN1762" s="9"/>
      <c r="BO1762" s="9"/>
      <c r="BP1762" s="9"/>
      <c r="BQ1762" s="9"/>
      <c r="BR1762" s="9"/>
      <c r="BS1762" s="9"/>
      <c r="BT1762" s="9"/>
      <c r="BU1762" s="9"/>
      <c r="BV1762" s="9"/>
      <c r="BW1762" s="9"/>
    </row>
    <row r="1763" spans="1:75" x14ac:dyDescent="0.25">
      <c r="A1763" s="9"/>
      <c r="B1763" s="9"/>
      <c r="C1763" s="9"/>
      <c r="D1763" s="9"/>
      <c r="E1763" s="9"/>
      <c r="F1763" s="9"/>
      <c r="G1763" s="9"/>
      <c r="H1763" s="9"/>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c r="AQ1763" s="9"/>
      <c r="AR1763" s="9"/>
      <c r="AS1763" s="9"/>
      <c r="AT1763" s="9"/>
      <c r="AU1763" s="9"/>
      <c r="AV1763" s="9"/>
      <c r="AW1763" s="9"/>
      <c r="AX1763" s="9"/>
      <c r="AY1763" s="9"/>
      <c r="AZ1763" s="9"/>
      <c r="BA1763" s="9"/>
      <c r="BB1763" s="9"/>
      <c r="BC1763" s="9"/>
      <c r="BD1763" s="9"/>
      <c r="BE1763" s="9"/>
      <c r="BF1763" s="9"/>
      <c r="BG1763" s="9"/>
      <c r="BH1763" s="9"/>
      <c r="BI1763" s="9"/>
      <c r="BJ1763" s="9"/>
      <c r="BK1763" s="9"/>
      <c r="BL1763" s="9"/>
      <c r="BM1763" s="9"/>
      <c r="BN1763" s="9"/>
      <c r="BO1763" s="9"/>
      <c r="BP1763" s="9"/>
      <c r="BQ1763" s="9"/>
      <c r="BR1763" s="9"/>
      <c r="BS1763" s="9"/>
      <c r="BT1763" s="9"/>
      <c r="BU1763" s="9"/>
      <c r="BV1763" s="9"/>
      <c r="BW1763" s="9"/>
    </row>
    <row r="1764" spans="1:75" x14ac:dyDescent="0.25">
      <c r="A1764" s="9"/>
      <c r="B1764" s="9"/>
      <c r="C1764" s="9"/>
      <c r="D1764" s="9"/>
      <c r="E1764" s="9"/>
      <c r="F1764" s="9"/>
      <c r="G1764" s="9"/>
      <c r="H1764" s="9"/>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c r="AQ1764" s="9"/>
      <c r="AR1764" s="9"/>
      <c r="AS1764" s="9"/>
      <c r="AT1764" s="9"/>
      <c r="AU1764" s="9"/>
      <c r="AV1764" s="9"/>
      <c r="AW1764" s="9"/>
      <c r="AX1764" s="9"/>
      <c r="AY1764" s="9"/>
      <c r="AZ1764" s="9"/>
      <c r="BA1764" s="9"/>
      <c r="BB1764" s="9"/>
      <c r="BC1764" s="9"/>
      <c r="BD1764" s="9"/>
      <c r="BE1764" s="9"/>
      <c r="BF1764" s="9"/>
      <c r="BG1764" s="9"/>
      <c r="BH1764" s="9"/>
      <c r="BI1764" s="9"/>
      <c r="BJ1764" s="9"/>
      <c r="BK1764" s="9"/>
      <c r="BL1764" s="9"/>
      <c r="BM1764" s="9"/>
      <c r="BN1764" s="9"/>
      <c r="BO1764" s="9"/>
      <c r="BP1764" s="9"/>
      <c r="BQ1764" s="9"/>
      <c r="BR1764" s="9"/>
      <c r="BS1764" s="9"/>
      <c r="BT1764" s="9"/>
      <c r="BU1764" s="9"/>
      <c r="BV1764" s="9"/>
      <c r="BW1764" s="9"/>
    </row>
    <row r="1765" spans="1:75" x14ac:dyDescent="0.25">
      <c r="A1765" s="9"/>
      <c r="B1765" s="9"/>
      <c r="C1765" s="9"/>
      <c r="D1765" s="9"/>
      <c r="E1765" s="9"/>
      <c r="F1765" s="9"/>
      <c r="G1765" s="9"/>
      <c r="H1765" s="9"/>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c r="AQ1765" s="9"/>
      <c r="AR1765" s="9"/>
      <c r="AS1765" s="9"/>
      <c r="AT1765" s="9"/>
      <c r="AU1765" s="9"/>
      <c r="AV1765" s="9"/>
      <c r="AW1765" s="9"/>
      <c r="AX1765" s="9"/>
      <c r="AY1765" s="9"/>
      <c r="AZ1765" s="9"/>
      <c r="BA1765" s="9"/>
      <c r="BB1765" s="9"/>
      <c r="BC1765" s="9"/>
      <c r="BD1765" s="9"/>
      <c r="BE1765" s="9"/>
      <c r="BF1765" s="9"/>
      <c r="BG1765" s="9"/>
      <c r="BH1765" s="9"/>
      <c r="BI1765" s="9"/>
      <c r="BJ1765" s="9"/>
      <c r="BK1765" s="9"/>
      <c r="BL1765" s="9"/>
      <c r="BM1765" s="9"/>
      <c r="BN1765" s="9"/>
      <c r="BO1765" s="9"/>
      <c r="BP1765" s="9"/>
      <c r="BQ1765" s="9"/>
      <c r="BR1765" s="9"/>
      <c r="BS1765" s="9"/>
      <c r="BT1765" s="9"/>
      <c r="BU1765" s="9"/>
      <c r="BV1765" s="9"/>
      <c r="BW1765" s="9"/>
    </row>
    <row r="1766" spans="1:75" x14ac:dyDescent="0.25">
      <c r="A1766" s="9"/>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c r="AQ1766" s="9"/>
      <c r="AR1766" s="9"/>
      <c r="AS1766" s="9"/>
      <c r="AT1766" s="9"/>
      <c r="AU1766" s="9"/>
      <c r="AV1766" s="9"/>
      <c r="AW1766" s="9"/>
      <c r="AX1766" s="9"/>
      <c r="AY1766" s="9"/>
      <c r="AZ1766" s="9"/>
      <c r="BA1766" s="9"/>
      <c r="BB1766" s="9"/>
      <c r="BC1766" s="9"/>
      <c r="BD1766" s="9"/>
      <c r="BE1766" s="9"/>
      <c r="BF1766" s="9"/>
      <c r="BG1766" s="9"/>
      <c r="BH1766" s="9"/>
      <c r="BI1766" s="9"/>
      <c r="BJ1766" s="9"/>
      <c r="BK1766" s="9"/>
      <c r="BL1766" s="9"/>
      <c r="BM1766" s="9"/>
      <c r="BN1766" s="9"/>
      <c r="BO1766" s="9"/>
      <c r="BP1766" s="9"/>
      <c r="BQ1766" s="9"/>
      <c r="BR1766" s="9"/>
      <c r="BS1766" s="9"/>
      <c r="BT1766" s="9"/>
      <c r="BU1766" s="9"/>
      <c r="BV1766" s="9"/>
      <c r="BW1766" s="9"/>
    </row>
    <row r="1767" spans="1:75" x14ac:dyDescent="0.25">
      <c r="A1767" s="9"/>
      <c r="B1767" s="9"/>
      <c r="C1767" s="9"/>
      <c r="D1767" s="9"/>
      <c r="E1767" s="9"/>
      <c r="F1767" s="9"/>
      <c r="G1767" s="9"/>
      <c r="H1767" s="9"/>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c r="AQ1767" s="9"/>
      <c r="AR1767" s="9"/>
      <c r="AS1767" s="9"/>
      <c r="AT1767" s="9"/>
      <c r="AU1767" s="9"/>
      <c r="AV1767" s="9"/>
      <c r="AW1767" s="9"/>
      <c r="AX1767" s="9"/>
      <c r="AY1767" s="9"/>
      <c r="AZ1767" s="9"/>
      <c r="BA1767" s="9"/>
      <c r="BB1767" s="9"/>
      <c r="BC1767" s="9"/>
      <c r="BD1767" s="9"/>
      <c r="BE1767" s="9"/>
      <c r="BF1767" s="9"/>
      <c r="BG1767" s="9"/>
      <c r="BH1767" s="9"/>
      <c r="BI1767" s="9"/>
      <c r="BJ1767" s="9"/>
      <c r="BK1767" s="9"/>
      <c r="BL1767" s="9"/>
      <c r="BM1767" s="9"/>
      <c r="BN1767" s="9"/>
      <c r="BO1767" s="9"/>
      <c r="BP1767" s="9"/>
      <c r="BQ1767" s="9"/>
      <c r="BR1767" s="9"/>
      <c r="BS1767" s="9"/>
      <c r="BT1767" s="9"/>
      <c r="BU1767" s="9"/>
      <c r="BV1767" s="9"/>
      <c r="BW1767" s="9"/>
    </row>
    <row r="1768" spans="1:75" x14ac:dyDescent="0.25">
      <c r="A1768" s="9"/>
      <c r="B1768" s="9"/>
      <c r="C1768" s="9"/>
      <c r="D1768" s="9"/>
      <c r="E1768" s="9"/>
      <c r="F1768" s="9"/>
      <c r="G1768" s="9"/>
      <c r="H1768" s="9"/>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c r="AQ1768" s="9"/>
      <c r="AR1768" s="9"/>
      <c r="AS1768" s="9"/>
      <c r="AT1768" s="9"/>
      <c r="AU1768" s="9"/>
      <c r="AV1768" s="9"/>
      <c r="AW1768" s="9"/>
      <c r="AX1768" s="9"/>
      <c r="AY1768" s="9"/>
      <c r="AZ1768" s="9"/>
      <c r="BA1768" s="9"/>
      <c r="BB1768" s="9"/>
      <c r="BC1768" s="9"/>
      <c r="BD1768" s="9"/>
      <c r="BE1768" s="9"/>
      <c r="BF1768" s="9"/>
      <c r="BG1768" s="9"/>
      <c r="BH1768" s="9"/>
      <c r="BI1768" s="9"/>
      <c r="BJ1768" s="9"/>
      <c r="BK1768" s="9"/>
      <c r="BL1768" s="9"/>
      <c r="BM1768" s="9"/>
      <c r="BN1768" s="9"/>
      <c r="BO1768" s="9"/>
      <c r="BP1768" s="9"/>
      <c r="BQ1768" s="9"/>
      <c r="BR1768" s="9"/>
      <c r="BS1768" s="9"/>
      <c r="BT1768" s="9"/>
      <c r="BU1768" s="9"/>
      <c r="BV1768" s="9"/>
      <c r="BW1768" s="9"/>
    </row>
    <row r="1769" spans="1:75" x14ac:dyDescent="0.25">
      <c r="A1769" s="9"/>
      <c r="B1769" s="9"/>
      <c r="C1769" s="9"/>
      <c r="D1769" s="9"/>
      <c r="E1769" s="9"/>
      <c r="F1769" s="9"/>
      <c r="G1769" s="9"/>
      <c r="H1769" s="9"/>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c r="AQ1769" s="9"/>
      <c r="AR1769" s="9"/>
      <c r="AS1769" s="9"/>
      <c r="AT1769" s="9"/>
      <c r="AU1769" s="9"/>
      <c r="AV1769" s="9"/>
      <c r="AW1769" s="9"/>
      <c r="AX1769" s="9"/>
      <c r="AY1769" s="9"/>
      <c r="AZ1769" s="9"/>
      <c r="BA1769" s="9"/>
      <c r="BB1769" s="9"/>
      <c r="BC1769" s="9"/>
      <c r="BD1769" s="9"/>
      <c r="BE1769" s="9"/>
      <c r="BF1769" s="9"/>
      <c r="BG1769" s="9"/>
      <c r="BH1769" s="9"/>
      <c r="BI1769" s="9"/>
      <c r="BJ1769" s="9"/>
      <c r="BK1769" s="9"/>
      <c r="BL1769" s="9"/>
      <c r="BM1769" s="9"/>
      <c r="BN1769" s="9"/>
      <c r="BO1769" s="9"/>
      <c r="BP1769" s="9"/>
      <c r="BQ1769" s="9"/>
      <c r="BR1769" s="9"/>
      <c r="BS1769" s="9"/>
      <c r="BT1769" s="9"/>
      <c r="BU1769" s="9"/>
      <c r="BV1769" s="9"/>
      <c r="BW1769" s="9"/>
    </row>
    <row r="1770" spans="1:75" x14ac:dyDescent="0.25">
      <c r="A1770" s="9"/>
      <c r="B1770" s="9"/>
      <c r="C1770" s="9"/>
      <c r="D1770" s="9"/>
      <c r="E1770" s="9"/>
      <c r="F1770" s="9"/>
      <c r="G1770" s="9"/>
      <c r="H1770" s="9"/>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c r="AQ1770" s="9"/>
      <c r="AR1770" s="9"/>
      <c r="AS1770" s="9"/>
      <c r="AT1770" s="9"/>
      <c r="AU1770" s="9"/>
      <c r="AV1770" s="9"/>
      <c r="AW1770" s="9"/>
      <c r="AX1770" s="9"/>
      <c r="AY1770" s="9"/>
      <c r="AZ1770" s="9"/>
      <c r="BA1770" s="9"/>
      <c r="BB1770" s="9"/>
      <c r="BC1770" s="9"/>
      <c r="BD1770" s="9"/>
      <c r="BE1770" s="9"/>
      <c r="BF1770" s="9"/>
      <c r="BG1770" s="9"/>
      <c r="BH1770" s="9"/>
      <c r="BI1770" s="9"/>
      <c r="BJ1770" s="9"/>
      <c r="BK1770" s="9"/>
      <c r="BL1770" s="9"/>
      <c r="BM1770" s="9"/>
      <c r="BN1770" s="9"/>
      <c r="BO1770" s="9"/>
      <c r="BP1770" s="9"/>
      <c r="BQ1770" s="9"/>
      <c r="BR1770" s="9"/>
      <c r="BS1770" s="9"/>
      <c r="BT1770" s="9"/>
      <c r="BU1770" s="9"/>
      <c r="BV1770" s="9"/>
      <c r="BW1770" s="9"/>
    </row>
    <row r="1771" spans="1:75" x14ac:dyDescent="0.25">
      <c r="A1771" s="9"/>
      <c r="B1771" s="9"/>
      <c r="C1771" s="9"/>
      <c r="D1771" s="9"/>
      <c r="E1771" s="9"/>
      <c r="F1771" s="9"/>
      <c r="G1771" s="9"/>
      <c r="H1771" s="9"/>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c r="AS1771" s="9"/>
      <c r="AT1771" s="9"/>
      <c r="AU1771" s="9"/>
      <c r="AV1771" s="9"/>
      <c r="AW1771" s="9"/>
      <c r="AX1771" s="9"/>
      <c r="AY1771" s="9"/>
      <c r="AZ1771" s="9"/>
      <c r="BA1771" s="9"/>
      <c r="BB1771" s="9"/>
      <c r="BC1771" s="9"/>
      <c r="BD1771" s="9"/>
      <c r="BE1771" s="9"/>
      <c r="BF1771" s="9"/>
      <c r="BG1771" s="9"/>
      <c r="BH1771" s="9"/>
      <c r="BI1771" s="9"/>
      <c r="BJ1771" s="9"/>
      <c r="BK1771" s="9"/>
      <c r="BL1771" s="9"/>
      <c r="BM1771" s="9"/>
      <c r="BN1771" s="9"/>
      <c r="BO1771" s="9"/>
      <c r="BP1771" s="9"/>
      <c r="BQ1771" s="9"/>
      <c r="BR1771" s="9"/>
      <c r="BS1771" s="9"/>
      <c r="BT1771" s="9"/>
      <c r="BU1771" s="9"/>
      <c r="BV1771" s="9"/>
      <c r="BW1771" s="9"/>
    </row>
    <row r="1772" spans="1:75" x14ac:dyDescent="0.25">
      <c r="A1772" s="9"/>
      <c r="B1772" s="9"/>
      <c r="C1772" s="9"/>
      <c r="D1772" s="9"/>
      <c r="E1772" s="9"/>
      <c r="F1772" s="9"/>
      <c r="G1772" s="9"/>
      <c r="H1772" s="9"/>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c r="AQ1772" s="9"/>
      <c r="AR1772" s="9"/>
      <c r="AS1772" s="9"/>
      <c r="AT1772" s="9"/>
      <c r="AU1772" s="9"/>
      <c r="AV1772" s="9"/>
      <c r="AW1772" s="9"/>
      <c r="AX1772" s="9"/>
      <c r="AY1772" s="9"/>
      <c r="AZ1772" s="9"/>
      <c r="BA1772" s="9"/>
      <c r="BB1772" s="9"/>
      <c r="BC1772" s="9"/>
      <c r="BD1772" s="9"/>
      <c r="BE1772" s="9"/>
      <c r="BF1772" s="9"/>
      <c r="BG1772" s="9"/>
      <c r="BH1772" s="9"/>
      <c r="BI1772" s="9"/>
      <c r="BJ1772" s="9"/>
      <c r="BK1772" s="9"/>
      <c r="BL1772" s="9"/>
      <c r="BM1772" s="9"/>
      <c r="BN1772" s="9"/>
      <c r="BO1772" s="9"/>
      <c r="BP1772" s="9"/>
      <c r="BQ1772" s="9"/>
      <c r="BR1772" s="9"/>
      <c r="BS1772" s="9"/>
      <c r="BT1772" s="9"/>
      <c r="BU1772" s="9"/>
      <c r="BV1772" s="9"/>
      <c r="BW1772" s="9"/>
    </row>
    <row r="1773" spans="1:75" x14ac:dyDescent="0.25">
      <c r="A1773" s="9"/>
      <c r="B1773" s="9"/>
      <c r="C1773" s="9"/>
      <c r="D1773" s="9"/>
      <c r="E1773" s="9"/>
      <c r="F1773" s="9"/>
      <c r="G1773" s="9"/>
      <c r="H1773" s="9"/>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c r="AQ1773" s="9"/>
      <c r="AR1773" s="9"/>
      <c r="AS1773" s="9"/>
      <c r="AT1773" s="9"/>
      <c r="AU1773" s="9"/>
      <c r="AV1773" s="9"/>
      <c r="AW1773" s="9"/>
      <c r="AX1773" s="9"/>
      <c r="AY1773" s="9"/>
      <c r="AZ1773" s="9"/>
      <c r="BA1773" s="9"/>
      <c r="BB1773" s="9"/>
      <c r="BC1773" s="9"/>
      <c r="BD1773" s="9"/>
      <c r="BE1773" s="9"/>
      <c r="BF1773" s="9"/>
      <c r="BG1773" s="9"/>
      <c r="BH1773" s="9"/>
      <c r="BI1773" s="9"/>
      <c r="BJ1773" s="9"/>
      <c r="BK1773" s="9"/>
      <c r="BL1773" s="9"/>
      <c r="BM1773" s="9"/>
      <c r="BN1773" s="9"/>
      <c r="BO1773" s="9"/>
      <c r="BP1773" s="9"/>
      <c r="BQ1773" s="9"/>
      <c r="BR1773" s="9"/>
      <c r="BS1773" s="9"/>
      <c r="BT1773" s="9"/>
      <c r="BU1773" s="9"/>
      <c r="BV1773" s="9"/>
      <c r="BW1773" s="9"/>
    </row>
    <row r="1774" spans="1:75" x14ac:dyDescent="0.25">
      <c r="A1774" s="9"/>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c r="AQ1774" s="9"/>
      <c r="AR1774" s="9"/>
      <c r="AS1774" s="9"/>
      <c r="AT1774" s="9"/>
      <c r="AU1774" s="9"/>
      <c r="AV1774" s="9"/>
      <c r="AW1774" s="9"/>
      <c r="AX1774" s="9"/>
      <c r="AY1774" s="9"/>
      <c r="AZ1774" s="9"/>
      <c r="BA1774" s="9"/>
      <c r="BB1774" s="9"/>
      <c r="BC1774" s="9"/>
      <c r="BD1774" s="9"/>
      <c r="BE1774" s="9"/>
      <c r="BF1774" s="9"/>
      <c r="BG1774" s="9"/>
      <c r="BH1774" s="9"/>
      <c r="BI1774" s="9"/>
      <c r="BJ1774" s="9"/>
      <c r="BK1774" s="9"/>
      <c r="BL1774" s="9"/>
      <c r="BM1774" s="9"/>
      <c r="BN1774" s="9"/>
      <c r="BO1774" s="9"/>
      <c r="BP1774" s="9"/>
      <c r="BQ1774" s="9"/>
      <c r="BR1774" s="9"/>
      <c r="BS1774" s="9"/>
      <c r="BT1774" s="9"/>
      <c r="BU1774" s="9"/>
      <c r="BV1774" s="9"/>
      <c r="BW1774" s="9"/>
    </row>
    <row r="1775" spans="1:75" x14ac:dyDescent="0.25">
      <c r="A1775" s="9"/>
      <c r="B1775" s="9"/>
      <c r="C1775" s="9"/>
      <c r="D1775" s="9"/>
      <c r="E1775" s="9"/>
      <c r="F1775" s="9"/>
      <c r="G1775" s="9"/>
      <c r="H1775" s="9"/>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c r="AQ1775" s="9"/>
      <c r="AR1775" s="9"/>
      <c r="AS1775" s="9"/>
      <c r="AT1775" s="9"/>
      <c r="AU1775" s="9"/>
      <c r="AV1775" s="9"/>
      <c r="AW1775" s="9"/>
      <c r="AX1775" s="9"/>
      <c r="AY1775" s="9"/>
      <c r="AZ1775" s="9"/>
      <c r="BA1775" s="9"/>
      <c r="BB1775" s="9"/>
      <c r="BC1775" s="9"/>
      <c r="BD1775" s="9"/>
      <c r="BE1775" s="9"/>
      <c r="BF1775" s="9"/>
      <c r="BG1775" s="9"/>
      <c r="BH1775" s="9"/>
      <c r="BI1775" s="9"/>
      <c r="BJ1775" s="9"/>
      <c r="BK1775" s="9"/>
      <c r="BL1775" s="9"/>
      <c r="BM1775" s="9"/>
      <c r="BN1775" s="9"/>
      <c r="BO1775" s="9"/>
      <c r="BP1775" s="9"/>
      <c r="BQ1775" s="9"/>
      <c r="BR1775" s="9"/>
      <c r="BS1775" s="9"/>
      <c r="BT1775" s="9"/>
      <c r="BU1775" s="9"/>
      <c r="BV1775" s="9"/>
      <c r="BW1775" s="9"/>
    </row>
    <row r="1776" spans="1:75" x14ac:dyDescent="0.25">
      <c r="A1776" s="9"/>
      <c r="B1776" s="9"/>
      <c r="C1776" s="9"/>
      <c r="D1776" s="9"/>
      <c r="E1776" s="9"/>
      <c r="F1776" s="9"/>
      <c r="G1776" s="9"/>
      <c r="H1776" s="9"/>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c r="AQ1776" s="9"/>
      <c r="AR1776" s="9"/>
      <c r="AS1776" s="9"/>
      <c r="AT1776" s="9"/>
      <c r="AU1776" s="9"/>
      <c r="AV1776" s="9"/>
      <c r="AW1776" s="9"/>
      <c r="AX1776" s="9"/>
      <c r="AY1776" s="9"/>
      <c r="AZ1776" s="9"/>
      <c r="BA1776" s="9"/>
      <c r="BB1776" s="9"/>
      <c r="BC1776" s="9"/>
      <c r="BD1776" s="9"/>
      <c r="BE1776" s="9"/>
      <c r="BF1776" s="9"/>
      <c r="BG1776" s="9"/>
      <c r="BH1776" s="9"/>
      <c r="BI1776" s="9"/>
      <c r="BJ1776" s="9"/>
      <c r="BK1776" s="9"/>
      <c r="BL1776" s="9"/>
      <c r="BM1776" s="9"/>
      <c r="BN1776" s="9"/>
      <c r="BO1776" s="9"/>
      <c r="BP1776" s="9"/>
      <c r="BQ1776" s="9"/>
      <c r="BR1776" s="9"/>
      <c r="BS1776" s="9"/>
      <c r="BT1776" s="9"/>
      <c r="BU1776" s="9"/>
      <c r="BV1776" s="9"/>
      <c r="BW1776" s="9"/>
    </row>
    <row r="1777" spans="1:75" x14ac:dyDescent="0.25">
      <c r="A1777" s="9"/>
      <c r="B1777" s="9"/>
      <c r="C1777" s="9"/>
      <c r="D1777" s="9"/>
      <c r="E1777" s="9"/>
      <c r="F1777" s="9"/>
      <c r="G1777" s="9"/>
      <c r="H1777" s="9"/>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c r="AQ1777" s="9"/>
      <c r="AR1777" s="9"/>
      <c r="AS1777" s="9"/>
      <c r="AT1777" s="9"/>
      <c r="AU1777" s="9"/>
      <c r="AV1777" s="9"/>
      <c r="AW1777" s="9"/>
      <c r="AX1777" s="9"/>
      <c r="AY1777" s="9"/>
      <c r="AZ1777" s="9"/>
      <c r="BA1777" s="9"/>
      <c r="BB1777" s="9"/>
      <c r="BC1777" s="9"/>
      <c r="BD1777" s="9"/>
      <c r="BE1777" s="9"/>
      <c r="BF1777" s="9"/>
      <c r="BG1777" s="9"/>
      <c r="BH1777" s="9"/>
      <c r="BI1777" s="9"/>
      <c r="BJ1777" s="9"/>
      <c r="BK1777" s="9"/>
      <c r="BL1777" s="9"/>
      <c r="BM1777" s="9"/>
      <c r="BN1777" s="9"/>
      <c r="BO1777" s="9"/>
      <c r="BP1777" s="9"/>
      <c r="BQ1777" s="9"/>
      <c r="BR1777" s="9"/>
      <c r="BS1777" s="9"/>
      <c r="BT1777" s="9"/>
      <c r="BU1777" s="9"/>
      <c r="BV1777" s="9"/>
      <c r="BW1777" s="9"/>
    </row>
    <row r="1778" spans="1:75" x14ac:dyDescent="0.25">
      <c r="A1778" s="9"/>
      <c r="B1778" s="9"/>
      <c r="C1778" s="9"/>
      <c r="D1778" s="9"/>
      <c r="E1778" s="9"/>
      <c r="F1778" s="9"/>
      <c r="G1778" s="9"/>
      <c r="H1778" s="9"/>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c r="AQ1778" s="9"/>
      <c r="AR1778" s="9"/>
      <c r="AS1778" s="9"/>
      <c r="AT1778" s="9"/>
      <c r="AU1778" s="9"/>
      <c r="AV1778" s="9"/>
      <c r="AW1778" s="9"/>
      <c r="AX1778" s="9"/>
      <c r="AY1778" s="9"/>
      <c r="AZ1778" s="9"/>
      <c r="BA1778" s="9"/>
      <c r="BB1778" s="9"/>
      <c r="BC1778" s="9"/>
      <c r="BD1778" s="9"/>
      <c r="BE1778" s="9"/>
      <c r="BF1778" s="9"/>
      <c r="BG1778" s="9"/>
      <c r="BH1778" s="9"/>
      <c r="BI1778" s="9"/>
      <c r="BJ1778" s="9"/>
      <c r="BK1778" s="9"/>
      <c r="BL1778" s="9"/>
      <c r="BM1778" s="9"/>
      <c r="BN1778" s="9"/>
      <c r="BO1778" s="9"/>
      <c r="BP1778" s="9"/>
      <c r="BQ1778" s="9"/>
      <c r="BR1778" s="9"/>
      <c r="BS1778" s="9"/>
      <c r="BT1778" s="9"/>
      <c r="BU1778" s="9"/>
      <c r="BV1778" s="9"/>
      <c r="BW1778" s="9"/>
    </row>
    <row r="1779" spans="1:75" x14ac:dyDescent="0.25">
      <c r="A1779" s="9"/>
      <c r="B1779" s="9"/>
      <c r="C1779" s="9"/>
      <c r="D1779" s="9"/>
      <c r="E1779" s="9"/>
      <c r="F1779" s="9"/>
      <c r="G1779" s="9"/>
      <c r="H1779" s="9"/>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c r="AQ1779" s="9"/>
      <c r="AR1779" s="9"/>
      <c r="AS1779" s="9"/>
      <c r="AT1779" s="9"/>
      <c r="AU1779" s="9"/>
      <c r="AV1779" s="9"/>
      <c r="AW1779" s="9"/>
      <c r="AX1779" s="9"/>
      <c r="AY1779" s="9"/>
      <c r="AZ1779" s="9"/>
      <c r="BA1779" s="9"/>
      <c r="BB1779" s="9"/>
      <c r="BC1779" s="9"/>
      <c r="BD1779" s="9"/>
      <c r="BE1779" s="9"/>
      <c r="BF1779" s="9"/>
      <c r="BG1779" s="9"/>
      <c r="BH1779" s="9"/>
      <c r="BI1779" s="9"/>
      <c r="BJ1779" s="9"/>
      <c r="BK1779" s="9"/>
      <c r="BL1779" s="9"/>
      <c r="BM1779" s="9"/>
      <c r="BN1779" s="9"/>
      <c r="BO1779" s="9"/>
      <c r="BP1779" s="9"/>
      <c r="BQ1779" s="9"/>
      <c r="BR1779" s="9"/>
      <c r="BS1779" s="9"/>
      <c r="BT1779" s="9"/>
      <c r="BU1779" s="9"/>
      <c r="BV1779" s="9"/>
      <c r="BW1779" s="9"/>
    </row>
    <row r="1780" spans="1:75" x14ac:dyDescent="0.25">
      <c r="A1780" s="9"/>
      <c r="B1780" s="9"/>
      <c r="C1780" s="9"/>
      <c r="D1780" s="9"/>
      <c r="E1780" s="9"/>
      <c r="F1780" s="9"/>
      <c r="G1780" s="9"/>
      <c r="H1780" s="9"/>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c r="AQ1780" s="9"/>
      <c r="AR1780" s="9"/>
      <c r="AS1780" s="9"/>
      <c r="AT1780" s="9"/>
      <c r="AU1780" s="9"/>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row>
    <row r="1781" spans="1:75" x14ac:dyDescent="0.25">
      <c r="A1781" s="9"/>
      <c r="B1781" s="9"/>
      <c r="C1781" s="9"/>
      <c r="D1781" s="9"/>
      <c r="E1781" s="9"/>
      <c r="F1781" s="9"/>
      <c r="G1781" s="9"/>
      <c r="H1781" s="9"/>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c r="AQ1781" s="9"/>
      <c r="AR1781" s="9"/>
      <c r="AS1781" s="9"/>
      <c r="AT1781" s="9"/>
      <c r="AU1781" s="9"/>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row>
    <row r="1782" spans="1:75" x14ac:dyDescent="0.25">
      <c r="A1782" s="9"/>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row>
    <row r="1783" spans="1:75" x14ac:dyDescent="0.25">
      <c r="A1783" s="9"/>
      <c r="B1783" s="9"/>
      <c r="C1783" s="9"/>
      <c r="D1783" s="9"/>
      <c r="E1783" s="9"/>
      <c r="F1783" s="9"/>
      <c r="G1783" s="9"/>
      <c r="H1783" s="9"/>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c r="AQ1783" s="9"/>
      <c r="AR1783" s="9"/>
      <c r="AS1783" s="9"/>
      <c r="AT1783" s="9"/>
      <c r="AU1783" s="9"/>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row>
    <row r="1784" spans="1:75" x14ac:dyDescent="0.25">
      <c r="A1784" s="9"/>
      <c r="B1784" s="9"/>
      <c r="C1784" s="9"/>
      <c r="D1784" s="9"/>
      <c r="E1784" s="9"/>
      <c r="F1784" s="9"/>
      <c r="G1784" s="9"/>
      <c r="H1784" s="9"/>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c r="AQ1784" s="9"/>
      <c r="AR1784" s="9"/>
      <c r="AS1784" s="9"/>
      <c r="AT1784" s="9"/>
      <c r="AU1784" s="9"/>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row>
    <row r="1785" spans="1:75" x14ac:dyDescent="0.25">
      <c r="A1785" s="9"/>
      <c r="B1785" s="9"/>
      <c r="C1785" s="9"/>
      <c r="D1785" s="9"/>
      <c r="E1785" s="9"/>
      <c r="F1785" s="9"/>
      <c r="G1785" s="9"/>
      <c r="H1785" s="9"/>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c r="AS1785" s="9"/>
      <c r="AT1785" s="9"/>
      <c r="AU1785" s="9"/>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row>
    <row r="1786" spans="1:75" x14ac:dyDescent="0.25">
      <c r="A1786" s="9"/>
      <c r="B1786" s="9"/>
      <c r="C1786" s="9"/>
      <c r="D1786" s="9"/>
      <c r="E1786" s="9"/>
      <c r="F1786" s="9"/>
      <c r="G1786" s="9"/>
      <c r="H1786" s="9"/>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c r="AQ1786" s="9"/>
      <c r="AR1786" s="9"/>
      <c r="AS1786" s="9"/>
      <c r="AT1786" s="9"/>
      <c r="AU1786" s="9"/>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row>
    <row r="1787" spans="1:75" x14ac:dyDescent="0.25">
      <c r="A1787" s="9"/>
      <c r="B1787" s="9"/>
      <c r="C1787" s="9"/>
      <c r="D1787" s="9"/>
      <c r="E1787" s="9"/>
      <c r="F1787" s="9"/>
      <c r="G1787" s="9"/>
      <c r="H1787" s="9"/>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c r="AQ1787" s="9"/>
      <c r="AR1787" s="9"/>
      <c r="AS1787" s="9"/>
      <c r="AT1787" s="9"/>
      <c r="AU1787" s="9"/>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row>
    <row r="1788" spans="1:75" x14ac:dyDescent="0.25">
      <c r="A1788" s="9"/>
      <c r="B1788" s="9"/>
      <c r="C1788" s="9"/>
      <c r="D1788" s="9"/>
      <c r="E1788" s="9"/>
      <c r="F1788" s="9"/>
      <c r="G1788" s="9"/>
      <c r="H1788" s="9"/>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c r="AS1788" s="9"/>
      <c r="AT1788" s="9"/>
      <c r="AU1788" s="9"/>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row>
    <row r="1789" spans="1:75" x14ac:dyDescent="0.25">
      <c r="A1789" s="9"/>
      <c r="B1789" s="9"/>
      <c r="C1789" s="9"/>
      <c r="D1789" s="9"/>
      <c r="E1789" s="9"/>
      <c r="F1789" s="9"/>
      <c r="G1789" s="9"/>
      <c r="H1789" s="9"/>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c r="AS1789" s="9"/>
      <c r="AT1789" s="9"/>
      <c r="AU1789" s="9"/>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row>
    <row r="1790" spans="1:75" x14ac:dyDescent="0.25">
      <c r="A1790" s="9"/>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row>
    <row r="1791" spans="1:75" x14ac:dyDescent="0.25">
      <c r="A1791" s="9"/>
      <c r="B1791" s="9"/>
      <c r="C1791" s="9"/>
      <c r="D1791" s="9"/>
      <c r="E1791" s="9"/>
      <c r="F1791" s="9"/>
      <c r="G1791" s="9"/>
      <c r="H1791" s="9"/>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c r="AQ1791" s="9"/>
      <c r="AR1791" s="9"/>
      <c r="AS1791" s="9"/>
      <c r="AT1791" s="9"/>
      <c r="AU1791" s="9"/>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row>
    <row r="1792" spans="1:75" x14ac:dyDescent="0.25">
      <c r="A1792" s="9"/>
      <c r="B1792" s="9"/>
      <c r="C1792" s="9"/>
      <c r="D1792" s="9"/>
      <c r="E1792" s="9"/>
      <c r="F1792" s="9"/>
      <c r="G1792" s="9"/>
      <c r="H1792" s="9"/>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c r="AQ1792" s="9"/>
      <c r="AR1792" s="9"/>
      <c r="AS1792" s="9"/>
      <c r="AT1792" s="9"/>
      <c r="AU1792" s="9"/>
      <c r="AV1792" s="9"/>
      <c r="AW1792" s="9"/>
      <c r="AX1792" s="9"/>
      <c r="AY1792" s="9"/>
      <c r="AZ1792" s="9"/>
      <c r="BA1792" s="9"/>
      <c r="BB1792" s="9"/>
      <c r="BC1792" s="9"/>
      <c r="BD1792" s="9"/>
      <c r="BE1792" s="9"/>
      <c r="BF1792" s="9"/>
      <c r="BG1792" s="9"/>
      <c r="BH1792" s="9"/>
      <c r="BI1792" s="9"/>
      <c r="BJ1792" s="9"/>
      <c r="BK1792" s="9"/>
      <c r="BL1792" s="9"/>
      <c r="BM1792" s="9"/>
      <c r="BN1792" s="9"/>
      <c r="BO1792" s="9"/>
      <c r="BP1792" s="9"/>
      <c r="BQ1792" s="9"/>
      <c r="BR1792" s="9"/>
      <c r="BS1792" s="9"/>
      <c r="BT1792" s="9"/>
      <c r="BU1792" s="9"/>
      <c r="BV1792" s="9"/>
      <c r="BW1792" s="9"/>
    </row>
    <row r="1793" spans="1:75" x14ac:dyDescent="0.25">
      <c r="A1793" s="9"/>
      <c r="B1793" s="9"/>
      <c r="C1793" s="9"/>
      <c r="D1793" s="9"/>
      <c r="E1793" s="9"/>
      <c r="F1793" s="9"/>
      <c r="G1793" s="9"/>
      <c r="H1793" s="9"/>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c r="AQ1793" s="9"/>
      <c r="AR1793" s="9"/>
      <c r="AS1793" s="9"/>
      <c r="AT1793" s="9"/>
      <c r="AU1793" s="9"/>
      <c r="AV1793" s="9"/>
      <c r="AW1793" s="9"/>
      <c r="AX1793" s="9"/>
      <c r="AY1793" s="9"/>
      <c r="AZ1793" s="9"/>
      <c r="BA1793" s="9"/>
      <c r="BB1793" s="9"/>
      <c r="BC1793" s="9"/>
      <c r="BD1793" s="9"/>
      <c r="BE1793" s="9"/>
      <c r="BF1793" s="9"/>
      <c r="BG1793" s="9"/>
      <c r="BH1793" s="9"/>
      <c r="BI1793" s="9"/>
      <c r="BJ1793" s="9"/>
      <c r="BK1793" s="9"/>
      <c r="BL1793" s="9"/>
      <c r="BM1793" s="9"/>
      <c r="BN1793" s="9"/>
      <c r="BO1793" s="9"/>
      <c r="BP1793" s="9"/>
      <c r="BQ1793" s="9"/>
      <c r="BR1793" s="9"/>
      <c r="BS1793" s="9"/>
      <c r="BT1793" s="9"/>
      <c r="BU1793" s="9"/>
      <c r="BV1793" s="9"/>
      <c r="BW1793" s="9"/>
    </row>
    <row r="1794" spans="1:75" x14ac:dyDescent="0.25">
      <c r="A1794" s="9"/>
      <c r="B1794" s="9"/>
      <c r="C1794" s="9"/>
      <c r="D1794" s="9"/>
      <c r="E1794" s="9"/>
      <c r="F1794" s="9"/>
      <c r="G1794" s="9"/>
      <c r="H1794" s="9"/>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c r="AQ1794" s="9"/>
      <c r="AR1794" s="9"/>
      <c r="AS1794" s="9"/>
      <c r="AT1794" s="9"/>
      <c r="AU1794" s="9"/>
      <c r="AV1794" s="9"/>
      <c r="AW1794" s="9"/>
      <c r="AX1794" s="9"/>
      <c r="AY1794" s="9"/>
      <c r="AZ1794" s="9"/>
      <c r="BA1794" s="9"/>
      <c r="BB1794" s="9"/>
      <c r="BC1794" s="9"/>
      <c r="BD1794" s="9"/>
      <c r="BE1794" s="9"/>
      <c r="BF1794" s="9"/>
      <c r="BG1794" s="9"/>
      <c r="BH1794" s="9"/>
      <c r="BI1794" s="9"/>
      <c r="BJ1794" s="9"/>
      <c r="BK1794" s="9"/>
      <c r="BL1794" s="9"/>
      <c r="BM1794" s="9"/>
      <c r="BN1794" s="9"/>
      <c r="BO1794" s="9"/>
      <c r="BP1794" s="9"/>
      <c r="BQ1794" s="9"/>
      <c r="BR1794" s="9"/>
      <c r="BS1794" s="9"/>
      <c r="BT1794" s="9"/>
      <c r="BU1794" s="9"/>
      <c r="BV1794" s="9"/>
      <c r="BW1794" s="9"/>
    </row>
    <row r="1795" spans="1:75" x14ac:dyDescent="0.25">
      <c r="A1795" s="9"/>
      <c r="B1795" s="9"/>
      <c r="C1795" s="9"/>
      <c r="D1795" s="9"/>
      <c r="E1795" s="9"/>
      <c r="F1795" s="9"/>
      <c r="G1795" s="9"/>
      <c r="H1795" s="9"/>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c r="AQ1795" s="9"/>
      <c r="AR1795" s="9"/>
      <c r="AS1795" s="9"/>
      <c r="AT1795" s="9"/>
      <c r="AU1795" s="9"/>
      <c r="AV1795" s="9"/>
      <c r="AW1795" s="9"/>
      <c r="AX1795" s="9"/>
      <c r="AY1795" s="9"/>
      <c r="AZ1795" s="9"/>
      <c r="BA1795" s="9"/>
      <c r="BB1795" s="9"/>
      <c r="BC1795" s="9"/>
      <c r="BD1795" s="9"/>
      <c r="BE1795" s="9"/>
      <c r="BF1795" s="9"/>
      <c r="BG1795" s="9"/>
      <c r="BH1795" s="9"/>
      <c r="BI1795" s="9"/>
      <c r="BJ1795" s="9"/>
      <c r="BK1795" s="9"/>
      <c r="BL1795" s="9"/>
      <c r="BM1795" s="9"/>
      <c r="BN1795" s="9"/>
      <c r="BO1795" s="9"/>
      <c r="BP1795" s="9"/>
      <c r="BQ1795" s="9"/>
      <c r="BR1795" s="9"/>
      <c r="BS1795" s="9"/>
      <c r="BT1795" s="9"/>
      <c r="BU1795" s="9"/>
      <c r="BV1795" s="9"/>
      <c r="BW1795" s="9"/>
    </row>
    <row r="1796" spans="1:75" x14ac:dyDescent="0.25">
      <c r="A1796" s="9"/>
      <c r="B1796" s="9"/>
      <c r="C1796" s="9"/>
      <c r="D1796" s="9"/>
      <c r="E1796" s="9"/>
      <c r="F1796" s="9"/>
      <c r="G1796" s="9"/>
      <c r="H1796" s="9"/>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c r="AQ1796" s="9"/>
      <c r="AR1796" s="9"/>
      <c r="AS1796" s="9"/>
      <c r="AT1796" s="9"/>
      <c r="AU1796" s="9"/>
      <c r="AV1796" s="9"/>
      <c r="AW1796" s="9"/>
      <c r="AX1796" s="9"/>
      <c r="AY1796" s="9"/>
      <c r="AZ1796" s="9"/>
      <c r="BA1796" s="9"/>
      <c r="BB1796" s="9"/>
      <c r="BC1796" s="9"/>
      <c r="BD1796" s="9"/>
      <c r="BE1796" s="9"/>
      <c r="BF1796" s="9"/>
      <c r="BG1796" s="9"/>
      <c r="BH1796" s="9"/>
      <c r="BI1796" s="9"/>
      <c r="BJ1796" s="9"/>
      <c r="BK1796" s="9"/>
      <c r="BL1796" s="9"/>
      <c r="BM1796" s="9"/>
      <c r="BN1796" s="9"/>
      <c r="BO1796" s="9"/>
      <c r="BP1796" s="9"/>
      <c r="BQ1796" s="9"/>
      <c r="BR1796" s="9"/>
      <c r="BS1796" s="9"/>
      <c r="BT1796" s="9"/>
      <c r="BU1796" s="9"/>
      <c r="BV1796" s="9"/>
      <c r="BW1796" s="9"/>
    </row>
    <row r="1797" spans="1:75" x14ac:dyDescent="0.25">
      <c r="A1797" s="9"/>
      <c r="B1797" s="9"/>
      <c r="C1797" s="9"/>
      <c r="D1797" s="9"/>
      <c r="E1797" s="9"/>
      <c r="F1797" s="9"/>
      <c r="G1797" s="9"/>
      <c r="H1797" s="9"/>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c r="AQ1797" s="9"/>
      <c r="AR1797" s="9"/>
      <c r="AS1797" s="9"/>
      <c r="AT1797" s="9"/>
      <c r="AU1797" s="9"/>
      <c r="AV1797" s="9"/>
      <c r="AW1797" s="9"/>
      <c r="AX1797" s="9"/>
      <c r="AY1797" s="9"/>
      <c r="AZ1797" s="9"/>
      <c r="BA1797" s="9"/>
      <c r="BB1797" s="9"/>
      <c r="BC1797" s="9"/>
      <c r="BD1797" s="9"/>
      <c r="BE1797" s="9"/>
      <c r="BF1797" s="9"/>
      <c r="BG1797" s="9"/>
      <c r="BH1797" s="9"/>
      <c r="BI1797" s="9"/>
      <c r="BJ1797" s="9"/>
      <c r="BK1797" s="9"/>
      <c r="BL1797" s="9"/>
      <c r="BM1797" s="9"/>
      <c r="BN1797" s="9"/>
      <c r="BO1797" s="9"/>
      <c r="BP1797" s="9"/>
      <c r="BQ1797" s="9"/>
      <c r="BR1797" s="9"/>
      <c r="BS1797" s="9"/>
      <c r="BT1797" s="9"/>
      <c r="BU1797" s="9"/>
      <c r="BV1797" s="9"/>
      <c r="BW1797" s="9"/>
    </row>
    <row r="1798" spans="1:75" x14ac:dyDescent="0.25">
      <c r="A1798" s="9"/>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c r="AQ1798" s="9"/>
      <c r="AR1798" s="9"/>
      <c r="AS1798" s="9"/>
      <c r="AT1798" s="9"/>
      <c r="AU1798" s="9"/>
      <c r="AV1798" s="9"/>
      <c r="AW1798" s="9"/>
      <c r="AX1798" s="9"/>
      <c r="AY1798" s="9"/>
      <c r="AZ1798" s="9"/>
      <c r="BA1798" s="9"/>
      <c r="BB1798" s="9"/>
      <c r="BC1798" s="9"/>
      <c r="BD1798" s="9"/>
      <c r="BE1798" s="9"/>
      <c r="BF1798" s="9"/>
      <c r="BG1798" s="9"/>
      <c r="BH1798" s="9"/>
      <c r="BI1798" s="9"/>
      <c r="BJ1798" s="9"/>
      <c r="BK1798" s="9"/>
      <c r="BL1798" s="9"/>
      <c r="BM1798" s="9"/>
      <c r="BN1798" s="9"/>
      <c r="BO1798" s="9"/>
      <c r="BP1798" s="9"/>
      <c r="BQ1798" s="9"/>
      <c r="BR1798" s="9"/>
      <c r="BS1798" s="9"/>
      <c r="BT1798" s="9"/>
      <c r="BU1798" s="9"/>
      <c r="BV1798" s="9"/>
      <c r="BW1798" s="9"/>
    </row>
    <row r="1799" spans="1:75" x14ac:dyDescent="0.25">
      <c r="A1799" s="9"/>
      <c r="B1799" s="9"/>
      <c r="C1799" s="9"/>
      <c r="D1799" s="9"/>
      <c r="E1799" s="9"/>
      <c r="F1799" s="9"/>
      <c r="G1799" s="9"/>
      <c r="H1799" s="9"/>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c r="AQ1799" s="9"/>
      <c r="AR1799" s="9"/>
      <c r="AS1799" s="9"/>
      <c r="AT1799" s="9"/>
      <c r="AU1799" s="9"/>
      <c r="AV1799" s="9"/>
      <c r="AW1799" s="9"/>
      <c r="AX1799" s="9"/>
      <c r="AY1799" s="9"/>
      <c r="AZ1799" s="9"/>
      <c r="BA1799" s="9"/>
      <c r="BB1799" s="9"/>
      <c r="BC1799" s="9"/>
      <c r="BD1799" s="9"/>
      <c r="BE1799" s="9"/>
      <c r="BF1799" s="9"/>
      <c r="BG1799" s="9"/>
      <c r="BH1799" s="9"/>
      <c r="BI1799" s="9"/>
      <c r="BJ1799" s="9"/>
      <c r="BK1799" s="9"/>
      <c r="BL1799" s="9"/>
      <c r="BM1799" s="9"/>
      <c r="BN1799" s="9"/>
      <c r="BO1799" s="9"/>
      <c r="BP1799" s="9"/>
      <c r="BQ1799" s="9"/>
      <c r="BR1799" s="9"/>
      <c r="BS1799" s="9"/>
      <c r="BT1799" s="9"/>
      <c r="BU1799" s="9"/>
      <c r="BV1799" s="9"/>
      <c r="BW1799" s="9"/>
    </row>
    <row r="1800" spans="1:75" x14ac:dyDescent="0.25">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c r="AQ1800" s="9"/>
      <c r="AR1800" s="9"/>
      <c r="AS1800" s="9"/>
      <c r="AT1800" s="9"/>
      <c r="AU1800" s="9"/>
      <c r="AV1800" s="9"/>
      <c r="AW1800" s="9"/>
      <c r="AX1800" s="9"/>
      <c r="AY1800" s="9"/>
      <c r="AZ1800" s="9"/>
      <c r="BA1800" s="9"/>
      <c r="BB1800" s="9"/>
      <c r="BC1800" s="9"/>
      <c r="BD1800" s="9"/>
      <c r="BE1800" s="9"/>
      <c r="BF1800" s="9"/>
      <c r="BG1800" s="9"/>
      <c r="BH1800" s="9"/>
      <c r="BI1800" s="9"/>
      <c r="BJ1800" s="9"/>
      <c r="BK1800" s="9"/>
      <c r="BL1800" s="9"/>
      <c r="BM1800" s="9"/>
      <c r="BN1800" s="9"/>
      <c r="BO1800" s="9"/>
      <c r="BP1800" s="9"/>
      <c r="BQ1800" s="9"/>
      <c r="BR1800" s="9"/>
      <c r="BS1800" s="9"/>
      <c r="BT1800" s="9"/>
      <c r="BU1800" s="9"/>
      <c r="BV1800" s="9"/>
      <c r="BW1800" s="9"/>
    </row>
    <row r="1801" spans="1:75" x14ac:dyDescent="0.25">
      <c r="A1801" s="9"/>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c r="AX1801" s="9"/>
      <c r="AY1801" s="9"/>
      <c r="AZ1801" s="9"/>
      <c r="BA1801" s="9"/>
      <c r="BB1801" s="9"/>
      <c r="BC1801" s="9"/>
      <c r="BD1801" s="9"/>
      <c r="BE1801" s="9"/>
      <c r="BF1801" s="9"/>
      <c r="BG1801" s="9"/>
      <c r="BH1801" s="9"/>
      <c r="BI1801" s="9"/>
      <c r="BJ1801" s="9"/>
      <c r="BK1801" s="9"/>
      <c r="BL1801" s="9"/>
      <c r="BM1801" s="9"/>
      <c r="BN1801" s="9"/>
      <c r="BO1801" s="9"/>
      <c r="BP1801" s="9"/>
      <c r="BQ1801" s="9"/>
      <c r="BR1801" s="9"/>
      <c r="BS1801" s="9"/>
      <c r="BT1801" s="9"/>
      <c r="BU1801" s="9"/>
      <c r="BV1801" s="9"/>
      <c r="BW1801" s="9"/>
    </row>
    <row r="1802" spans="1:75" x14ac:dyDescent="0.25">
      <c r="A1802" s="9"/>
      <c r="B1802" s="9"/>
      <c r="C1802" s="9"/>
      <c r="D1802" s="9"/>
      <c r="E1802" s="9"/>
      <c r="F1802" s="9"/>
      <c r="G1802" s="9"/>
      <c r="H1802" s="9"/>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c r="AS1802" s="9"/>
      <c r="AT1802" s="9"/>
      <c r="AU1802" s="9"/>
      <c r="AV1802" s="9"/>
      <c r="AW1802" s="9"/>
      <c r="AX1802" s="9"/>
      <c r="AY1802" s="9"/>
      <c r="AZ1802" s="9"/>
      <c r="BA1802" s="9"/>
      <c r="BB1802" s="9"/>
      <c r="BC1802" s="9"/>
      <c r="BD1802" s="9"/>
      <c r="BE1802" s="9"/>
      <c r="BF1802" s="9"/>
      <c r="BG1802" s="9"/>
      <c r="BH1802" s="9"/>
      <c r="BI1802" s="9"/>
      <c r="BJ1802" s="9"/>
      <c r="BK1802" s="9"/>
      <c r="BL1802" s="9"/>
      <c r="BM1802" s="9"/>
      <c r="BN1802" s="9"/>
      <c r="BO1802" s="9"/>
      <c r="BP1802" s="9"/>
      <c r="BQ1802" s="9"/>
      <c r="BR1802" s="9"/>
      <c r="BS1802" s="9"/>
      <c r="BT1802" s="9"/>
      <c r="BU1802" s="9"/>
      <c r="BV1802" s="9"/>
      <c r="BW1802" s="9"/>
    </row>
    <row r="1803" spans="1:75" x14ac:dyDescent="0.25">
      <c r="A1803" s="9"/>
      <c r="B1803" s="9"/>
      <c r="C1803" s="9"/>
      <c r="D1803" s="9"/>
      <c r="E1803" s="9"/>
      <c r="F1803" s="9"/>
      <c r="G1803" s="9"/>
      <c r="H1803" s="9"/>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c r="AQ1803" s="9"/>
      <c r="AR1803" s="9"/>
      <c r="AS1803" s="9"/>
      <c r="AT1803" s="9"/>
      <c r="AU1803" s="9"/>
      <c r="AV1803" s="9"/>
      <c r="AW1803" s="9"/>
      <c r="AX1803" s="9"/>
      <c r="AY1803" s="9"/>
      <c r="AZ1803" s="9"/>
      <c r="BA1803" s="9"/>
      <c r="BB1803" s="9"/>
      <c r="BC1803" s="9"/>
      <c r="BD1803" s="9"/>
      <c r="BE1803" s="9"/>
      <c r="BF1803" s="9"/>
      <c r="BG1803" s="9"/>
      <c r="BH1803" s="9"/>
      <c r="BI1803" s="9"/>
      <c r="BJ1803" s="9"/>
      <c r="BK1803" s="9"/>
      <c r="BL1803" s="9"/>
      <c r="BM1803" s="9"/>
      <c r="BN1803" s="9"/>
      <c r="BO1803" s="9"/>
      <c r="BP1803" s="9"/>
      <c r="BQ1803" s="9"/>
      <c r="BR1803" s="9"/>
      <c r="BS1803" s="9"/>
      <c r="BT1803" s="9"/>
      <c r="BU1803" s="9"/>
      <c r="BV1803" s="9"/>
      <c r="BW1803" s="9"/>
    </row>
    <row r="1804" spans="1:75" x14ac:dyDescent="0.25">
      <c r="A1804" s="9"/>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c r="AS1804" s="9"/>
      <c r="AT1804" s="9"/>
      <c r="AU1804" s="9"/>
      <c r="AV1804" s="9"/>
      <c r="AW1804" s="9"/>
      <c r="AX1804" s="9"/>
      <c r="AY1804" s="9"/>
      <c r="AZ1804" s="9"/>
      <c r="BA1804" s="9"/>
      <c r="BB1804" s="9"/>
      <c r="BC1804" s="9"/>
      <c r="BD1804" s="9"/>
      <c r="BE1804" s="9"/>
      <c r="BF1804" s="9"/>
      <c r="BG1804" s="9"/>
      <c r="BH1804" s="9"/>
      <c r="BI1804" s="9"/>
      <c r="BJ1804" s="9"/>
      <c r="BK1804" s="9"/>
      <c r="BL1804" s="9"/>
      <c r="BM1804" s="9"/>
      <c r="BN1804" s="9"/>
      <c r="BO1804" s="9"/>
      <c r="BP1804" s="9"/>
      <c r="BQ1804" s="9"/>
      <c r="BR1804" s="9"/>
      <c r="BS1804" s="9"/>
      <c r="BT1804" s="9"/>
      <c r="BU1804" s="9"/>
      <c r="BV1804" s="9"/>
      <c r="BW1804" s="9"/>
    </row>
    <row r="1805" spans="1:75" x14ac:dyDescent="0.25">
      <c r="A1805" s="9"/>
      <c r="B1805" s="9"/>
      <c r="C1805" s="9"/>
      <c r="D1805" s="9"/>
      <c r="E1805" s="9"/>
      <c r="F1805" s="9"/>
      <c r="G1805" s="9"/>
      <c r="H1805" s="9"/>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c r="AR1805" s="9"/>
      <c r="AS1805" s="9"/>
      <c r="AT1805" s="9"/>
      <c r="AU1805" s="9"/>
      <c r="AV1805" s="9"/>
      <c r="AW1805" s="9"/>
      <c r="AX1805" s="9"/>
      <c r="AY1805" s="9"/>
      <c r="AZ1805" s="9"/>
      <c r="BA1805" s="9"/>
      <c r="BB1805" s="9"/>
      <c r="BC1805" s="9"/>
      <c r="BD1805" s="9"/>
      <c r="BE1805" s="9"/>
      <c r="BF1805" s="9"/>
      <c r="BG1805" s="9"/>
      <c r="BH1805" s="9"/>
      <c r="BI1805" s="9"/>
      <c r="BJ1805" s="9"/>
      <c r="BK1805" s="9"/>
      <c r="BL1805" s="9"/>
      <c r="BM1805" s="9"/>
      <c r="BN1805" s="9"/>
      <c r="BO1805" s="9"/>
      <c r="BP1805" s="9"/>
      <c r="BQ1805" s="9"/>
      <c r="BR1805" s="9"/>
      <c r="BS1805" s="9"/>
      <c r="BT1805" s="9"/>
      <c r="BU1805" s="9"/>
      <c r="BV1805" s="9"/>
      <c r="BW1805" s="9"/>
    </row>
    <row r="1806" spans="1:75" x14ac:dyDescent="0.25">
      <c r="A1806" s="9"/>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c r="AS1806" s="9"/>
      <c r="AT1806" s="9"/>
      <c r="AU1806" s="9"/>
      <c r="AV1806" s="9"/>
      <c r="AW1806" s="9"/>
      <c r="AX1806" s="9"/>
      <c r="AY1806" s="9"/>
      <c r="AZ1806" s="9"/>
      <c r="BA1806" s="9"/>
      <c r="BB1806" s="9"/>
      <c r="BC1806" s="9"/>
      <c r="BD1806" s="9"/>
      <c r="BE1806" s="9"/>
      <c r="BF1806" s="9"/>
      <c r="BG1806" s="9"/>
      <c r="BH1806" s="9"/>
      <c r="BI1806" s="9"/>
      <c r="BJ1806" s="9"/>
      <c r="BK1806" s="9"/>
      <c r="BL1806" s="9"/>
      <c r="BM1806" s="9"/>
      <c r="BN1806" s="9"/>
      <c r="BO1806" s="9"/>
      <c r="BP1806" s="9"/>
      <c r="BQ1806" s="9"/>
      <c r="BR1806" s="9"/>
      <c r="BS1806" s="9"/>
      <c r="BT1806" s="9"/>
      <c r="BU1806" s="9"/>
      <c r="BV1806" s="9"/>
      <c r="BW1806" s="9"/>
    </row>
    <row r="1807" spans="1:75" x14ac:dyDescent="0.25">
      <c r="A1807" s="9"/>
      <c r="B1807" s="9"/>
      <c r="C1807" s="9"/>
      <c r="D1807" s="9"/>
      <c r="E1807" s="9"/>
      <c r="F1807" s="9"/>
      <c r="G1807" s="9"/>
      <c r="H1807" s="9"/>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c r="AQ1807" s="9"/>
      <c r="AR1807" s="9"/>
      <c r="AS1807" s="9"/>
      <c r="AT1807" s="9"/>
      <c r="AU1807" s="9"/>
      <c r="AV1807" s="9"/>
      <c r="AW1807" s="9"/>
      <c r="AX1807" s="9"/>
      <c r="AY1807" s="9"/>
      <c r="AZ1807" s="9"/>
      <c r="BA1807" s="9"/>
      <c r="BB1807" s="9"/>
      <c r="BC1807" s="9"/>
      <c r="BD1807" s="9"/>
      <c r="BE1807" s="9"/>
      <c r="BF1807" s="9"/>
      <c r="BG1807" s="9"/>
      <c r="BH1807" s="9"/>
      <c r="BI1807" s="9"/>
      <c r="BJ1807" s="9"/>
      <c r="BK1807" s="9"/>
      <c r="BL1807" s="9"/>
      <c r="BM1807" s="9"/>
      <c r="BN1807" s="9"/>
      <c r="BO1807" s="9"/>
      <c r="BP1807" s="9"/>
      <c r="BQ1807" s="9"/>
      <c r="BR1807" s="9"/>
      <c r="BS1807" s="9"/>
      <c r="BT1807" s="9"/>
      <c r="BU1807" s="9"/>
      <c r="BV1807" s="9"/>
      <c r="BW1807" s="9"/>
    </row>
    <row r="1808" spans="1:75" x14ac:dyDescent="0.25">
      <c r="A1808" s="9"/>
      <c r="B1808" s="9"/>
      <c r="C1808" s="9"/>
      <c r="D1808" s="9"/>
      <c r="E1808" s="9"/>
      <c r="F1808" s="9"/>
      <c r="G1808" s="9"/>
      <c r="H1808" s="9"/>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c r="AR1808" s="9"/>
      <c r="AS1808" s="9"/>
      <c r="AT1808" s="9"/>
      <c r="AU1808" s="9"/>
      <c r="AV1808" s="9"/>
      <c r="AW1808" s="9"/>
      <c r="AX1808" s="9"/>
      <c r="AY1808" s="9"/>
      <c r="AZ1808" s="9"/>
      <c r="BA1808" s="9"/>
      <c r="BB1808" s="9"/>
      <c r="BC1808" s="9"/>
      <c r="BD1808" s="9"/>
      <c r="BE1808" s="9"/>
      <c r="BF1808" s="9"/>
      <c r="BG1808" s="9"/>
      <c r="BH1808" s="9"/>
      <c r="BI1808" s="9"/>
      <c r="BJ1808" s="9"/>
      <c r="BK1808" s="9"/>
      <c r="BL1808" s="9"/>
      <c r="BM1808" s="9"/>
      <c r="BN1808" s="9"/>
      <c r="BO1808" s="9"/>
      <c r="BP1808" s="9"/>
      <c r="BQ1808" s="9"/>
      <c r="BR1808" s="9"/>
      <c r="BS1808" s="9"/>
      <c r="BT1808" s="9"/>
      <c r="BU1808" s="9"/>
      <c r="BV1808" s="9"/>
      <c r="BW1808" s="9"/>
    </row>
    <row r="1809" spans="1:75" x14ac:dyDescent="0.25">
      <c r="A1809" s="9"/>
      <c r="B1809" s="9"/>
      <c r="C1809" s="9"/>
      <c r="D1809" s="9"/>
      <c r="E1809" s="9"/>
      <c r="F1809" s="9"/>
      <c r="G1809" s="9"/>
      <c r="H1809" s="9"/>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c r="AQ1809" s="9"/>
      <c r="AR1809" s="9"/>
      <c r="AS1809" s="9"/>
      <c r="AT1809" s="9"/>
      <c r="AU1809" s="9"/>
      <c r="AV1809" s="9"/>
      <c r="AW1809" s="9"/>
      <c r="AX1809" s="9"/>
      <c r="AY1809" s="9"/>
      <c r="AZ1809" s="9"/>
      <c r="BA1809" s="9"/>
      <c r="BB1809" s="9"/>
      <c r="BC1809" s="9"/>
      <c r="BD1809" s="9"/>
      <c r="BE1809" s="9"/>
      <c r="BF1809" s="9"/>
      <c r="BG1809" s="9"/>
      <c r="BH1809" s="9"/>
      <c r="BI1809" s="9"/>
      <c r="BJ1809" s="9"/>
      <c r="BK1809" s="9"/>
      <c r="BL1809" s="9"/>
      <c r="BM1809" s="9"/>
      <c r="BN1809" s="9"/>
      <c r="BO1809" s="9"/>
      <c r="BP1809" s="9"/>
      <c r="BQ1809" s="9"/>
      <c r="BR1809" s="9"/>
      <c r="BS1809" s="9"/>
      <c r="BT1809" s="9"/>
      <c r="BU1809" s="9"/>
      <c r="BV1809" s="9"/>
      <c r="BW1809" s="9"/>
    </row>
    <row r="1810" spans="1:75" x14ac:dyDescent="0.25">
      <c r="A1810" s="9"/>
      <c r="B1810" s="9"/>
      <c r="C1810" s="9"/>
      <c r="D1810" s="9"/>
      <c r="E1810" s="9"/>
      <c r="F1810" s="9"/>
      <c r="G1810" s="9"/>
      <c r="H1810" s="9"/>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c r="AQ1810" s="9"/>
      <c r="AR1810" s="9"/>
      <c r="AS1810" s="9"/>
      <c r="AT1810" s="9"/>
      <c r="AU1810" s="9"/>
      <c r="AV1810" s="9"/>
      <c r="AW1810" s="9"/>
      <c r="AX1810" s="9"/>
      <c r="AY1810" s="9"/>
      <c r="AZ1810" s="9"/>
      <c r="BA1810" s="9"/>
      <c r="BB1810" s="9"/>
      <c r="BC1810" s="9"/>
      <c r="BD1810" s="9"/>
      <c r="BE1810" s="9"/>
      <c r="BF1810" s="9"/>
      <c r="BG1810" s="9"/>
      <c r="BH1810" s="9"/>
      <c r="BI1810" s="9"/>
      <c r="BJ1810" s="9"/>
      <c r="BK1810" s="9"/>
      <c r="BL1810" s="9"/>
      <c r="BM1810" s="9"/>
      <c r="BN1810" s="9"/>
      <c r="BO1810" s="9"/>
      <c r="BP1810" s="9"/>
      <c r="BQ1810" s="9"/>
      <c r="BR1810" s="9"/>
      <c r="BS1810" s="9"/>
      <c r="BT1810" s="9"/>
      <c r="BU1810" s="9"/>
      <c r="BV1810" s="9"/>
      <c r="BW1810" s="9"/>
    </row>
    <row r="1811" spans="1:75" x14ac:dyDescent="0.25">
      <c r="A1811" s="9"/>
      <c r="B1811" s="9"/>
      <c r="C1811" s="9"/>
      <c r="D1811" s="9"/>
      <c r="E1811" s="9"/>
      <c r="F1811" s="9"/>
      <c r="G1811" s="9"/>
      <c r="H1811" s="9"/>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c r="AS1811" s="9"/>
      <c r="AT1811" s="9"/>
      <c r="AU1811" s="9"/>
      <c r="AV1811" s="9"/>
      <c r="AW1811" s="9"/>
      <c r="AX1811" s="9"/>
      <c r="AY1811" s="9"/>
      <c r="AZ1811" s="9"/>
      <c r="BA1811" s="9"/>
      <c r="BB1811" s="9"/>
      <c r="BC1811" s="9"/>
      <c r="BD1811" s="9"/>
      <c r="BE1811" s="9"/>
      <c r="BF1811" s="9"/>
      <c r="BG1811" s="9"/>
      <c r="BH1811" s="9"/>
      <c r="BI1811" s="9"/>
      <c r="BJ1811" s="9"/>
      <c r="BK1811" s="9"/>
      <c r="BL1811" s="9"/>
      <c r="BM1811" s="9"/>
      <c r="BN1811" s="9"/>
      <c r="BO1811" s="9"/>
      <c r="BP1811" s="9"/>
      <c r="BQ1811" s="9"/>
      <c r="BR1811" s="9"/>
      <c r="BS1811" s="9"/>
      <c r="BT1811" s="9"/>
      <c r="BU1811" s="9"/>
      <c r="BV1811" s="9"/>
      <c r="BW1811" s="9"/>
    </row>
    <row r="1812" spans="1:75" x14ac:dyDescent="0.25">
      <c r="A1812" s="9"/>
      <c r="B1812" s="9"/>
      <c r="C1812" s="9"/>
      <c r="D1812" s="9"/>
      <c r="E1812" s="9"/>
      <c r="F1812" s="9"/>
      <c r="G1812" s="9"/>
      <c r="H1812" s="9"/>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c r="AS1812" s="9"/>
      <c r="AT1812" s="9"/>
      <c r="AU1812" s="9"/>
      <c r="AV1812" s="9"/>
      <c r="AW1812" s="9"/>
      <c r="AX1812" s="9"/>
      <c r="AY1812" s="9"/>
      <c r="AZ1812" s="9"/>
      <c r="BA1812" s="9"/>
      <c r="BB1812" s="9"/>
      <c r="BC1812" s="9"/>
      <c r="BD1812" s="9"/>
      <c r="BE1812" s="9"/>
      <c r="BF1812" s="9"/>
      <c r="BG1812" s="9"/>
      <c r="BH1812" s="9"/>
      <c r="BI1812" s="9"/>
      <c r="BJ1812" s="9"/>
      <c r="BK1812" s="9"/>
      <c r="BL1812" s="9"/>
      <c r="BM1812" s="9"/>
      <c r="BN1812" s="9"/>
      <c r="BO1812" s="9"/>
      <c r="BP1812" s="9"/>
      <c r="BQ1812" s="9"/>
      <c r="BR1812" s="9"/>
      <c r="BS1812" s="9"/>
      <c r="BT1812" s="9"/>
      <c r="BU1812" s="9"/>
      <c r="BV1812" s="9"/>
      <c r="BW1812" s="9"/>
    </row>
    <row r="1813" spans="1:75" x14ac:dyDescent="0.25">
      <c r="A1813" s="9"/>
      <c r="B1813" s="9"/>
      <c r="C1813" s="9"/>
      <c r="D1813" s="9"/>
      <c r="E1813" s="9"/>
      <c r="F1813" s="9"/>
      <c r="G1813" s="9"/>
      <c r="H1813" s="9"/>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c r="AS1813" s="9"/>
      <c r="AT1813" s="9"/>
      <c r="AU1813" s="9"/>
      <c r="AV1813" s="9"/>
      <c r="AW1813" s="9"/>
      <c r="AX1813" s="9"/>
      <c r="AY1813" s="9"/>
      <c r="AZ1813" s="9"/>
      <c r="BA1813" s="9"/>
      <c r="BB1813" s="9"/>
      <c r="BC1813" s="9"/>
      <c r="BD1813" s="9"/>
      <c r="BE1813" s="9"/>
      <c r="BF1813" s="9"/>
      <c r="BG1813" s="9"/>
      <c r="BH1813" s="9"/>
      <c r="BI1813" s="9"/>
      <c r="BJ1813" s="9"/>
      <c r="BK1813" s="9"/>
      <c r="BL1813" s="9"/>
      <c r="BM1813" s="9"/>
      <c r="BN1813" s="9"/>
      <c r="BO1813" s="9"/>
      <c r="BP1813" s="9"/>
      <c r="BQ1813" s="9"/>
      <c r="BR1813" s="9"/>
      <c r="BS1813" s="9"/>
      <c r="BT1813" s="9"/>
      <c r="BU1813" s="9"/>
      <c r="BV1813" s="9"/>
      <c r="BW1813" s="9"/>
    </row>
    <row r="1814" spans="1:75" x14ac:dyDescent="0.25">
      <c r="A1814" s="9"/>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c r="AS1814" s="9"/>
      <c r="AT1814" s="9"/>
      <c r="AU1814" s="9"/>
      <c r="AV1814" s="9"/>
      <c r="AW1814" s="9"/>
      <c r="AX1814" s="9"/>
      <c r="AY1814" s="9"/>
      <c r="AZ1814" s="9"/>
      <c r="BA1814" s="9"/>
      <c r="BB1814" s="9"/>
      <c r="BC1814" s="9"/>
      <c r="BD1814" s="9"/>
      <c r="BE1814" s="9"/>
      <c r="BF1814" s="9"/>
      <c r="BG1814" s="9"/>
      <c r="BH1814" s="9"/>
      <c r="BI1814" s="9"/>
      <c r="BJ1814" s="9"/>
      <c r="BK1814" s="9"/>
      <c r="BL1814" s="9"/>
      <c r="BM1814" s="9"/>
      <c r="BN1814" s="9"/>
      <c r="BO1814" s="9"/>
      <c r="BP1814" s="9"/>
      <c r="BQ1814" s="9"/>
      <c r="BR1814" s="9"/>
      <c r="BS1814" s="9"/>
      <c r="BT1814" s="9"/>
      <c r="BU1814" s="9"/>
      <c r="BV1814" s="9"/>
      <c r="BW1814" s="9"/>
    </row>
    <row r="1815" spans="1:75" x14ac:dyDescent="0.25">
      <c r="A1815" s="9"/>
      <c r="B1815" s="9"/>
      <c r="C1815" s="9"/>
      <c r="D1815" s="9"/>
      <c r="E1815" s="9"/>
      <c r="F1815" s="9"/>
      <c r="G1815" s="9"/>
      <c r="H1815" s="9"/>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c r="AQ1815" s="9"/>
      <c r="AR1815" s="9"/>
      <c r="AS1815" s="9"/>
      <c r="AT1815" s="9"/>
      <c r="AU1815" s="9"/>
      <c r="AV1815" s="9"/>
      <c r="AW1815" s="9"/>
      <c r="AX1815" s="9"/>
      <c r="AY1815" s="9"/>
      <c r="AZ1815" s="9"/>
      <c r="BA1815" s="9"/>
      <c r="BB1815" s="9"/>
      <c r="BC1815" s="9"/>
      <c r="BD1815" s="9"/>
      <c r="BE1815" s="9"/>
      <c r="BF1815" s="9"/>
      <c r="BG1815" s="9"/>
      <c r="BH1815" s="9"/>
      <c r="BI1815" s="9"/>
      <c r="BJ1815" s="9"/>
      <c r="BK1815" s="9"/>
      <c r="BL1815" s="9"/>
      <c r="BM1815" s="9"/>
      <c r="BN1815" s="9"/>
      <c r="BO1815" s="9"/>
      <c r="BP1815" s="9"/>
      <c r="BQ1815" s="9"/>
      <c r="BR1815" s="9"/>
      <c r="BS1815" s="9"/>
      <c r="BT1815" s="9"/>
      <c r="BU1815" s="9"/>
      <c r="BV1815" s="9"/>
      <c r="BW1815" s="9"/>
    </row>
    <row r="1816" spans="1:75" x14ac:dyDescent="0.25">
      <c r="A1816" s="9"/>
      <c r="B1816" s="9"/>
      <c r="C1816" s="9"/>
      <c r="D1816" s="9"/>
      <c r="E1816" s="9"/>
      <c r="F1816" s="9"/>
      <c r="G1816" s="9"/>
      <c r="H1816" s="9"/>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c r="AQ1816" s="9"/>
      <c r="AR1816" s="9"/>
      <c r="AS1816" s="9"/>
      <c r="AT1816" s="9"/>
      <c r="AU1816" s="9"/>
      <c r="AV1816" s="9"/>
      <c r="AW1816" s="9"/>
      <c r="AX1816" s="9"/>
      <c r="AY1816" s="9"/>
      <c r="AZ1816" s="9"/>
      <c r="BA1816" s="9"/>
      <c r="BB1816" s="9"/>
      <c r="BC1816" s="9"/>
      <c r="BD1816" s="9"/>
      <c r="BE1816" s="9"/>
      <c r="BF1816" s="9"/>
      <c r="BG1816" s="9"/>
      <c r="BH1816" s="9"/>
      <c r="BI1816" s="9"/>
      <c r="BJ1816" s="9"/>
      <c r="BK1816" s="9"/>
      <c r="BL1816" s="9"/>
      <c r="BM1816" s="9"/>
      <c r="BN1816" s="9"/>
      <c r="BO1816" s="9"/>
      <c r="BP1816" s="9"/>
      <c r="BQ1816" s="9"/>
      <c r="BR1816" s="9"/>
      <c r="BS1816" s="9"/>
      <c r="BT1816" s="9"/>
      <c r="BU1816" s="9"/>
      <c r="BV1816" s="9"/>
      <c r="BW1816" s="9"/>
    </row>
    <row r="1817" spans="1:75" x14ac:dyDescent="0.25">
      <c r="A1817" s="9"/>
      <c r="B1817" s="9"/>
      <c r="C1817" s="9"/>
      <c r="D1817" s="9"/>
      <c r="E1817" s="9"/>
      <c r="F1817" s="9"/>
      <c r="G1817" s="9"/>
      <c r="H1817" s="9"/>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c r="AR1817" s="9"/>
      <c r="AS1817" s="9"/>
      <c r="AT1817" s="9"/>
      <c r="AU1817" s="9"/>
      <c r="AV1817" s="9"/>
      <c r="AW1817" s="9"/>
      <c r="AX1817" s="9"/>
      <c r="AY1817" s="9"/>
      <c r="AZ1817" s="9"/>
      <c r="BA1817" s="9"/>
      <c r="BB1817" s="9"/>
      <c r="BC1817" s="9"/>
      <c r="BD1817" s="9"/>
      <c r="BE1817" s="9"/>
      <c r="BF1817" s="9"/>
      <c r="BG1817" s="9"/>
      <c r="BH1817" s="9"/>
      <c r="BI1817" s="9"/>
      <c r="BJ1817" s="9"/>
      <c r="BK1817" s="9"/>
      <c r="BL1817" s="9"/>
      <c r="BM1817" s="9"/>
      <c r="BN1817" s="9"/>
      <c r="BO1817" s="9"/>
      <c r="BP1817" s="9"/>
      <c r="BQ1817" s="9"/>
      <c r="BR1817" s="9"/>
      <c r="BS1817" s="9"/>
      <c r="BT1817" s="9"/>
      <c r="BU1817" s="9"/>
      <c r="BV1817" s="9"/>
      <c r="BW1817" s="9"/>
    </row>
    <row r="1818" spans="1:75" x14ac:dyDescent="0.25">
      <c r="A1818" s="9"/>
      <c r="B1818" s="9"/>
      <c r="C1818" s="9"/>
      <c r="D1818" s="9"/>
      <c r="E1818" s="9"/>
      <c r="F1818" s="9"/>
      <c r="G1818" s="9"/>
      <c r="H1818" s="9"/>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c r="AQ1818" s="9"/>
      <c r="AR1818" s="9"/>
      <c r="AS1818" s="9"/>
      <c r="AT1818" s="9"/>
      <c r="AU1818" s="9"/>
      <c r="AV1818" s="9"/>
      <c r="AW1818" s="9"/>
      <c r="AX1818" s="9"/>
      <c r="AY1818" s="9"/>
      <c r="AZ1818" s="9"/>
      <c r="BA1818" s="9"/>
      <c r="BB1818" s="9"/>
      <c r="BC1818" s="9"/>
      <c r="BD1818" s="9"/>
      <c r="BE1818" s="9"/>
      <c r="BF1818" s="9"/>
      <c r="BG1818" s="9"/>
      <c r="BH1818" s="9"/>
      <c r="BI1818" s="9"/>
      <c r="BJ1818" s="9"/>
      <c r="BK1818" s="9"/>
      <c r="BL1818" s="9"/>
      <c r="BM1818" s="9"/>
      <c r="BN1818" s="9"/>
      <c r="BO1818" s="9"/>
      <c r="BP1818" s="9"/>
      <c r="BQ1818" s="9"/>
      <c r="BR1818" s="9"/>
      <c r="BS1818" s="9"/>
      <c r="BT1818" s="9"/>
      <c r="BU1818" s="9"/>
      <c r="BV1818" s="9"/>
      <c r="BW1818" s="9"/>
    </row>
    <row r="1819" spans="1:75" x14ac:dyDescent="0.25">
      <c r="A1819" s="9"/>
      <c r="B1819" s="9"/>
      <c r="C1819" s="9"/>
      <c r="D1819" s="9"/>
      <c r="E1819" s="9"/>
      <c r="F1819" s="9"/>
      <c r="G1819" s="9"/>
      <c r="H1819" s="9"/>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c r="AS1819" s="9"/>
      <c r="AT1819" s="9"/>
      <c r="AU1819" s="9"/>
      <c r="AV1819" s="9"/>
      <c r="AW1819" s="9"/>
      <c r="AX1819" s="9"/>
      <c r="AY1819" s="9"/>
      <c r="AZ1819" s="9"/>
      <c r="BA1819" s="9"/>
      <c r="BB1819" s="9"/>
      <c r="BC1819" s="9"/>
      <c r="BD1819" s="9"/>
      <c r="BE1819" s="9"/>
      <c r="BF1819" s="9"/>
      <c r="BG1819" s="9"/>
      <c r="BH1819" s="9"/>
      <c r="BI1819" s="9"/>
      <c r="BJ1819" s="9"/>
      <c r="BK1819" s="9"/>
      <c r="BL1819" s="9"/>
      <c r="BM1819" s="9"/>
      <c r="BN1819" s="9"/>
      <c r="BO1819" s="9"/>
      <c r="BP1819" s="9"/>
      <c r="BQ1819" s="9"/>
      <c r="BR1819" s="9"/>
      <c r="BS1819" s="9"/>
      <c r="BT1819" s="9"/>
      <c r="BU1819" s="9"/>
      <c r="BV1819" s="9"/>
      <c r="BW1819" s="9"/>
    </row>
    <row r="1820" spans="1:75" x14ac:dyDescent="0.25">
      <c r="A1820" s="9"/>
      <c r="B1820" s="9"/>
      <c r="C1820" s="9"/>
      <c r="D1820" s="9"/>
      <c r="E1820" s="9"/>
      <c r="F1820" s="9"/>
      <c r="G1820" s="9"/>
      <c r="H1820" s="9"/>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c r="AS1820" s="9"/>
      <c r="AT1820" s="9"/>
      <c r="AU1820" s="9"/>
      <c r="AV1820" s="9"/>
      <c r="AW1820" s="9"/>
      <c r="AX1820" s="9"/>
      <c r="AY1820" s="9"/>
      <c r="AZ1820" s="9"/>
      <c r="BA1820" s="9"/>
      <c r="BB1820" s="9"/>
      <c r="BC1820" s="9"/>
      <c r="BD1820" s="9"/>
      <c r="BE1820" s="9"/>
      <c r="BF1820" s="9"/>
      <c r="BG1820" s="9"/>
      <c r="BH1820" s="9"/>
      <c r="BI1820" s="9"/>
      <c r="BJ1820" s="9"/>
      <c r="BK1820" s="9"/>
      <c r="BL1820" s="9"/>
      <c r="BM1820" s="9"/>
      <c r="BN1820" s="9"/>
      <c r="BO1820" s="9"/>
      <c r="BP1820" s="9"/>
      <c r="BQ1820" s="9"/>
      <c r="BR1820" s="9"/>
      <c r="BS1820" s="9"/>
      <c r="BT1820" s="9"/>
      <c r="BU1820" s="9"/>
      <c r="BV1820" s="9"/>
      <c r="BW1820" s="9"/>
    </row>
    <row r="1821" spans="1:75" x14ac:dyDescent="0.25">
      <c r="A1821" s="9"/>
      <c r="B1821" s="9"/>
      <c r="C1821" s="9"/>
      <c r="D1821" s="9"/>
      <c r="E1821" s="9"/>
      <c r="F1821" s="9"/>
      <c r="G1821" s="9"/>
      <c r="H1821" s="9"/>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9"/>
      <c r="AY1821" s="9"/>
      <c r="AZ1821" s="9"/>
      <c r="BA1821" s="9"/>
      <c r="BB1821" s="9"/>
      <c r="BC1821" s="9"/>
      <c r="BD1821" s="9"/>
      <c r="BE1821" s="9"/>
      <c r="BF1821" s="9"/>
      <c r="BG1821" s="9"/>
      <c r="BH1821" s="9"/>
      <c r="BI1821" s="9"/>
      <c r="BJ1821" s="9"/>
      <c r="BK1821" s="9"/>
      <c r="BL1821" s="9"/>
      <c r="BM1821" s="9"/>
      <c r="BN1821" s="9"/>
      <c r="BO1821" s="9"/>
      <c r="BP1821" s="9"/>
      <c r="BQ1821" s="9"/>
      <c r="BR1821" s="9"/>
      <c r="BS1821" s="9"/>
      <c r="BT1821" s="9"/>
      <c r="BU1821" s="9"/>
      <c r="BV1821" s="9"/>
      <c r="BW1821" s="9"/>
    </row>
    <row r="1822" spans="1:75" x14ac:dyDescent="0.25">
      <c r="A1822" s="9"/>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c r="AS1822" s="9"/>
      <c r="AT1822" s="9"/>
      <c r="AU1822" s="9"/>
      <c r="AV1822" s="9"/>
      <c r="AW1822" s="9"/>
      <c r="AX1822" s="9"/>
      <c r="AY1822" s="9"/>
      <c r="AZ1822" s="9"/>
      <c r="BA1822" s="9"/>
      <c r="BB1822" s="9"/>
      <c r="BC1822" s="9"/>
      <c r="BD1822" s="9"/>
      <c r="BE1822" s="9"/>
      <c r="BF1822" s="9"/>
      <c r="BG1822" s="9"/>
      <c r="BH1822" s="9"/>
      <c r="BI1822" s="9"/>
      <c r="BJ1822" s="9"/>
      <c r="BK1822" s="9"/>
      <c r="BL1822" s="9"/>
      <c r="BM1822" s="9"/>
      <c r="BN1822" s="9"/>
      <c r="BO1822" s="9"/>
      <c r="BP1822" s="9"/>
      <c r="BQ1822" s="9"/>
      <c r="BR1822" s="9"/>
      <c r="BS1822" s="9"/>
      <c r="BT1822" s="9"/>
      <c r="BU1822" s="9"/>
      <c r="BV1822" s="9"/>
      <c r="BW1822" s="9"/>
    </row>
    <row r="1823" spans="1:75" x14ac:dyDescent="0.25">
      <c r="A1823" s="9"/>
      <c r="B1823" s="9"/>
      <c r="C1823" s="9"/>
      <c r="D1823" s="9"/>
      <c r="E1823" s="9"/>
      <c r="F1823" s="9"/>
      <c r="G1823" s="9"/>
      <c r="H1823" s="9"/>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c r="AQ1823" s="9"/>
      <c r="AR1823" s="9"/>
      <c r="AS1823" s="9"/>
      <c r="AT1823" s="9"/>
      <c r="AU1823" s="9"/>
      <c r="AV1823" s="9"/>
      <c r="AW1823" s="9"/>
      <c r="AX1823" s="9"/>
      <c r="AY1823" s="9"/>
      <c r="AZ1823" s="9"/>
      <c r="BA1823" s="9"/>
      <c r="BB1823" s="9"/>
      <c r="BC1823" s="9"/>
      <c r="BD1823" s="9"/>
      <c r="BE1823" s="9"/>
      <c r="BF1823" s="9"/>
      <c r="BG1823" s="9"/>
      <c r="BH1823" s="9"/>
      <c r="BI1823" s="9"/>
      <c r="BJ1823" s="9"/>
      <c r="BK1823" s="9"/>
      <c r="BL1823" s="9"/>
      <c r="BM1823" s="9"/>
      <c r="BN1823" s="9"/>
      <c r="BO1823" s="9"/>
      <c r="BP1823" s="9"/>
      <c r="BQ1823" s="9"/>
      <c r="BR1823" s="9"/>
      <c r="BS1823" s="9"/>
      <c r="BT1823" s="9"/>
      <c r="BU1823" s="9"/>
      <c r="BV1823" s="9"/>
      <c r="BW1823" s="9"/>
    </row>
    <row r="1824" spans="1:75" x14ac:dyDescent="0.25">
      <c r="A1824" s="9"/>
      <c r="B1824" s="9"/>
      <c r="C1824" s="9"/>
      <c r="D1824" s="9"/>
      <c r="E1824" s="9"/>
      <c r="F1824" s="9"/>
      <c r="G1824" s="9"/>
      <c r="H1824" s="9"/>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c r="AS1824" s="9"/>
      <c r="AT1824" s="9"/>
      <c r="AU1824" s="9"/>
      <c r="AV1824" s="9"/>
      <c r="AW1824" s="9"/>
      <c r="AX1824" s="9"/>
      <c r="AY1824" s="9"/>
      <c r="AZ1824" s="9"/>
      <c r="BA1824" s="9"/>
      <c r="BB1824" s="9"/>
      <c r="BC1824" s="9"/>
      <c r="BD1824" s="9"/>
      <c r="BE1824" s="9"/>
      <c r="BF1824" s="9"/>
      <c r="BG1824" s="9"/>
      <c r="BH1824" s="9"/>
      <c r="BI1824" s="9"/>
      <c r="BJ1824" s="9"/>
      <c r="BK1824" s="9"/>
      <c r="BL1824" s="9"/>
      <c r="BM1824" s="9"/>
      <c r="BN1824" s="9"/>
      <c r="BO1824" s="9"/>
      <c r="BP1824" s="9"/>
      <c r="BQ1824" s="9"/>
      <c r="BR1824" s="9"/>
      <c r="BS1824" s="9"/>
      <c r="BT1824" s="9"/>
      <c r="BU1824" s="9"/>
      <c r="BV1824" s="9"/>
      <c r="BW1824" s="9"/>
    </row>
    <row r="1825" spans="1:75" x14ac:dyDescent="0.25">
      <c r="A1825" s="9"/>
      <c r="B1825" s="9"/>
      <c r="C1825" s="9"/>
      <c r="D1825" s="9"/>
      <c r="E1825" s="9"/>
      <c r="F1825" s="9"/>
      <c r="G1825" s="9"/>
      <c r="H1825" s="9"/>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c r="AQ1825" s="9"/>
      <c r="AR1825" s="9"/>
      <c r="AS1825" s="9"/>
      <c r="AT1825" s="9"/>
      <c r="AU1825" s="9"/>
      <c r="AV1825" s="9"/>
      <c r="AW1825" s="9"/>
      <c r="AX1825" s="9"/>
      <c r="AY1825" s="9"/>
      <c r="AZ1825" s="9"/>
      <c r="BA1825" s="9"/>
      <c r="BB1825" s="9"/>
      <c r="BC1825" s="9"/>
      <c r="BD1825" s="9"/>
      <c r="BE1825" s="9"/>
      <c r="BF1825" s="9"/>
      <c r="BG1825" s="9"/>
      <c r="BH1825" s="9"/>
      <c r="BI1825" s="9"/>
      <c r="BJ1825" s="9"/>
      <c r="BK1825" s="9"/>
      <c r="BL1825" s="9"/>
      <c r="BM1825" s="9"/>
      <c r="BN1825" s="9"/>
      <c r="BO1825" s="9"/>
      <c r="BP1825" s="9"/>
      <c r="BQ1825" s="9"/>
      <c r="BR1825" s="9"/>
      <c r="BS1825" s="9"/>
      <c r="BT1825" s="9"/>
      <c r="BU1825" s="9"/>
      <c r="BV1825" s="9"/>
      <c r="BW1825" s="9"/>
    </row>
    <row r="1826" spans="1:75" x14ac:dyDescent="0.25">
      <c r="A1826" s="9"/>
      <c r="B1826" s="9"/>
      <c r="C1826" s="9"/>
      <c r="D1826" s="9"/>
      <c r="E1826" s="9"/>
      <c r="F1826" s="9"/>
      <c r="G1826" s="9"/>
      <c r="H1826" s="9"/>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c r="AQ1826" s="9"/>
      <c r="AR1826" s="9"/>
      <c r="AS1826" s="9"/>
      <c r="AT1826" s="9"/>
      <c r="AU1826" s="9"/>
      <c r="AV1826" s="9"/>
      <c r="AW1826" s="9"/>
      <c r="AX1826" s="9"/>
      <c r="AY1826" s="9"/>
      <c r="AZ1826" s="9"/>
      <c r="BA1826" s="9"/>
      <c r="BB1826" s="9"/>
      <c r="BC1826" s="9"/>
      <c r="BD1826" s="9"/>
      <c r="BE1826" s="9"/>
      <c r="BF1826" s="9"/>
      <c r="BG1826" s="9"/>
      <c r="BH1826" s="9"/>
      <c r="BI1826" s="9"/>
      <c r="BJ1826" s="9"/>
      <c r="BK1826" s="9"/>
      <c r="BL1826" s="9"/>
      <c r="BM1826" s="9"/>
      <c r="BN1826" s="9"/>
      <c r="BO1826" s="9"/>
      <c r="BP1826" s="9"/>
      <c r="BQ1826" s="9"/>
      <c r="BR1826" s="9"/>
      <c r="BS1826" s="9"/>
      <c r="BT1826" s="9"/>
      <c r="BU1826" s="9"/>
      <c r="BV1826" s="9"/>
      <c r="BW1826" s="9"/>
    </row>
    <row r="1827" spans="1:75" x14ac:dyDescent="0.25">
      <c r="A1827" s="9"/>
      <c r="B1827" s="9"/>
      <c r="C1827" s="9"/>
      <c r="D1827" s="9"/>
      <c r="E1827" s="9"/>
      <c r="F1827" s="9"/>
      <c r="G1827" s="9"/>
      <c r="H1827" s="9"/>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c r="AS1827" s="9"/>
      <c r="AT1827" s="9"/>
      <c r="AU1827" s="9"/>
      <c r="AV1827" s="9"/>
      <c r="AW1827" s="9"/>
      <c r="AX1827" s="9"/>
      <c r="AY1827" s="9"/>
      <c r="AZ1827" s="9"/>
      <c r="BA1827" s="9"/>
      <c r="BB1827" s="9"/>
      <c r="BC1827" s="9"/>
      <c r="BD1827" s="9"/>
      <c r="BE1827" s="9"/>
      <c r="BF1827" s="9"/>
      <c r="BG1827" s="9"/>
      <c r="BH1827" s="9"/>
      <c r="BI1827" s="9"/>
      <c r="BJ1827" s="9"/>
      <c r="BK1827" s="9"/>
      <c r="BL1827" s="9"/>
      <c r="BM1827" s="9"/>
      <c r="BN1827" s="9"/>
      <c r="BO1827" s="9"/>
      <c r="BP1827" s="9"/>
      <c r="BQ1827" s="9"/>
      <c r="BR1827" s="9"/>
      <c r="BS1827" s="9"/>
      <c r="BT1827" s="9"/>
      <c r="BU1827" s="9"/>
      <c r="BV1827" s="9"/>
      <c r="BW1827" s="9"/>
    </row>
    <row r="1828" spans="1:75" x14ac:dyDescent="0.25">
      <c r="A1828" s="9"/>
      <c r="B1828" s="9"/>
      <c r="C1828" s="9"/>
      <c r="D1828" s="9"/>
      <c r="E1828" s="9"/>
      <c r="F1828" s="9"/>
      <c r="G1828" s="9"/>
      <c r="H1828" s="9"/>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c r="AQ1828" s="9"/>
      <c r="AR1828" s="9"/>
      <c r="AS1828" s="9"/>
      <c r="AT1828" s="9"/>
      <c r="AU1828" s="9"/>
      <c r="AV1828" s="9"/>
      <c r="AW1828" s="9"/>
      <c r="AX1828" s="9"/>
      <c r="AY1828" s="9"/>
      <c r="AZ1828" s="9"/>
      <c r="BA1828" s="9"/>
      <c r="BB1828" s="9"/>
      <c r="BC1828" s="9"/>
      <c r="BD1828" s="9"/>
      <c r="BE1828" s="9"/>
      <c r="BF1828" s="9"/>
      <c r="BG1828" s="9"/>
      <c r="BH1828" s="9"/>
      <c r="BI1828" s="9"/>
      <c r="BJ1828" s="9"/>
      <c r="BK1828" s="9"/>
      <c r="BL1828" s="9"/>
      <c r="BM1828" s="9"/>
      <c r="BN1828" s="9"/>
      <c r="BO1828" s="9"/>
      <c r="BP1828" s="9"/>
      <c r="BQ1828" s="9"/>
      <c r="BR1828" s="9"/>
      <c r="BS1828" s="9"/>
      <c r="BT1828" s="9"/>
      <c r="BU1828" s="9"/>
      <c r="BV1828" s="9"/>
      <c r="BW1828" s="9"/>
    </row>
    <row r="1829" spans="1:75" x14ac:dyDescent="0.25">
      <c r="A1829" s="9"/>
      <c r="B1829" s="9"/>
      <c r="C1829" s="9"/>
      <c r="D1829" s="9"/>
      <c r="E1829" s="9"/>
      <c r="F1829" s="9"/>
      <c r="G1829" s="9"/>
      <c r="H1829" s="9"/>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c r="AQ1829" s="9"/>
      <c r="AR1829" s="9"/>
      <c r="AS1829" s="9"/>
      <c r="AT1829" s="9"/>
      <c r="AU1829" s="9"/>
      <c r="AV1829" s="9"/>
      <c r="AW1829" s="9"/>
      <c r="AX1829" s="9"/>
      <c r="AY1829" s="9"/>
      <c r="AZ1829" s="9"/>
      <c r="BA1829" s="9"/>
      <c r="BB1829" s="9"/>
      <c r="BC1829" s="9"/>
      <c r="BD1829" s="9"/>
      <c r="BE1829" s="9"/>
      <c r="BF1829" s="9"/>
      <c r="BG1829" s="9"/>
      <c r="BH1829" s="9"/>
      <c r="BI1829" s="9"/>
      <c r="BJ1829" s="9"/>
      <c r="BK1829" s="9"/>
      <c r="BL1829" s="9"/>
      <c r="BM1829" s="9"/>
      <c r="BN1829" s="9"/>
      <c r="BO1829" s="9"/>
      <c r="BP1829" s="9"/>
      <c r="BQ1829" s="9"/>
      <c r="BR1829" s="9"/>
      <c r="BS1829" s="9"/>
      <c r="BT1829" s="9"/>
      <c r="BU1829" s="9"/>
      <c r="BV1829" s="9"/>
      <c r="BW1829" s="9"/>
    </row>
    <row r="1830" spans="1:75" x14ac:dyDescent="0.25">
      <c r="A1830" s="9"/>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c r="AS1830" s="9"/>
      <c r="AT1830" s="9"/>
      <c r="AU1830" s="9"/>
      <c r="AV1830" s="9"/>
      <c r="AW1830" s="9"/>
      <c r="AX1830" s="9"/>
      <c r="AY1830" s="9"/>
      <c r="AZ1830" s="9"/>
      <c r="BA1830" s="9"/>
      <c r="BB1830" s="9"/>
      <c r="BC1830" s="9"/>
      <c r="BD1830" s="9"/>
      <c r="BE1830" s="9"/>
      <c r="BF1830" s="9"/>
      <c r="BG1830" s="9"/>
      <c r="BH1830" s="9"/>
      <c r="BI1830" s="9"/>
      <c r="BJ1830" s="9"/>
      <c r="BK1830" s="9"/>
      <c r="BL1830" s="9"/>
      <c r="BM1830" s="9"/>
      <c r="BN1830" s="9"/>
      <c r="BO1830" s="9"/>
      <c r="BP1830" s="9"/>
      <c r="BQ1830" s="9"/>
      <c r="BR1830" s="9"/>
      <c r="BS1830" s="9"/>
      <c r="BT1830" s="9"/>
      <c r="BU1830" s="9"/>
      <c r="BV1830" s="9"/>
      <c r="BW1830" s="9"/>
    </row>
    <row r="1831" spans="1:75" x14ac:dyDescent="0.25">
      <c r="A1831" s="9"/>
      <c r="B1831" s="9"/>
      <c r="C1831" s="9"/>
      <c r="D1831" s="9"/>
      <c r="E1831" s="9"/>
      <c r="F1831" s="9"/>
      <c r="G1831" s="9"/>
      <c r="H1831" s="9"/>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c r="AS1831" s="9"/>
      <c r="AT1831" s="9"/>
      <c r="AU1831" s="9"/>
      <c r="AV1831" s="9"/>
      <c r="AW1831" s="9"/>
      <c r="AX1831" s="9"/>
      <c r="AY1831" s="9"/>
      <c r="AZ1831" s="9"/>
      <c r="BA1831" s="9"/>
      <c r="BB1831" s="9"/>
      <c r="BC1831" s="9"/>
      <c r="BD1831" s="9"/>
      <c r="BE1831" s="9"/>
      <c r="BF1831" s="9"/>
      <c r="BG1831" s="9"/>
      <c r="BH1831" s="9"/>
      <c r="BI1831" s="9"/>
      <c r="BJ1831" s="9"/>
      <c r="BK1831" s="9"/>
      <c r="BL1831" s="9"/>
      <c r="BM1831" s="9"/>
      <c r="BN1831" s="9"/>
      <c r="BO1831" s="9"/>
      <c r="BP1831" s="9"/>
      <c r="BQ1831" s="9"/>
      <c r="BR1831" s="9"/>
      <c r="BS1831" s="9"/>
      <c r="BT1831" s="9"/>
      <c r="BU1831" s="9"/>
      <c r="BV1831" s="9"/>
      <c r="BW1831" s="9"/>
    </row>
    <row r="1832" spans="1:75" x14ac:dyDescent="0.25">
      <c r="A1832" s="9"/>
      <c r="B1832" s="9"/>
      <c r="C1832" s="9"/>
      <c r="D1832" s="9"/>
      <c r="E1832" s="9"/>
      <c r="F1832" s="9"/>
      <c r="G1832" s="9"/>
      <c r="H1832" s="9"/>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c r="AS1832" s="9"/>
      <c r="AT1832" s="9"/>
      <c r="AU1832" s="9"/>
      <c r="AV1832" s="9"/>
      <c r="AW1832" s="9"/>
      <c r="AX1832" s="9"/>
      <c r="AY1832" s="9"/>
      <c r="AZ1832" s="9"/>
      <c r="BA1832" s="9"/>
      <c r="BB1832" s="9"/>
      <c r="BC1832" s="9"/>
      <c r="BD1832" s="9"/>
      <c r="BE1832" s="9"/>
      <c r="BF1832" s="9"/>
      <c r="BG1832" s="9"/>
      <c r="BH1832" s="9"/>
      <c r="BI1832" s="9"/>
      <c r="BJ1832" s="9"/>
      <c r="BK1832" s="9"/>
      <c r="BL1832" s="9"/>
      <c r="BM1832" s="9"/>
      <c r="BN1832" s="9"/>
      <c r="BO1832" s="9"/>
      <c r="BP1832" s="9"/>
      <c r="BQ1832" s="9"/>
      <c r="BR1832" s="9"/>
      <c r="BS1832" s="9"/>
      <c r="BT1832" s="9"/>
      <c r="BU1832" s="9"/>
      <c r="BV1832" s="9"/>
      <c r="BW1832" s="9"/>
    </row>
    <row r="1833" spans="1:75" x14ac:dyDescent="0.25">
      <c r="A1833" s="9"/>
      <c r="B1833" s="9"/>
      <c r="C1833" s="9"/>
      <c r="D1833" s="9"/>
      <c r="E1833" s="9"/>
      <c r="F1833" s="9"/>
      <c r="G1833" s="9"/>
      <c r="H1833" s="9"/>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c r="AY1833" s="9"/>
      <c r="AZ1833" s="9"/>
      <c r="BA1833" s="9"/>
      <c r="BB1833" s="9"/>
      <c r="BC1833" s="9"/>
      <c r="BD1833" s="9"/>
      <c r="BE1833" s="9"/>
      <c r="BF1833" s="9"/>
      <c r="BG1833" s="9"/>
      <c r="BH1833" s="9"/>
      <c r="BI1833" s="9"/>
      <c r="BJ1833" s="9"/>
      <c r="BK1833" s="9"/>
      <c r="BL1833" s="9"/>
      <c r="BM1833" s="9"/>
      <c r="BN1833" s="9"/>
      <c r="BO1833" s="9"/>
      <c r="BP1833" s="9"/>
      <c r="BQ1833" s="9"/>
      <c r="BR1833" s="9"/>
      <c r="BS1833" s="9"/>
      <c r="BT1833" s="9"/>
      <c r="BU1833" s="9"/>
      <c r="BV1833" s="9"/>
      <c r="BW1833" s="9"/>
    </row>
    <row r="1834" spans="1:75" x14ac:dyDescent="0.25">
      <c r="A1834" s="9"/>
      <c r="B1834" s="9"/>
      <c r="C1834" s="9"/>
      <c r="D1834" s="9"/>
      <c r="E1834" s="9"/>
      <c r="F1834" s="9"/>
      <c r="G1834" s="9"/>
      <c r="H1834" s="9"/>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c r="AY1834" s="9"/>
      <c r="AZ1834" s="9"/>
      <c r="BA1834" s="9"/>
      <c r="BB1834" s="9"/>
      <c r="BC1834" s="9"/>
      <c r="BD1834" s="9"/>
      <c r="BE1834" s="9"/>
      <c r="BF1834" s="9"/>
      <c r="BG1834" s="9"/>
      <c r="BH1834" s="9"/>
      <c r="BI1834" s="9"/>
      <c r="BJ1834" s="9"/>
      <c r="BK1834" s="9"/>
      <c r="BL1834" s="9"/>
      <c r="BM1834" s="9"/>
      <c r="BN1834" s="9"/>
      <c r="BO1834" s="9"/>
      <c r="BP1834" s="9"/>
      <c r="BQ1834" s="9"/>
      <c r="BR1834" s="9"/>
      <c r="BS1834" s="9"/>
      <c r="BT1834" s="9"/>
      <c r="BU1834" s="9"/>
      <c r="BV1834" s="9"/>
      <c r="BW1834" s="9"/>
    </row>
    <row r="1835" spans="1:75" x14ac:dyDescent="0.25">
      <c r="A1835" s="9"/>
      <c r="B1835" s="9"/>
      <c r="C1835" s="9"/>
      <c r="D1835" s="9"/>
      <c r="E1835" s="9"/>
      <c r="F1835" s="9"/>
      <c r="G1835" s="9"/>
      <c r="H1835" s="9"/>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c r="AQ1835" s="9"/>
      <c r="AR1835" s="9"/>
      <c r="AS1835" s="9"/>
      <c r="AT1835" s="9"/>
      <c r="AU1835" s="9"/>
      <c r="AV1835" s="9"/>
      <c r="AW1835" s="9"/>
      <c r="AX1835" s="9"/>
      <c r="AY1835" s="9"/>
      <c r="AZ1835" s="9"/>
      <c r="BA1835" s="9"/>
      <c r="BB1835" s="9"/>
      <c r="BC1835" s="9"/>
      <c r="BD1835" s="9"/>
      <c r="BE1835" s="9"/>
      <c r="BF1835" s="9"/>
      <c r="BG1835" s="9"/>
      <c r="BH1835" s="9"/>
      <c r="BI1835" s="9"/>
      <c r="BJ1835" s="9"/>
      <c r="BK1835" s="9"/>
      <c r="BL1835" s="9"/>
      <c r="BM1835" s="9"/>
      <c r="BN1835" s="9"/>
      <c r="BO1835" s="9"/>
      <c r="BP1835" s="9"/>
      <c r="BQ1835" s="9"/>
      <c r="BR1835" s="9"/>
      <c r="BS1835" s="9"/>
      <c r="BT1835" s="9"/>
      <c r="BU1835" s="9"/>
      <c r="BV1835" s="9"/>
      <c r="BW1835" s="9"/>
    </row>
    <row r="1836" spans="1:75" x14ac:dyDescent="0.25">
      <c r="A1836" s="9"/>
      <c r="B1836" s="9"/>
      <c r="C1836" s="9"/>
      <c r="D1836" s="9"/>
      <c r="E1836" s="9"/>
      <c r="F1836" s="9"/>
      <c r="G1836" s="9"/>
      <c r="H1836" s="9"/>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c r="AQ1836" s="9"/>
      <c r="AR1836" s="9"/>
      <c r="AS1836" s="9"/>
      <c r="AT1836" s="9"/>
      <c r="AU1836" s="9"/>
      <c r="AV1836" s="9"/>
      <c r="AW1836" s="9"/>
      <c r="AX1836" s="9"/>
      <c r="AY1836" s="9"/>
      <c r="AZ1836" s="9"/>
      <c r="BA1836" s="9"/>
      <c r="BB1836" s="9"/>
      <c r="BC1836" s="9"/>
      <c r="BD1836" s="9"/>
      <c r="BE1836" s="9"/>
      <c r="BF1836" s="9"/>
      <c r="BG1836" s="9"/>
      <c r="BH1836" s="9"/>
      <c r="BI1836" s="9"/>
      <c r="BJ1836" s="9"/>
      <c r="BK1836" s="9"/>
      <c r="BL1836" s="9"/>
      <c r="BM1836" s="9"/>
      <c r="BN1836" s="9"/>
      <c r="BO1836" s="9"/>
      <c r="BP1836" s="9"/>
      <c r="BQ1836" s="9"/>
      <c r="BR1836" s="9"/>
      <c r="BS1836" s="9"/>
      <c r="BT1836" s="9"/>
      <c r="BU1836" s="9"/>
      <c r="BV1836" s="9"/>
      <c r="BW1836" s="9"/>
    </row>
    <row r="1837" spans="1:75" x14ac:dyDescent="0.25">
      <c r="A1837" s="9"/>
      <c r="B1837" s="9"/>
      <c r="C1837" s="9"/>
      <c r="D1837" s="9"/>
      <c r="E1837" s="9"/>
      <c r="F1837" s="9"/>
      <c r="G1837" s="9"/>
      <c r="H1837" s="9"/>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c r="AQ1837" s="9"/>
      <c r="AR1837" s="9"/>
      <c r="AS1837" s="9"/>
      <c r="AT1837" s="9"/>
      <c r="AU1837" s="9"/>
      <c r="AV1837" s="9"/>
      <c r="AW1837" s="9"/>
      <c r="AX1837" s="9"/>
      <c r="AY1837" s="9"/>
      <c r="AZ1837" s="9"/>
      <c r="BA1837" s="9"/>
      <c r="BB1837" s="9"/>
      <c r="BC1837" s="9"/>
      <c r="BD1837" s="9"/>
      <c r="BE1837" s="9"/>
      <c r="BF1837" s="9"/>
      <c r="BG1837" s="9"/>
      <c r="BH1837" s="9"/>
      <c r="BI1837" s="9"/>
      <c r="BJ1837" s="9"/>
      <c r="BK1837" s="9"/>
      <c r="BL1837" s="9"/>
      <c r="BM1837" s="9"/>
      <c r="BN1837" s="9"/>
      <c r="BO1837" s="9"/>
      <c r="BP1837" s="9"/>
      <c r="BQ1837" s="9"/>
      <c r="BR1837" s="9"/>
      <c r="BS1837" s="9"/>
      <c r="BT1837" s="9"/>
      <c r="BU1837" s="9"/>
      <c r="BV1837" s="9"/>
      <c r="BW1837" s="9"/>
    </row>
    <row r="1838" spans="1:75" x14ac:dyDescent="0.25">
      <c r="A1838" s="9"/>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c r="AS1838" s="9"/>
      <c r="AT1838" s="9"/>
      <c r="AU1838" s="9"/>
      <c r="AV1838" s="9"/>
      <c r="AW1838" s="9"/>
      <c r="AX1838" s="9"/>
      <c r="AY1838" s="9"/>
      <c r="AZ1838" s="9"/>
      <c r="BA1838" s="9"/>
      <c r="BB1838" s="9"/>
      <c r="BC1838" s="9"/>
      <c r="BD1838" s="9"/>
      <c r="BE1838" s="9"/>
      <c r="BF1838" s="9"/>
      <c r="BG1838" s="9"/>
      <c r="BH1838" s="9"/>
      <c r="BI1838" s="9"/>
      <c r="BJ1838" s="9"/>
      <c r="BK1838" s="9"/>
      <c r="BL1838" s="9"/>
      <c r="BM1838" s="9"/>
      <c r="BN1838" s="9"/>
      <c r="BO1838" s="9"/>
      <c r="BP1838" s="9"/>
      <c r="BQ1838" s="9"/>
      <c r="BR1838" s="9"/>
      <c r="BS1838" s="9"/>
      <c r="BT1838" s="9"/>
      <c r="BU1838" s="9"/>
      <c r="BV1838" s="9"/>
      <c r="BW1838" s="9"/>
    </row>
    <row r="1839" spans="1:75" x14ac:dyDescent="0.25">
      <c r="A1839" s="9"/>
      <c r="B1839" s="9"/>
      <c r="C1839" s="9"/>
      <c r="D1839" s="9"/>
      <c r="E1839" s="9"/>
      <c r="F1839" s="9"/>
      <c r="G1839" s="9"/>
      <c r="H1839" s="9"/>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c r="AQ1839" s="9"/>
      <c r="AR1839" s="9"/>
      <c r="AS1839" s="9"/>
      <c r="AT1839" s="9"/>
      <c r="AU1839" s="9"/>
      <c r="AV1839" s="9"/>
      <c r="AW1839" s="9"/>
      <c r="AX1839" s="9"/>
      <c r="AY1839" s="9"/>
      <c r="AZ1839" s="9"/>
      <c r="BA1839" s="9"/>
      <c r="BB1839" s="9"/>
      <c r="BC1839" s="9"/>
      <c r="BD1839" s="9"/>
      <c r="BE1839" s="9"/>
      <c r="BF1839" s="9"/>
      <c r="BG1839" s="9"/>
      <c r="BH1839" s="9"/>
      <c r="BI1839" s="9"/>
      <c r="BJ1839" s="9"/>
      <c r="BK1839" s="9"/>
      <c r="BL1839" s="9"/>
      <c r="BM1839" s="9"/>
      <c r="BN1839" s="9"/>
      <c r="BO1839" s="9"/>
      <c r="BP1839" s="9"/>
      <c r="BQ1839" s="9"/>
      <c r="BR1839" s="9"/>
      <c r="BS1839" s="9"/>
      <c r="BT1839" s="9"/>
      <c r="BU1839" s="9"/>
      <c r="BV1839" s="9"/>
      <c r="BW1839" s="9"/>
    </row>
    <row r="1840" spans="1:75" x14ac:dyDescent="0.25">
      <c r="A1840" s="9"/>
      <c r="B1840" s="9"/>
      <c r="C1840" s="9"/>
      <c r="D1840" s="9"/>
      <c r="E1840" s="9"/>
      <c r="F1840" s="9"/>
      <c r="G1840" s="9"/>
      <c r="H1840" s="9"/>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c r="AQ1840" s="9"/>
      <c r="AR1840" s="9"/>
      <c r="AS1840" s="9"/>
      <c r="AT1840" s="9"/>
      <c r="AU1840" s="9"/>
      <c r="AV1840" s="9"/>
      <c r="AW1840" s="9"/>
      <c r="AX1840" s="9"/>
      <c r="AY1840" s="9"/>
      <c r="AZ1840" s="9"/>
      <c r="BA1840" s="9"/>
      <c r="BB1840" s="9"/>
      <c r="BC1840" s="9"/>
      <c r="BD1840" s="9"/>
      <c r="BE1840" s="9"/>
      <c r="BF1840" s="9"/>
      <c r="BG1840" s="9"/>
      <c r="BH1840" s="9"/>
      <c r="BI1840" s="9"/>
      <c r="BJ1840" s="9"/>
      <c r="BK1840" s="9"/>
      <c r="BL1840" s="9"/>
      <c r="BM1840" s="9"/>
      <c r="BN1840" s="9"/>
      <c r="BO1840" s="9"/>
      <c r="BP1840" s="9"/>
      <c r="BQ1840" s="9"/>
      <c r="BR1840" s="9"/>
      <c r="BS1840" s="9"/>
      <c r="BT1840" s="9"/>
      <c r="BU1840" s="9"/>
      <c r="BV1840" s="9"/>
      <c r="BW1840" s="9"/>
    </row>
    <row r="1841" spans="1:75" x14ac:dyDescent="0.25">
      <c r="A1841" s="9"/>
      <c r="B1841" s="9"/>
      <c r="C1841" s="9"/>
      <c r="D1841" s="9"/>
      <c r="E1841" s="9"/>
      <c r="F1841" s="9"/>
      <c r="G1841" s="9"/>
      <c r="H1841" s="9"/>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c r="AQ1841" s="9"/>
      <c r="AR1841" s="9"/>
      <c r="AS1841" s="9"/>
      <c r="AT1841" s="9"/>
      <c r="AU1841" s="9"/>
      <c r="AV1841" s="9"/>
      <c r="AW1841" s="9"/>
      <c r="AX1841" s="9"/>
      <c r="AY1841" s="9"/>
      <c r="AZ1841" s="9"/>
      <c r="BA1841" s="9"/>
      <c r="BB1841" s="9"/>
      <c r="BC1841" s="9"/>
      <c r="BD1841" s="9"/>
      <c r="BE1841" s="9"/>
      <c r="BF1841" s="9"/>
      <c r="BG1841" s="9"/>
      <c r="BH1841" s="9"/>
      <c r="BI1841" s="9"/>
      <c r="BJ1841" s="9"/>
      <c r="BK1841" s="9"/>
      <c r="BL1841" s="9"/>
      <c r="BM1841" s="9"/>
      <c r="BN1841" s="9"/>
      <c r="BO1841" s="9"/>
      <c r="BP1841" s="9"/>
      <c r="BQ1841" s="9"/>
      <c r="BR1841" s="9"/>
      <c r="BS1841" s="9"/>
      <c r="BT1841" s="9"/>
      <c r="BU1841" s="9"/>
      <c r="BV1841" s="9"/>
      <c r="BW1841" s="9"/>
    </row>
    <row r="1842" spans="1:75" x14ac:dyDescent="0.25">
      <c r="A1842" s="9"/>
      <c r="B1842" s="9"/>
      <c r="C1842" s="9"/>
      <c r="D1842" s="9"/>
      <c r="E1842" s="9"/>
      <c r="F1842" s="9"/>
      <c r="G1842" s="9"/>
      <c r="H1842" s="9"/>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c r="AQ1842" s="9"/>
      <c r="AR1842" s="9"/>
      <c r="AS1842" s="9"/>
      <c r="AT1842" s="9"/>
      <c r="AU1842" s="9"/>
      <c r="AV1842" s="9"/>
      <c r="AW1842" s="9"/>
      <c r="AX1842" s="9"/>
      <c r="AY1842" s="9"/>
      <c r="AZ1842" s="9"/>
      <c r="BA1842" s="9"/>
      <c r="BB1842" s="9"/>
      <c r="BC1842" s="9"/>
      <c r="BD1842" s="9"/>
      <c r="BE1842" s="9"/>
      <c r="BF1842" s="9"/>
      <c r="BG1842" s="9"/>
      <c r="BH1842" s="9"/>
      <c r="BI1842" s="9"/>
      <c r="BJ1842" s="9"/>
      <c r="BK1842" s="9"/>
      <c r="BL1842" s="9"/>
      <c r="BM1842" s="9"/>
      <c r="BN1842" s="9"/>
      <c r="BO1842" s="9"/>
      <c r="BP1842" s="9"/>
      <c r="BQ1842" s="9"/>
      <c r="BR1842" s="9"/>
      <c r="BS1842" s="9"/>
      <c r="BT1842" s="9"/>
      <c r="BU1842" s="9"/>
      <c r="BV1842" s="9"/>
      <c r="BW1842" s="9"/>
    </row>
    <row r="1843" spans="1:75" x14ac:dyDescent="0.25">
      <c r="A1843" s="9"/>
      <c r="B1843" s="9"/>
      <c r="C1843" s="9"/>
      <c r="D1843" s="9"/>
      <c r="E1843" s="9"/>
      <c r="F1843" s="9"/>
      <c r="G1843" s="9"/>
      <c r="H1843" s="9"/>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c r="AQ1843" s="9"/>
      <c r="AR1843" s="9"/>
      <c r="AS1843" s="9"/>
      <c r="AT1843" s="9"/>
      <c r="AU1843" s="9"/>
      <c r="AV1843" s="9"/>
      <c r="AW1843" s="9"/>
      <c r="AX1843" s="9"/>
      <c r="AY1843" s="9"/>
      <c r="AZ1843" s="9"/>
      <c r="BA1843" s="9"/>
      <c r="BB1843" s="9"/>
      <c r="BC1843" s="9"/>
      <c r="BD1843" s="9"/>
      <c r="BE1843" s="9"/>
      <c r="BF1843" s="9"/>
      <c r="BG1843" s="9"/>
      <c r="BH1843" s="9"/>
      <c r="BI1843" s="9"/>
      <c r="BJ1843" s="9"/>
      <c r="BK1843" s="9"/>
      <c r="BL1843" s="9"/>
      <c r="BM1843" s="9"/>
      <c r="BN1843" s="9"/>
      <c r="BO1843" s="9"/>
      <c r="BP1843" s="9"/>
      <c r="BQ1843" s="9"/>
      <c r="BR1843" s="9"/>
      <c r="BS1843" s="9"/>
      <c r="BT1843" s="9"/>
      <c r="BU1843" s="9"/>
      <c r="BV1843" s="9"/>
      <c r="BW1843" s="9"/>
    </row>
    <row r="1844" spans="1:75" x14ac:dyDescent="0.25">
      <c r="A1844" s="9"/>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c r="AS1844" s="9"/>
      <c r="AT1844" s="9"/>
      <c r="AU1844" s="9"/>
      <c r="AV1844" s="9"/>
      <c r="AW1844" s="9"/>
      <c r="AX1844" s="9"/>
      <c r="AY1844" s="9"/>
      <c r="AZ1844" s="9"/>
      <c r="BA1844" s="9"/>
      <c r="BB1844" s="9"/>
      <c r="BC1844" s="9"/>
      <c r="BD1844" s="9"/>
      <c r="BE1844" s="9"/>
      <c r="BF1844" s="9"/>
      <c r="BG1844" s="9"/>
      <c r="BH1844" s="9"/>
      <c r="BI1844" s="9"/>
      <c r="BJ1844" s="9"/>
      <c r="BK1844" s="9"/>
      <c r="BL1844" s="9"/>
      <c r="BM1844" s="9"/>
      <c r="BN1844" s="9"/>
      <c r="BO1844" s="9"/>
      <c r="BP1844" s="9"/>
      <c r="BQ1844" s="9"/>
      <c r="BR1844" s="9"/>
      <c r="BS1844" s="9"/>
      <c r="BT1844" s="9"/>
      <c r="BU1844" s="9"/>
      <c r="BV1844" s="9"/>
      <c r="BW1844" s="9"/>
    </row>
    <row r="1845" spans="1:75" x14ac:dyDescent="0.25">
      <c r="A1845" s="9"/>
      <c r="B1845" s="9"/>
      <c r="C1845" s="9"/>
      <c r="D1845" s="9"/>
      <c r="E1845" s="9"/>
      <c r="F1845" s="9"/>
      <c r="G1845" s="9"/>
      <c r="H1845" s="9"/>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c r="AS1845" s="9"/>
      <c r="AT1845" s="9"/>
      <c r="AU1845" s="9"/>
      <c r="AV1845" s="9"/>
      <c r="AW1845" s="9"/>
      <c r="AX1845" s="9"/>
      <c r="AY1845" s="9"/>
      <c r="AZ1845" s="9"/>
      <c r="BA1845" s="9"/>
      <c r="BB1845" s="9"/>
      <c r="BC1845" s="9"/>
      <c r="BD1845" s="9"/>
      <c r="BE1845" s="9"/>
      <c r="BF1845" s="9"/>
      <c r="BG1845" s="9"/>
      <c r="BH1845" s="9"/>
      <c r="BI1845" s="9"/>
      <c r="BJ1845" s="9"/>
      <c r="BK1845" s="9"/>
      <c r="BL1845" s="9"/>
      <c r="BM1845" s="9"/>
      <c r="BN1845" s="9"/>
      <c r="BO1845" s="9"/>
      <c r="BP1845" s="9"/>
      <c r="BQ1845" s="9"/>
      <c r="BR1845" s="9"/>
      <c r="BS1845" s="9"/>
      <c r="BT1845" s="9"/>
      <c r="BU1845" s="9"/>
      <c r="BV1845" s="9"/>
      <c r="BW1845" s="9"/>
    </row>
    <row r="1846" spans="1:75" x14ac:dyDescent="0.25">
      <c r="A1846" s="9"/>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c r="AX1846" s="9"/>
      <c r="AY1846" s="9"/>
      <c r="AZ1846" s="9"/>
      <c r="BA1846" s="9"/>
      <c r="BB1846" s="9"/>
      <c r="BC1846" s="9"/>
      <c r="BD1846" s="9"/>
      <c r="BE1846" s="9"/>
      <c r="BF1846" s="9"/>
      <c r="BG1846" s="9"/>
      <c r="BH1846" s="9"/>
      <c r="BI1846" s="9"/>
      <c r="BJ1846" s="9"/>
      <c r="BK1846" s="9"/>
      <c r="BL1846" s="9"/>
      <c r="BM1846" s="9"/>
      <c r="BN1846" s="9"/>
      <c r="BO1846" s="9"/>
      <c r="BP1846" s="9"/>
      <c r="BQ1846" s="9"/>
      <c r="BR1846" s="9"/>
      <c r="BS1846" s="9"/>
      <c r="BT1846" s="9"/>
      <c r="BU1846" s="9"/>
      <c r="BV1846" s="9"/>
      <c r="BW1846" s="9"/>
    </row>
    <row r="1847" spans="1:75" x14ac:dyDescent="0.25">
      <c r="A1847" s="9"/>
      <c r="B1847" s="9"/>
      <c r="C1847" s="9"/>
      <c r="D1847" s="9"/>
      <c r="E1847" s="9"/>
      <c r="F1847" s="9"/>
      <c r="G1847" s="9"/>
      <c r="H1847" s="9"/>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c r="AS1847" s="9"/>
      <c r="AT1847" s="9"/>
      <c r="AU1847" s="9"/>
      <c r="AV1847" s="9"/>
      <c r="AW1847" s="9"/>
      <c r="AX1847" s="9"/>
      <c r="AY1847" s="9"/>
      <c r="AZ1847" s="9"/>
      <c r="BA1847" s="9"/>
      <c r="BB1847" s="9"/>
      <c r="BC1847" s="9"/>
      <c r="BD1847" s="9"/>
      <c r="BE1847" s="9"/>
      <c r="BF1847" s="9"/>
      <c r="BG1847" s="9"/>
      <c r="BH1847" s="9"/>
      <c r="BI1847" s="9"/>
      <c r="BJ1847" s="9"/>
      <c r="BK1847" s="9"/>
      <c r="BL1847" s="9"/>
      <c r="BM1847" s="9"/>
      <c r="BN1847" s="9"/>
      <c r="BO1847" s="9"/>
      <c r="BP1847" s="9"/>
      <c r="BQ1847" s="9"/>
      <c r="BR1847" s="9"/>
      <c r="BS1847" s="9"/>
      <c r="BT1847" s="9"/>
      <c r="BU1847" s="9"/>
      <c r="BV1847" s="9"/>
      <c r="BW1847" s="9"/>
    </row>
    <row r="1848" spans="1:75" x14ac:dyDescent="0.25">
      <c r="A1848" s="9"/>
      <c r="B1848" s="9"/>
      <c r="C1848" s="9"/>
      <c r="D1848" s="9"/>
      <c r="E1848" s="9"/>
      <c r="F1848" s="9"/>
      <c r="G1848" s="9"/>
      <c r="H1848" s="9"/>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c r="AQ1848" s="9"/>
      <c r="AR1848" s="9"/>
      <c r="AS1848" s="9"/>
      <c r="AT1848" s="9"/>
      <c r="AU1848" s="9"/>
      <c r="AV1848" s="9"/>
      <c r="AW1848" s="9"/>
      <c r="AX1848" s="9"/>
      <c r="AY1848" s="9"/>
      <c r="AZ1848" s="9"/>
      <c r="BA1848" s="9"/>
      <c r="BB1848" s="9"/>
      <c r="BC1848" s="9"/>
      <c r="BD1848" s="9"/>
      <c r="BE1848" s="9"/>
      <c r="BF1848" s="9"/>
      <c r="BG1848" s="9"/>
      <c r="BH1848" s="9"/>
      <c r="BI1848" s="9"/>
      <c r="BJ1848" s="9"/>
      <c r="BK1848" s="9"/>
      <c r="BL1848" s="9"/>
      <c r="BM1848" s="9"/>
      <c r="BN1848" s="9"/>
      <c r="BO1848" s="9"/>
      <c r="BP1848" s="9"/>
      <c r="BQ1848" s="9"/>
      <c r="BR1848" s="9"/>
      <c r="BS1848" s="9"/>
      <c r="BT1848" s="9"/>
      <c r="BU1848" s="9"/>
      <c r="BV1848" s="9"/>
      <c r="BW1848" s="9"/>
    </row>
    <row r="1849" spans="1:75" x14ac:dyDescent="0.25">
      <c r="A1849" s="9"/>
      <c r="B1849" s="9"/>
      <c r="C1849" s="9"/>
      <c r="D1849" s="9"/>
      <c r="E1849" s="9"/>
      <c r="F1849" s="9"/>
      <c r="G1849" s="9"/>
      <c r="H1849" s="9"/>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c r="AQ1849" s="9"/>
      <c r="AR1849" s="9"/>
      <c r="AS1849" s="9"/>
      <c r="AT1849" s="9"/>
      <c r="AU1849" s="9"/>
      <c r="AV1849" s="9"/>
      <c r="AW1849" s="9"/>
      <c r="AX1849" s="9"/>
      <c r="AY1849" s="9"/>
      <c r="AZ1849" s="9"/>
      <c r="BA1849" s="9"/>
      <c r="BB1849" s="9"/>
      <c r="BC1849" s="9"/>
      <c r="BD1849" s="9"/>
      <c r="BE1849" s="9"/>
      <c r="BF1849" s="9"/>
      <c r="BG1849" s="9"/>
      <c r="BH1849" s="9"/>
      <c r="BI1849" s="9"/>
      <c r="BJ1849" s="9"/>
      <c r="BK1849" s="9"/>
      <c r="BL1849" s="9"/>
      <c r="BM1849" s="9"/>
      <c r="BN1849" s="9"/>
      <c r="BO1849" s="9"/>
      <c r="BP1849" s="9"/>
      <c r="BQ1849" s="9"/>
      <c r="BR1849" s="9"/>
      <c r="BS1849" s="9"/>
      <c r="BT1849" s="9"/>
      <c r="BU1849" s="9"/>
      <c r="BV1849" s="9"/>
      <c r="BW1849" s="9"/>
    </row>
    <row r="1850" spans="1:75" x14ac:dyDescent="0.25">
      <c r="A1850" s="9"/>
      <c r="B1850" s="9"/>
      <c r="C1850" s="9"/>
      <c r="D1850" s="9"/>
      <c r="E1850" s="9"/>
      <c r="F1850" s="9"/>
      <c r="G1850" s="9"/>
      <c r="H1850" s="9"/>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c r="AQ1850" s="9"/>
      <c r="AR1850" s="9"/>
      <c r="AS1850" s="9"/>
      <c r="AT1850" s="9"/>
      <c r="AU1850" s="9"/>
      <c r="AV1850" s="9"/>
      <c r="AW1850" s="9"/>
      <c r="AX1850" s="9"/>
      <c r="AY1850" s="9"/>
      <c r="AZ1850" s="9"/>
      <c r="BA1850" s="9"/>
      <c r="BB1850" s="9"/>
      <c r="BC1850" s="9"/>
      <c r="BD1850" s="9"/>
      <c r="BE1850" s="9"/>
      <c r="BF1850" s="9"/>
      <c r="BG1850" s="9"/>
      <c r="BH1850" s="9"/>
      <c r="BI1850" s="9"/>
      <c r="BJ1850" s="9"/>
      <c r="BK1850" s="9"/>
      <c r="BL1850" s="9"/>
      <c r="BM1850" s="9"/>
      <c r="BN1850" s="9"/>
      <c r="BO1850" s="9"/>
      <c r="BP1850" s="9"/>
      <c r="BQ1850" s="9"/>
      <c r="BR1850" s="9"/>
      <c r="BS1850" s="9"/>
      <c r="BT1850" s="9"/>
      <c r="BU1850" s="9"/>
      <c r="BV1850" s="9"/>
      <c r="BW1850" s="9"/>
    </row>
    <row r="1851" spans="1:75" x14ac:dyDescent="0.25">
      <c r="A1851" s="9"/>
      <c r="B1851" s="9"/>
      <c r="C1851" s="9"/>
      <c r="D1851" s="9"/>
      <c r="E1851" s="9"/>
      <c r="F1851" s="9"/>
      <c r="G1851" s="9"/>
      <c r="H1851" s="9"/>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c r="AQ1851" s="9"/>
      <c r="AR1851" s="9"/>
      <c r="AS1851" s="9"/>
      <c r="AT1851" s="9"/>
      <c r="AU1851" s="9"/>
      <c r="AV1851" s="9"/>
      <c r="AW1851" s="9"/>
      <c r="AX1851" s="9"/>
      <c r="AY1851" s="9"/>
      <c r="AZ1851" s="9"/>
      <c r="BA1851" s="9"/>
      <c r="BB1851" s="9"/>
      <c r="BC1851" s="9"/>
      <c r="BD1851" s="9"/>
      <c r="BE1851" s="9"/>
      <c r="BF1851" s="9"/>
      <c r="BG1851" s="9"/>
      <c r="BH1851" s="9"/>
      <c r="BI1851" s="9"/>
      <c r="BJ1851" s="9"/>
      <c r="BK1851" s="9"/>
      <c r="BL1851" s="9"/>
      <c r="BM1851" s="9"/>
      <c r="BN1851" s="9"/>
      <c r="BO1851" s="9"/>
      <c r="BP1851" s="9"/>
      <c r="BQ1851" s="9"/>
      <c r="BR1851" s="9"/>
      <c r="BS1851" s="9"/>
      <c r="BT1851" s="9"/>
      <c r="BU1851" s="9"/>
      <c r="BV1851" s="9"/>
      <c r="BW1851" s="9"/>
    </row>
    <row r="1852" spans="1:75" x14ac:dyDescent="0.25">
      <c r="A1852" s="9"/>
      <c r="B1852" s="9"/>
      <c r="C1852" s="9"/>
      <c r="D1852" s="9"/>
      <c r="E1852" s="9"/>
      <c r="F1852" s="9"/>
      <c r="G1852" s="9"/>
      <c r="H1852" s="9"/>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c r="AS1852" s="9"/>
      <c r="AT1852" s="9"/>
      <c r="AU1852" s="9"/>
      <c r="AV1852" s="9"/>
      <c r="AW1852" s="9"/>
      <c r="AX1852" s="9"/>
      <c r="AY1852" s="9"/>
      <c r="AZ1852" s="9"/>
      <c r="BA1852" s="9"/>
      <c r="BB1852" s="9"/>
      <c r="BC1852" s="9"/>
      <c r="BD1852" s="9"/>
      <c r="BE1852" s="9"/>
      <c r="BF1852" s="9"/>
      <c r="BG1852" s="9"/>
      <c r="BH1852" s="9"/>
      <c r="BI1852" s="9"/>
      <c r="BJ1852" s="9"/>
      <c r="BK1852" s="9"/>
      <c r="BL1852" s="9"/>
      <c r="BM1852" s="9"/>
      <c r="BN1852" s="9"/>
      <c r="BO1852" s="9"/>
      <c r="BP1852" s="9"/>
      <c r="BQ1852" s="9"/>
      <c r="BR1852" s="9"/>
      <c r="BS1852" s="9"/>
      <c r="BT1852" s="9"/>
      <c r="BU1852" s="9"/>
      <c r="BV1852" s="9"/>
      <c r="BW1852" s="9"/>
    </row>
    <row r="1853" spans="1:75" x14ac:dyDescent="0.25">
      <c r="A1853" s="9"/>
      <c r="B1853" s="9"/>
      <c r="C1853" s="9"/>
      <c r="D1853" s="9"/>
      <c r="E1853" s="9"/>
      <c r="F1853" s="9"/>
      <c r="G1853" s="9"/>
      <c r="H1853" s="9"/>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c r="AS1853" s="9"/>
      <c r="AT1853" s="9"/>
      <c r="AU1853" s="9"/>
      <c r="AV1853" s="9"/>
      <c r="AW1853" s="9"/>
      <c r="AX1853" s="9"/>
      <c r="AY1853" s="9"/>
      <c r="AZ1853" s="9"/>
      <c r="BA1853" s="9"/>
      <c r="BB1853" s="9"/>
      <c r="BC1853" s="9"/>
      <c r="BD1853" s="9"/>
      <c r="BE1853" s="9"/>
      <c r="BF1853" s="9"/>
      <c r="BG1853" s="9"/>
      <c r="BH1853" s="9"/>
      <c r="BI1853" s="9"/>
      <c r="BJ1853" s="9"/>
      <c r="BK1853" s="9"/>
      <c r="BL1853" s="9"/>
      <c r="BM1853" s="9"/>
      <c r="BN1853" s="9"/>
      <c r="BO1853" s="9"/>
      <c r="BP1853" s="9"/>
      <c r="BQ1853" s="9"/>
      <c r="BR1853" s="9"/>
      <c r="BS1853" s="9"/>
      <c r="BT1853" s="9"/>
      <c r="BU1853" s="9"/>
      <c r="BV1853" s="9"/>
      <c r="BW1853" s="9"/>
    </row>
    <row r="1854" spans="1:75" x14ac:dyDescent="0.25">
      <c r="A1854" s="9"/>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c r="AS1854" s="9"/>
      <c r="AT1854" s="9"/>
      <c r="AU1854" s="9"/>
      <c r="AV1854" s="9"/>
      <c r="AW1854" s="9"/>
      <c r="AX1854" s="9"/>
      <c r="AY1854" s="9"/>
      <c r="AZ1854" s="9"/>
      <c r="BA1854" s="9"/>
      <c r="BB1854" s="9"/>
      <c r="BC1854" s="9"/>
      <c r="BD1854" s="9"/>
      <c r="BE1854" s="9"/>
      <c r="BF1854" s="9"/>
      <c r="BG1854" s="9"/>
      <c r="BH1854" s="9"/>
      <c r="BI1854" s="9"/>
      <c r="BJ1854" s="9"/>
      <c r="BK1854" s="9"/>
      <c r="BL1854" s="9"/>
      <c r="BM1854" s="9"/>
      <c r="BN1854" s="9"/>
      <c r="BO1854" s="9"/>
      <c r="BP1854" s="9"/>
      <c r="BQ1854" s="9"/>
      <c r="BR1854" s="9"/>
      <c r="BS1854" s="9"/>
      <c r="BT1854" s="9"/>
      <c r="BU1854" s="9"/>
      <c r="BV1854" s="9"/>
      <c r="BW1854" s="9"/>
    </row>
    <row r="1855" spans="1:75" x14ac:dyDescent="0.25">
      <c r="A1855" s="9"/>
      <c r="B1855" s="9"/>
      <c r="C1855" s="9"/>
      <c r="D1855" s="9"/>
      <c r="E1855" s="9"/>
      <c r="F1855" s="9"/>
      <c r="G1855" s="9"/>
      <c r="H1855" s="9"/>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c r="AS1855" s="9"/>
      <c r="AT1855" s="9"/>
      <c r="AU1855" s="9"/>
      <c r="AV1855" s="9"/>
      <c r="AW1855" s="9"/>
      <c r="AX1855" s="9"/>
      <c r="AY1855" s="9"/>
      <c r="AZ1855" s="9"/>
      <c r="BA1855" s="9"/>
      <c r="BB1855" s="9"/>
      <c r="BC1855" s="9"/>
      <c r="BD1855" s="9"/>
      <c r="BE1855" s="9"/>
      <c r="BF1855" s="9"/>
      <c r="BG1855" s="9"/>
      <c r="BH1855" s="9"/>
      <c r="BI1855" s="9"/>
      <c r="BJ1855" s="9"/>
      <c r="BK1855" s="9"/>
      <c r="BL1855" s="9"/>
      <c r="BM1855" s="9"/>
      <c r="BN1855" s="9"/>
      <c r="BO1855" s="9"/>
      <c r="BP1855" s="9"/>
      <c r="BQ1855" s="9"/>
      <c r="BR1855" s="9"/>
      <c r="BS1855" s="9"/>
      <c r="BT1855" s="9"/>
      <c r="BU1855" s="9"/>
      <c r="BV1855" s="9"/>
      <c r="BW1855" s="9"/>
    </row>
    <row r="1856" spans="1:75" x14ac:dyDescent="0.25">
      <c r="A1856" s="9"/>
      <c r="B1856" s="9"/>
      <c r="C1856" s="9"/>
      <c r="D1856" s="9"/>
      <c r="E1856" s="9"/>
      <c r="F1856" s="9"/>
      <c r="G1856" s="9"/>
      <c r="H1856" s="9"/>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c r="AQ1856" s="9"/>
      <c r="AR1856" s="9"/>
      <c r="AS1856" s="9"/>
      <c r="AT1856" s="9"/>
      <c r="AU1856" s="9"/>
      <c r="AV1856" s="9"/>
      <c r="AW1856" s="9"/>
      <c r="AX1856" s="9"/>
      <c r="AY1856" s="9"/>
      <c r="AZ1856" s="9"/>
      <c r="BA1856" s="9"/>
      <c r="BB1856" s="9"/>
      <c r="BC1856" s="9"/>
      <c r="BD1856" s="9"/>
      <c r="BE1856" s="9"/>
      <c r="BF1856" s="9"/>
      <c r="BG1856" s="9"/>
      <c r="BH1856" s="9"/>
      <c r="BI1856" s="9"/>
      <c r="BJ1856" s="9"/>
      <c r="BK1856" s="9"/>
      <c r="BL1856" s="9"/>
      <c r="BM1856" s="9"/>
      <c r="BN1856" s="9"/>
      <c r="BO1856" s="9"/>
      <c r="BP1856" s="9"/>
      <c r="BQ1856" s="9"/>
      <c r="BR1856" s="9"/>
      <c r="BS1856" s="9"/>
      <c r="BT1856" s="9"/>
      <c r="BU1856" s="9"/>
      <c r="BV1856" s="9"/>
      <c r="BW1856" s="9"/>
    </row>
    <row r="1857" spans="1:75" x14ac:dyDescent="0.25">
      <c r="A1857" s="9"/>
      <c r="B1857" s="9"/>
      <c r="C1857" s="9"/>
      <c r="D1857" s="9"/>
      <c r="E1857" s="9"/>
      <c r="F1857" s="9"/>
      <c r="G1857" s="9"/>
      <c r="H1857" s="9"/>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c r="AS1857" s="9"/>
      <c r="AT1857" s="9"/>
      <c r="AU1857" s="9"/>
      <c r="AV1857" s="9"/>
      <c r="AW1857" s="9"/>
      <c r="AX1857" s="9"/>
      <c r="AY1857" s="9"/>
      <c r="AZ1857" s="9"/>
      <c r="BA1857" s="9"/>
      <c r="BB1857" s="9"/>
      <c r="BC1857" s="9"/>
      <c r="BD1857" s="9"/>
      <c r="BE1857" s="9"/>
      <c r="BF1857" s="9"/>
      <c r="BG1857" s="9"/>
      <c r="BH1857" s="9"/>
      <c r="BI1857" s="9"/>
      <c r="BJ1857" s="9"/>
      <c r="BK1857" s="9"/>
      <c r="BL1857" s="9"/>
      <c r="BM1857" s="9"/>
      <c r="BN1857" s="9"/>
      <c r="BO1857" s="9"/>
      <c r="BP1857" s="9"/>
      <c r="BQ1857" s="9"/>
      <c r="BR1857" s="9"/>
      <c r="BS1857" s="9"/>
      <c r="BT1857" s="9"/>
      <c r="BU1857" s="9"/>
      <c r="BV1857" s="9"/>
      <c r="BW1857" s="9"/>
    </row>
    <row r="1858" spans="1:75" x14ac:dyDescent="0.25">
      <c r="A1858" s="9"/>
      <c r="B1858" s="9"/>
      <c r="C1858" s="9"/>
      <c r="D1858" s="9"/>
      <c r="E1858" s="9"/>
      <c r="F1858" s="9"/>
      <c r="G1858" s="9"/>
      <c r="H1858" s="9"/>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c r="AS1858" s="9"/>
      <c r="AT1858" s="9"/>
      <c r="AU1858" s="9"/>
      <c r="AV1858" s="9"/>
      <c r="AW1858" s="9"/>
      <c r="AX1858" s="9"/>
      <c r="AY1858" s="9"/>
      <c r="AZ1858" s="9"/>
      <c r="BA1858" s="9"/>
      <c r="BB1858" s="9"/>
      <c r="BC1858" s="9"/>
      <c r="BD1858" s="9"/>
      <c r="BE1858" s="9"/>
      <c r="BF1858" s="9"/>
      <c r="BG1858" s="9"/>
      <c r="BH1858" s="9"/>
      <c r="BI1858" s="9"/>
      <c r="BJ1858" s="9"/>
      <c r="BK1858" s="9"/>
      <c r="BL1858" s="9"/>
      <c r="BM1858" s="9"/>
      <c r="BN1858" s="9"/>
      <c r="BO1858" s="9"/>
      <c r="BP1858" s="9"/>
      <c r="BQ1858" s="9"/>
      <c r="BR1858" s="9"/>
      <c r="BS1858" s="9"/>
      <c r="BT1858" s="9"/>
      <c r="BU1858" s="9"/>
      <c r="BV1858" s="9"/>
      <c r="BW1858" s="9"/>
    </row>
    <row r="1859" spans="1:75" x14ac:dyDescent="0.25">
      <c r="A1859" s="9"/>
      <c r="B1859" s="9"/>
      <c r="C1859" s="9"/>
      <c r="D1859" s="9"/>
      <c r="E1859" s="9"/>
      <c r="F1859" s="9"/>
      <c r="G1859" s="9"/>
      <c r="H1859" s="9"/>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c r="AQ1859" s="9"/>
      <c r="AR1859" s="9"/>
      <c r="AS1859" s="9"/>
      <c r="AT1859" s="9"/>
      <c r="AU1859" s="9"/>
      <c r="AV1859" s="9"/>
      <c r="AW1859" s="9"/>
      <c r="AX1859" s="9"/>
      <c r="AY1859" s="9"/>
      <c r="AZ1859" s="9"/>
      <c r="BA1859" s="9"/>
      <c r="BB1859" s="9"/>
      <c r="BC1859" s="9"/>
      <c r="BD1859" s="9"/>
      <c r="BE1859" s="9"/>
      <c r="BF1859" s="9"/>
      <c r="BG1859" s="9"/>
      <c r="BH1859" s="9"/>
      <c r="BI1859" s="9"/>
      <c r="BJ1859" s="9"/>
      <c r="BK1859" s="9"/>
      <c r="BL1859" s="9"/>
      <c r="BM1859" s="9"/>
      <c r="BN1859" s="9"/>
      <c r="BO1859" s="9"/>
      <c r="BP1859" s="9"/>
      <c r="BQ1859" s="9"/>
      <c r="BR1859" s="9"/>
      <c r="BS1859" s="9"/>
      <c r="BT1859" s="9"/>
      <c r="BU1859" s="9"/>
      <c r="BV1859" s="9"/>
      <c r="BW1859" s="9"/>
    </row>
    <row r="1860" spans="1:75" x14ac:dyDescent="0.25">
      <c r="A1860" s="9"/>
      <c r="B1860" s="9"/>
      <c r="C1860" s="9"/>
      <c r="D1860" s="9"/>
      <c r="E1860" s="9"/>
      <c r="F1860" s="9"/>
      <c r="G1860" s="9"/>
      <c r="H1860" s="9"/>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c r="AS1860" s="9"/>
      <c r="AT1860" s="9"/>
      <c r="AU1860" s="9"/>
      <c r="AV1860" s="9"/>
      <c r="AW1860" s="9"/>
      <c r="AX1860" s="9"/>
      <c r="AY1860" s="9"/>
      <c r="AZ1860" s="9"/>
      <c r="BA1860" s="9"/>
      <c r="BB1860" s="9"/>
      <c r="BC1860" s="9"/>
      <c r="BD1860" s="9"/>
      <c r="BE1860" s="9"/>
      <c r="BF1860" s="9"/>
      <c r="BG1860" s="9"/>
      <c r="BH1860" s="9"/>
      <c r="BI1860" s="9"/>
      <c r="BJ1860" s="9"/>
      <c r="BK1860" s="9"/>
      <c r="BL1860" s="9"/>
      <c r="BM1860" s="9"/>
      <c r="BN1860" s="9"/>
      <c r="BO1860" s="9"/>
      <c r="BP1860" s="9"/>
      <c r="BQ1860" s="9"/>
      <c r="BR1860" s="9"/>
      <c r="BS1860" s="9"/>
      <c r="BT1860" s="9"/>
      <c r="BU1860" s="9"/>
      <c r="BV1860" s="9"/>
      <c r="BW1860" s="9"/>
    </row>
    <row r="1861" spans="1:75" x14ac:dyDescent="0.25">
      <c r="A1861" s="9"/>
      <c r="B1861" s="9"/>
      <c r="C1861" s="9"/>
      <c r="D1861" s="9"/>
      <c r="E1861" s="9"/>
      <c r="F1861" s="9"/>
      <c r="G1861" s="9"/>
      <c r="H1861" s="9"/>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c r="AS1861" s="9"/>
      <c r="AT1861" s="9"/>
      <c r="AU1861" s="9"/>
      <c r="AV1861" s="9"/>
      <c r="AW1861" s="9"/>
      <c r="AX1861" s="9"/>
      <c r="AY1861" s="9"/>
      <c r="AZ1861" s="9"/>
      <c r="BA1861" s="9"/>
      <c r="BB1861" s="9"/>
      <c r="BC1861" s="9"/>
      <c r="BD1861" s="9"/>
      <c r="BE1861" s="9"/>
      <c r="BF1861" s="9"/>
      <c r="BG1861" s="9"/>
      <c r="BH1861" s="9"/>
      <c r="BI1861" s="9"/>
      <c r="BJ1861" s="9"/>
      <c r="BK1861" s="9"/>
      <c r="BL1861" s="9"/>
      <c r="BM1861" s="9"/>
      <c r="BN1861" s="9"/>
      <c r="BO1861" s="9"/>
      <c r="BP1861" s="9"/>
      <c r="BQ1861" s="9"/>
      <c r="BR1861" s="9"/>
      <c r="BS1861" s="9"/>
      <c r="BT1861" s="9"/>
      <c r="BU1861" s="9"/>
      <c r="BV1861" s="9"/>
      <c r="BW1861" s="9"/>
    </row>
    <row r="1862" spans="1:75" x14ac:dyDescent="0.25">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c r="AS1862" s="9"/>
      <c r="AT1862" s="9"/>
      <c r="AU1862" s="9"/>
      <c r="AV1862" s="9"/>
      <c r="AW1862" s="9"/>
      <c r="AX1862" s="9"/>
      <c r="AY1862" s="9"/>
      <c r="AZ1862" s="9"/>
      <c r="BA1862" s="9"/>
      <c r="BB1862" s="9"/>
      <c r="BC1862" s="9"/>
      <c r="BD1862" s="9"/>
      <c r="BE1862" s="9"/>
      <c r="BF1862" s="9"/>
      <c r="BG1862" s="9"/>
      <c r="BH1862" s="9"/>
      <c r="BI1862" s="9"/>
      <c r="BJ1862" s="9"/>
      <c r="BK1862" s="9"/>
      <c r="BL1862" s="9"/>
      <c r="BM1862" s="9"/>
      <c r="BN1862" s="9"/>
      <c r="BO1862" s="9"/>
      <c r="BP1862" s="9"/>
      <c r="BQ1862" s="9"/>
      <c r="BR1862" s="9"/>
      <c r="BS1862" s="9"/>
      <c r="BT1862" s="9"/>
      <c r="BU1862" s="9"/>
      <c r="BV1862" s="9"/>
      <c r="BW1862" s="9"/>
    </row>
    <row r="1863" spans="1:75" x14ac:dyDescent="0.25">
      <c r="A1863" s="9"/>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row>
    <row r="1864" spans="1:75" x14ac:dyDescent="0.25">
      <c r="A1864" s="9"/>
      <c r="B1864" s="9"/>
      <c r="C1864" s="9"/>
      <c r="D1864" s="9"/>
      <c r="E1864" s="9"/>
      <c r="F1864" s="9"/>
      <c r="G1864" s="9"/>
      <c r="H1864" s="9"/>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row>
    <row r="1865" spans="1:75" x14ac:dyDescent="0.25">
      <c r="A1865" s="9"/>
      <c r="B1865" s="9"/>
      <c r="C1865" s="9"/>
      <c r="D1865" s="9"/>
      <c r="E1865" s="9"/>
      <c r="F1865" s="9"/>
      <c r="G1865" s="9"/>
      <c r="H1865" s="9"/>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row>
    <row r="1866" spans="1:75" x14ac:dyDescent="0.25">
      <c r="A1866" s="9"/>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row>
    <row r="1867" spans="1:75" x14ac:dyDescent="0.25">
      <c r="A1867" s="9"/>
      <c r="B1867" s="9"/>
      <c r="C1867" s="9"/>
      <c r="D1867" s="9"/>
      <c r="E1867" s="9"/>
      <c r="F1867" s="9"/>
      <c r="G1867" s="9"/>
      <c r="H1867" s="9"/>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row>
    <row r="1868" spans="1:75" x14ac:dyDescent="0.25">
      <c r="A1868" s="9"/>
      <c r="B1868" s="9"/>
      <c r="C1868" s="9"/>
      <c r="D1868" s="9"/>
      <c r="E1868" s="9"/>
      <c r="F1868" s="9"/>
      <c r="G1868" s="9"/>
      <c r="H1868" s="9"/>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row>
    <row r="1869" spans="1:75" x14ac:dyDescent="0.25">
      <c r="A1869" s="9"/>
      <c r="B1869" s="9"/>
      <c r="C1869" s="9"/>
      <c r="D1869" s="9"/>
      <c r="E1869" s="9"/>
      <c r="F1869" s="9"/>
      <c r="G1869" s="9"/>
      <c r="H1869" s="9"/>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row>
    <row r="1870" spans="1:75" x14ac:dyDescent="0.25">
      <c r="A1870" s="9"/>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row>
    <row r="1871" spans="1:75" x14ac:dyDescent="0.25">
      <c r="A1871" s="9"/>
      <c r="B1871" s="9"/>
      <c r="C1871" s="9"/>
      <c r="D1871" s="9"/>
      <c r="E1871" s="9"/>
      <c r="F1871" s="9"/>
      <c r="G1871" s="9"/>
      <c r="H1871" s="9"/>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row>
    <row r="1872" spans="1:75" x14ac:dyDescent="0.25">
      <c r="A1872" s="9"/>
      <c r="B1872" s="9"/>
      <c r="C1872" s="9"/>
      <c r="D1872" s="9"/>
      <c r="E1872" s="9"/>
      <c r="F1872" s="9"/>
      <c r="G1872" s="9"/>
      <c r="H1872" s="9"/>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row>
    <row r="1873" spans="1:75" x14ac:dyDescent="0.25">
      <c r="A1873" s="9"/>
      <c r="B1873" s="9"/>
      <c r="C1873" s="9"/>
      <c r="D1873" s="9"/>
      <c r="E1873" s="9"/>
      <c r="F1873" s="9"/>
      <c r="G1873" s="9"/>
      <c r="H1873" s="9"/>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row>
    <row r="1874" spans="1:75" x14ac:dyDescent="0.25">
      <c r="A1874" s="9"/>
      <c r="B1874" s="9"/>
      <c r="C1874" s="9"/>
      <c r="D1874" s="9"/>
      <c r="E1874" s="9"/>
      <c r="F1874" s="9"/>
      <c r="G1874" s="9"/>
      <c r="H1874" s="9"/>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row>
    <row r="1875" spans="1:75" x14ac:dyDescent="0.25">
      <c r="A1875" s="9"/>
      <c r="B1875" s="9"/>
      <c r="C1875" s="9"/>
      <c r="D1875" s="9"/>
      <c r="E1875" s="9"/>
      <c r="F1875" s="9"/>
      <c r="G1875" s="9"/>
      <c r="H1875" s="9"/>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row>
    <row r="1876" spans="1:75" x14ac:dyDescent="0.25">
      <c r="A1876" s="9"/>
      <c r="B1876" s="9"/>
      <c r="C1876" s="9"/>
      <c r="D1876" s="9"/>
      <c r="E1876" s="9"/>
      <c r="F1876" s="9"/>
      <c r="G1876" s="9"/>
      <c r="H1876" s="9"/>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row>
    <row r="1877" spans="1:75" x14ac:dyDescent="0.25">
      <c r="A1877" s="9"/>
      <c r="B1877" s="9"/>
      <c r="C1877" s="9"/>
      <c r="D1877" s="9"/>
      <c r="E1877" s="9"/>
      <c r="F1877" s="9"/>
      <c r="G1877" s="9"/>
      <c r="H1877" s="9"/>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row>
    <row r="1878" spans="1:75" x14ac:dyDescent="0.25">
      <c r="A1878" s="9"/>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row>
    <row r="1879" spans="1:75" x14ac:dyDescent="0.25">
      <c r="A1879" s="9"/>
      <c r="B1879" s="9"/>
      <c r="C1879" s="9"/>
      <c r="D1879" s="9"/>
      <c r="E1879" s="9"/>
      <c r="F1879" s="9"/>
      <c r="G1879" s="9"/>
      <c r="H1879" s="9"/>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row>
    <row r="1880" spans="1:75" x14ac:dyDescent="0.25">
      <c r="A1880" s="9"/>
      <c r="B1880" s="9"/>
      <c r="C1880" s="9"/>
      <c r="D1880" s="9"/>
      <c r="E1880" s="9"/>
      <c r="F1880" s="9"/>
      <c r="G1880" s="9"/>
      <c r="H1880" s="9"/>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row>
    <row r="1881" spans="1:75" x14ac:dyDescent="0.25">
      <c r="A1881" s="9"/>
      <c r="B1881" s="9"/>
      <c r="C1881" s="9"/>
      <c r="D1881" s="9"/>
      <c r="E1881" s="9"/>
      <c r="F1881" s="9"/>
      <c r="G1881" s="9"/>
      <c r="H1881" s="9"/>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row>
    <row r="1882" spans="1:75" x14ac:dyDescent="0.25">
      <c r="A1882" s="9"/>
      <c r="B1882" s="9"/>
      <c r="C1882" s="9"/>
      <c r="D1882" s="9"/>
      <c r="E1882" s="9"/>
      <c r="F1882" s="9"/>
      <c r="G1882" s="9"/>
      <c r="H1882" s="9"/>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c r="AQ1882" s="9"/>
      <c r="AR1882" s="9"/>
      <c r="AS1882" s="9"/>
      <c r="AT1882" s="9"/>
      <c r="AU1882" s="9"/>
      <c r="AV1882" s="9"/>
      <c r="AW1882" s="9"/>
      <c r="AX1882" s="9"/>
      <c r="AY1882" s="9"/>
      <c r="AZ1882" s="9"/>
      <c r="BA1882" s="9"/>
      <c r="BB1882" s="9"/>
      <c r="BC1882" s="9"/>
      <c r="BD1882" s="9"/>
      <c r="BE1882" s="9"/>
      <c r="BF1882" s="9"/>
      <c r="BG1882" s="9"/>
      <c r="BH1882" s="9"/>
      <c r="BI1882" s="9"/>
      <c r="BJ1882" s="9"/>
      <c r="BK1882" s="9"/>
      <c r="BL1882" s="9"/>
      <c r="BM1882" s="9"/>
      <c r="BN1882" s="9"/>
      <c r="BO1882" s="9"/>
      <c r="BP1882" s="9"/>
      <c r="BQ1882" s="9"/>
      <c r="BR1882" s="9"/>
      <c r="BS1882" s="9"/>
      <c r="BT1882" s="9"/>
      <c r="BU1882" s="9"/>
      <c r="BV1882" s="9"/>
      <c r="BW1882" s="9"/>
    </row>
    <row r="1883" spans="1:75" x14ac:dyDescent="0.25">
      <c r="A1883" s="9"/>
      <c r="B1883" s="9"/>
      <c r="C1883" s="9"/>
      <c r="D1883" s="9"/>
      <c r="E1883" s="9"/>
      <c r="F1883" s="9"/>
      <c r="G1883" s="9"/>
      <c r="H1883" s="9"/>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c r="AQ1883" s="9"/>
      <c r="AR1883" s="9"/>
      <c r="AS1883" s="9"/>
      <c r="AT1883" s="9"/>
      <c r="AU1883" s="9"/>
      <c r="AV1883" s="9"/>
      <c r="AW1883" s="9"/>
      <c r="AX1883" s="9"/>
      <c r="AY1883" s="9"/>
      <c r="AZ1883" s="9"/>
      <c r="BA1883" s="9"/>
      <c r="BB1883" s="9"/>
      <c r="BC1883" s="9"/>
      <c r="BD1883" s="9"/>
      <c r="BE1883" s="9"/>
      <c r="BF1883" s="9"/>
      <c r="BG1883" s="9"/>
      <c r="BH1883" s="9"/>
      <c r="BI1883" s="9"/>
      <c r="BJ1883" s="9"/>
      <c r="BK1883" s="9"/>
      <c r="BL1883" s="9"/>
      <c r="BM1883" s="9"/>
      <c r="BN1883" s="9"/>
      <c r="BO1883" s="9"/>
      <c r="BP1883" s="9"/>
      <c r="BQ1883" s="9"/>
      <c r="BR1883" s="9"/>
      <c r="BS1883" s="9"/>
      <c r="BT1883" s="9"/>
      <c r="BU1883" s="9"/>
      <c r="BV1883" s="9"/>
      <c r="BW1883" s="9"/>
    </row>
    <row r="1884" spans="1:75" x14ac:dyDescent="0.25">
      <c r="A1884" s="9"/>
      <c r="B1884" s="9"/>
      <c r="C1884" s="9"/>
      <c r="D1884" s="9"/>
      <c r="E1884" s="9"/>
      <c r="F1884" s="9"/>
      <c r="G1884" s="9"/>
      <c r="H1884" s="9"/>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c r="AQ1884" s="9"/>
      <c r="AR1884" s="9"/>
      <c r="AS1884" s="9"/>
      <c r="AT1884" s="9"/>
      <c r="AU1884" s="9"/>
      <c r="AV1884" s="9"/>
      <c r="AW1884" s="9"/>
      <c r="AX1884" s="9"/>
      <c r="AY1884" s="9"/>
      <c r="AZ1884" s="9"/>
      <c r="BA1884" s="9"/>
      <c r="BB1884" s="9"/>
      <c r="BC1884" s="9"/>
      <c r="BD1884" s="9"/>
      <c r="BE1884" s="9"/>
      <c r="BF1884" s="9"/>
      <c r="BG1884" s="9"/>
      <c r="BH1884" s="9"/>
      <c r="BI1884" s="9"/>
      <c r="BJ1884" s="9"/>
      <c r="BK1884" s="9"/>
      <c r="BL1884" s="9"/>
      <c r="BM1884" s="9"/>
      <c r="BN1884" s="9"/>
      <c r="BO1884" s="9"/>
      <c r="BP1884" s="9"/>
      <c r="BQ1884" s="9"/>
      <c r="BR1884" s="9"/>
      <c r="BS1884" s="9"/>
      <c r="BT1884" s="9"/>
      <c r="BU1884" s="9"/>
      <c r="BV1884" s="9"/>
      <c r="BW1884" s="9"/>
    </row>
    <row r="1885" spans="1:75" x14ac:dyDescent="0.25">
      <c r="A1885" s="9"/>
      <c r="B1885" s="9"/>
      <c r="C1885" s="9"/>
      <c r="D1885" s="9"/>
      <c r="E1885" s="9"/>
      <c r="F1885" s="9"/>
      <c r="G1885" s="9"/>
      <c r="H1885" s="9"/>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c r="AS1885" s="9"/>
      <c r="AT1885" s="9"/>
      <c r="AU1885" s="9"/>
      <c r="AV1885" s="9"/>
      <c r="AW1885" s="9"/>
      <c r="AX1885" s="9"/>
      <c r="AY1885" s="9"/>
      <c r="AZ1885" s="9"/>
      <c r="BA1885" s="9"/>
      <c r="BB1885" s="9"/>
      <c r="BC1885" s="9"/>
      <c r="BD1885" s="9"/>
      <c r="BE1885" s="9"/>
      <c r="BF1885" s="9"/>
      <c r="BG1885" s="9"/>
      <c r="BH1885" s="9"/>
      <c r="BI1885" s="9"/>
      <c r="BJ1885" s="9"/>
      <c r="BK1885" s="9"/>
      <c r="BL1885" s="9"/>
      <c r="BM1885" s="9"/>
      <c r="BN1885" s="9"/>
      <c r="BO1885" s="9"/>
      <c r="BP1885" s="9"/>
      <c r="BQ1885" s="9"/>
      <c r="BR1885" s="9"/>
      <c r="BS1885" s="9"/>
      <c r="BT1885" s="9"/>
      <c r="BU1885" s="9"/>
      <c r="BV1885" s="9"/>
      <c r="BW1885" s="9"/>
    </row>
    <row r="1886" spans="1:75" x14ac:dyDescent="0.25">
      <c r="A1886" s="9"/>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c r="AS1886" s="9"/>
      <c r="AT1886" s="9"/>
      <c r="AU1886" s="9"/>
      <c r="AV1886" s="9"/>
      <c r="AW1886" s="9"/>
      <c r="AX1886" s="9"/>
      <c r="AY1886" s="9"/>
      <c r="AZ1886" s="9"/>
      <c r="BA1886" s="9"/>
      <c r="BB1886" s="9"/>
      <c r="BC1886" s="9"/>
      <c r="BD1886" s="9"/>
      <c r="BE1886" s="9"/>
      <c r="BF1886" s="9"/>
      <c r="BG1886" s="9"/>
      <c r="BH1886" s="9"/>
      <c r="BI1886" s="9"/>
      <c r="BJ1886" s="9"/>
      <c r="BK1886" s="9"/>
      <c r="BL1886" s="9"/>
      <c r="BM1886" s="9"/>
      <c r="BN1886" s="9"/>
      <c r="BO1886" s="9"/>
      <c r="BP1886" s="9"/>
      <c r="BQ1886" s="9"/>
      <c r="BR1886" s="9"/>
      <c r="BS1886" s="9"/>
      <c r="BT1886" s="9"/>
      <c r="BU1886" s="9"/>
      <c r="BV1886" s="9"/>
      <c r="BW1886" s="9"/>
    </row>
    <row r="1887" spans="1:75" x14ac:dyDescent="0.25">
      <c r="A1887" s="9"/>
      <c r="B1887" s="9"/>
      <c r="C1887" s="9"/>
      <c r="D1887" s="9"/>
      <c r="E1887" s="9"/>
      <c r="F1887" s="9"/>
      <c r="G1887" s="9"/>
      <c r="H1887" s="9"/>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c r="AQ1887" s="9"/>
      <c r="AR1887" s="9"/>
      <c r="AS1887" s="9"/>
      <c r="AT1887" s="9"/>
      <c r="AU1887" s="9"/>
      <c r="AV1887" s="9"/>
      <c r="AW1887" s="9"/>
      <c r="AX1887" s="9"/>
      <c r="AY1887" s="9"/>
      <c r="AZ1887" s="9"/>
      <c r="BA1887" s="9"/>
      <c r="BB1887" s="9"/>
      <c r="BC1887" s="9"/>
      <c r="BD1887" s="9"/>
      <c r="BE1887" s="9"/>
      <c r="BF1887" s="9"/>
      <c r="BG1887" s="9"/>
      <c r="BH1887" s="9"/>
      <c r="BI1887" s="9"/>
      <c r="BJ1887" s="9"/>
      <c r="BK1887" s="9"/>
      <c r="BL1887" s="9"/>
      <c r="BM1887" s="9"/>
      <c r="BN1887" s="9"/>
      <c r="BO1887" s="9"/>
      <c r="BP1887" s="9"/>
      <c r="BQ1887" s="9"/>
      <c r="BR1887" s="9"/>
      <c r="BS1887" s="9"/>
      <c r="BT1887" s="9"/>
      <c r="BU1887" s="9"/>
      <c r="BV1887" s="9"/>
      <c r="BW1887" s="9"/>
    </row>
    <row r="1888" spans="1:75" x14ac:dyDescent="0.25">
      <c r="A1888" s="9"/>
      <c r="B1888" s="9"/>
      <c r="C1888" s="9"/>
      <c r="D1888" s="9"/>
      <c r="E1888" s="9"/>
      <c r="F1888" s="9"/>
      <c r="G1888" s="9"/>
      <c r="H1888" s="9"/>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c r="AQ1888" s="9"/>
      <c r="AR1888" s="9"/>
      <c r="AS1888" s="9"/>
      <c r="AT1888" s="9"/>
      <c r="AU1888" s="9"/>
      <c r="AV1888" s="9"/>
      <c r="AW1888" s="9"/>
      <c r="AX1888" s="9"/>
      <c r="AY1888" s="9"/>
      <c r="AZ1888" s="9"/>
      <c r="BA1888" s="9"/>
      <c r="BB1888" s="9"/>
      <c r="BC1888" s="9"/>
      <c r="BD1888" s="9"/>
      <c r="BE1888" s="9"/>
      <c r="BF1888" s="9"/>
      <c r="BG1888" s="9"/>
      <c r="BH1888" s="9"/>
      <c r="BI1888" s="9"/>
      <c r="BJ1888" s="9"/>
      <c r="BK1888" s="9"/>
      <c r="BL1888" s="9"/>
      <c r="BM1888" s="9"/>
      <c r="BN1888" s="9"/>
      <c r="BO1888" s="9"/>
      <c r="BP1888" s="9"/>
      <c r="BQ1888" s="9"/>
      <c r="BR1888" s="9"/>
      <c r="BS1888" s="9"/>
      <c r="BT1888" s="9"/>
      <c r="BU1888" s="9"/>
      <c r="BV1888" s="9"/>
      <c r="BW1888" s="9"/>
    </row>
    <row r="1889" spans="1:75" x14ac:dyDescent="0.25">
      <c r="A1889" s="9"/>
      <c r="B1889" s="9"/>
      <c r="C1889" s="9"/>
      <c r="D1889" s="9"/>
      <c r="E1889" s="9"/>
      <c r="F1889" s="9"/>
      <c r="G1889" s="9"/>
      <c r="H1889" s="9"/>
      <c r="I1889" s="9"/>
      <c r="J1889" s="9"/>
      <c r="K1889" s="9"/>
      <c r="L1889" s="9"/>
      <c r="M1889" s="9"/>
      <c r="N1889" s="9"/>
      <c r="O1889" s="9"/>
      <c r="P1889" s="9"/>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c r="AQ1889" s="9"/>
      <c r="AR1889" s="9"/>
      <c r="AS1889" s="9"/>
      <c r="AT1889" s="9"/>
      <c r="AU1889" s="9"/>
      <c r="AV1889" s="9"/>
      <c r="AW1889" s="9"/>
      <c r="AX1889" s="9"/>
      <c r="AY1889" s="9"/>
      <c r="AZ1889" s="9"/>
      <c r="BA1889" s="9"/>
      <c r="BB1889" s="9"/>
      <c r="BC1889" s="9"/>
      <c r="BD1889" s="9"/>
      <c r="BE1889" s="9"/>
      <c r="BF1889" s="9"/>
      <c r="BG1889" s="9"/>
      <c r="BH1889" s="9"/>
      <c r="BI1889" s="9"/>
      <c r="BJ1889" s="9"/>
      <c r="BK1889" s="9"/>
      <c r="BL1889" s="9"/>
      <c r="BM1889" s="9"/>
      <c r="BN1889" s="9"/>
      <c r="BO1889" s="9"/>
      <c r="BP1889" s="9"/>
      <c r="BQ1889" s="9"/>
      <c r="BR1889" s="9"/>
      <c r="BS1889" s="9"/>
      <c r="BT1889" s="9"/>
      <c r="BU1889" s="9"/>
      <c r="BV1889" s="9"/>
      <c r="BW1889" s="9"/>
    </row>
    <row r="1890" spans="1:75" x14ac:dyDescent="0.25">
      <c r="A1890" s="9"/>
      <c r="B1890" s="9"/>
      <c r="C1890" s="9"/>
      <c r="D1890" s="9"/>
      <c r="E1890" s="9"/>
      <c r="F1890" s="9"/>
      <c r="G1890" s="9"/>
      <c r="H1890" s="9"/>
      <c r="I1890" s="9"/>
      <c r="J1890" s="9"/>
      <c r="K1890" s="9"/>
      <c r="L1890" s="9"/>
      <c r="M1890" s="9"/>
      <c r="N1890" s="9"/>
      <c r="O1890" s="9"/>
      <c r="P1890" s="9"/>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c r="AQ1890" s="9"/>
      <c r="AR1890" s="9"/>
      <c r="AS1890" s="9"/>
      <c r="AT1890" s="9"/>
      <c r="AU1890" s="9"/>
      <c r="AV1890" s="9"/>
      <c r="AW1890" s="9"/>
      <c r="AX1890" s="9"/>
      <c r="AY1890" s="9"/>
      <c r="AZ1890" s="9"/>
      <c r="BA1890" s="9"/>
      <c r="BB1890" s="9"/>
      <c r="BC1890" s="9"/>
      <c r="BD1890" s="9"/>
      <c r="BE1890" s="9"/>
      <c r="BF1890" s="9"/>
      <c r="BG1890" s="9"/>
      <c r="BH1890" s="9"/>
      <c r="BI1890" s="9"/>
      <c r="BJ1890" s="9"/>
      <c r="BK1890" s="9"/>
      <c r="BL1890" s="9"/>
      <c r="BM1890" s="9"/>
      <c r="BN1890" s="9"/>
      <c r="BO1890" s="9"/>
      <c r="BP1890" s="9"/>
      <c r="BQ1890" s="9"/>
      <c r="BR1890" s="9"/>
      <c r="BS1890" s="9"/>
      <c r="BT1890" s="9"/>
      <c r="BU1890" s="9"/>
      <c r="BV1890" s="9"/>
      <c r="BW1890" s="9"/>
    </row>
    <row r="1891" spans="1:75" x14ac:dyDescent="0.25">
      <c r="A1891" s="9"/>
      <c r="B1891" s="9"/>
      <c r="C1891" s="9"/>
      <c r="D1891" s="9"/>
      <c r="E1891" s="9"/>
      <c r="F1891" s="9"/>
      <c r="G1891" s="9"/>
      <c r="H1891" s="9"/>
      <c r="I1891" s="9"/>
      <c r="J1891" s="9"/>
      <c r="K1891" s="9"/>
      <c r="L1891" s="9"/>
      <c r="M1891" s="9"/>
      <c r="N1891" s="9"/>
      <c r="O1891" s="9"/>
      <c r="P1891" s="9"/>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c r="AQ1891" s="9"/>
      <c r="AR1891" s="9"/>
      <c r="AS1891" s="9"/>
      <c r="AT1891" s="9"/>
      <c r="AU1891" s="9"/>
      <c r="AV1891" s="9"/>
      <c r="AW1891" s="9"/>
      <c r="AX1891" s="9"/>
      <c r="AY1891" s="9"/>
      <c r="AZ1891" s="9"/>
      <c r="BA1891" s="9"/>
      <c r="BB1891" s="9"/>
      <c r="BC1891" s="9"/>
      <c r="BD1891" s="9"/>
      <c r="BE1891" s="9"/>
      <c r="BF1891" s="9"/>
      <c r="BG1891" s="9"/>
      <c r="BH1891" s="9"/>
      <c r="BI1891" s="9"/>
      <c r="BJ1891" s="9"/>
      <c r="BK1891" s="9"/>
      <c r="BL1891" s="9"/>
      <c r="BM1891" s="9"/>
      <c r="BN1891" s="9"/>
      <c r="BO1891" s="9"/>
      <c r="BP1891" s="9"/>
      <c r="BQ1891" s="9"/>
      <c r="BR1891" s="9"/>
      <c r="BS1891" s="9"/>
      <c r="BT1891" s="9"/>
      <c r="BU1891" s="9"/>
      <c r="BV1891" s="9"/>
      <c r="BW1891" s="9"/>
    </row>
    <row r="1892" spans="1:75" x14ac:dyDescent="0.25">
      <c r="A1892" s="9"/>
      <c r="B1892" s="9"/>
      <c r="C1892" s="9"/>
      <c r="D1892" s="9"/>
      <c r="E1892" s="9"/>
      <c r="F1892" s="9"/>
      <c r="G1892" s="9"/>
      <c r="H1892" s="9"/>
      <c r="I1892" s="9"/>
      <c r="J1892" s="9"/>
      <c r="K1892" s="9"/>
      <c r="L1892" s="9"/>
      <c r="M1892" s="9"/>
      <c r="N1892" s="9"/>
      <c r="O1892" s="9"/>
      <c r="P1892" s="9"/>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c r="AQ1892" s="9"/>
      <c r="AR1892" s="9"/>
      <c r="AS1892" s="9"/>
      <c r="AT1892" s="9"/>
      <c r="AU1892" s="9"/>
      <c r="AV1892" s="9"/>
      <c r="AW1892" s="9"/>
      <c r="AX1892" s="9"/>
      <c r="AY1892" s="9"/>
      <c r="AZ1892" s="9"/>
      <c r="BA1892" s="9"/>
      <c r="BB1892" s="9"/>
      <c r="BC1892" s="9"/>
      <c r="BD1892" s="9"/>
      <c r="BE1892" s="9"/>
      <c r="BF1892" s="9"/>
      <c r="BG1892" s="9"/>
      <c r="BH1892" s="9"/>
      <c r="BI1892" s="9"/>
      <c r="BJ1892" s="9"/>
      <c r="BK1892" s="9"/>
      <c r="BL1892" s="9"/>
      <c r="BM1892" s="9"/>
      <c r="BN1892" s="9"/>
      <c r="BO1892" s="9"/>
      <c r="BP1892" s="9"/>
      <c r="BQ1892" s="9"/>
      <c r="BR1892" s="9"/>
      <c r="BS1892" s="9"/>
      <c r="BT1892" s="9"/>
      <c r="BU1892" s="9"/>
      <c r="BV1892" s="9"/>
      <c r="BW1892" s="9"/>
    </row>
    <row r="1893" spans="1:75" x14ac:dyDescent="0.25">
      <c r="A1893" s="9"/>
      <c r="B1893" s="9"/>
      <c r="C1893" s="9"/>
      <c r="D1893" s="9"/>
      <c r="E1893" s="9"/>
      <c r="F1893" s="9"/>
      <c r="G1893" s="9"/>
      <c r="H1893" s="9"/>
      <c r="I1893" s="9"/>
      <c r="J1893" s="9"/>
      <c r="K1893" s="9"/>
      <c r="L1893" s="9"/>
      <c r="M1893" s="9"/>
      <c r="N1893" s="9"/>
      <c r="O1893" s="9"/>
      <c r="P1893" s="9"/>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c r="AQ1893" s="9"/>
      <c r="AR1893" s="9"/>
      <c r="AS1893" s="9"/>
      <c r="AT1893" s="9"/>
      <c r="AU1893" s="9"/>
      <c r="AV1893" s="9"/>
      <c r="AW1893" s="9"/>
      <c r="AX1893" s="9"/>
      <c r="AY1893" s="9"/>
      <c r="AZ1893" s="9"/>
      <c r="BA1893" s="9"/>
      <c r="BB1893" s="9"/>
      <c r="BC1893" s="9"/>
      <c r="BD1893" s="9"/>
      <c r="BE1893" s="9"/>
      <c r="BF1893" s="9"/>
      <c r="BG1893" s="9"/>
      <c r="BH1893" s="9"/>
      <c r="BI1893" s="9"/>
      <c r="BJ1893" s="9"/>
      <c r="BK1893" s="9"/>
      <c r="BL1893" s="9"/>
      <c r="BM1893" s="9"/>
      <c r="BN1893" s="9"/>
      <c r="BO1893" s="9"/>
      <c r="BP1893" s="9"/>
      <c r="BQ1893" s="9"/>
      <c r="BR1893" s="9"/>
      <c r="BS1893" s="9"/>
      <c r="BT1893" s="9"/>
      <c r="BU1893" s="9"/>
      <c r="BV1893" s="9"/>
      <c r="BW1893" s="9"/>
    </row>
    <row r="1894" spans="1:75" x14ac:dyDescent="0.25">
      <c r="A1894" s="9"/>
      <c r="B1894" s="9"/>
      <c r="C1894" s="9"/>
      <c r="D1894" s="9"/>
      <c r="E1894" s="9"/>
      <c r="F1894" s="9"/>
      <c r="G1894" s="9"/>
      <c r="H1894" s="9"/>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c r="AS1894" s="9"/>
      <c r="AT1894" s="9"/>
      <c r="AU1894" s="9"/>
      <c r="AV1894" s="9"/>
      <c r="AW1894" s="9"/>
      <c r="AX1894" s="9"/>
      <c r="AY1894" s="9"/>
      <c r="AZ1894" s="9"/>
      <c r="BA1894" s="9"/>
      <c r="BB1894" s="9"/>
      <c r="BC1894" s="9"/>
      <c r="BD1894" s="9"/>
      <c r="BE1894" s="9"/>
      <c r="BF1894" s="9"/>
      <c r="BG1894" s="9"/>
      <c r="BH1894" s="9"/>
      <c r="BI1894" s="9"/>
      <c r="BJ1894" s="9"/>
      <c r="BK1894" s="9"/>
      <c r="BL1894" s="9"/>
      <c r="BM1894" s="9"/>
      <c r="BN1894" s="9"/>
      <c r="BO1894" s="9"/>
      <c r="BP1894" s="9"/>
      <c r="BQ1894" s="9"/>
      <c r="BR1894" s="9"/>
      <c r="BS1894" s="9"/>
      <c r="BT1894" s="9"/>
      <c r="BU1894" s="9"/>
      <c r="BV1894" s="9"/>
      <c r="BW1894" s="9"/>
    </row>
    <row r="1895" spans="1:75" x14ac:dyDescent="0.25">
      <c r="A1895" s="9"/>
      <c r="B1895" s="9"/>
      <c r="C1895" s="9"/>
      <c r="D1895" s="9"/>
      <c r="E1895" s="9"/>
      <c r="F1895" s="9"/>
      <c r="G1895" s="9"/>
      <c r="H1895" s="9"/>
      <c r="I1895" s="9"/>
      <c r="J1895" s="9"/>
      <c r="K1895" s="9"/>
      <c r="L1895" s="9"/>
      <c r="M1895" s="9"/>
      <c r="N1895" s="9"/>
      <c r="O1895" s="9"/>
      <c r="P1895" s="9"/>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c r="AQ1895" s="9"/>
      <c r="AR1895" s="9"/>
      <c r="AS1895" s="9"/>
      <c r="AT1895" s="9"/>
      <c r="AU1895" s="9"/>
      <c r="AV1895" s="9"/>
      <c r="AW1895" s="9"/>
      <c r="AX1895" s="9"/>
      <c r="AY1895" s="9"/>
      <c r="AZ1895" s="9"/>
      <c r="BA1895" s="9"/>
      <c r="BB1895" s="9"/>
      <c r="BC1895" s="9"/>
      <c r="BD1895" s="9"/>
      <c r="BE1895" s="9"/>
      <c r="BF1895" s="9"/>
      <c r="BG1895" s="9"/>
      <c r="BH1895" s="9"/>
      <c r="BI1895" s="9"/>
      <c r="BJ1895" s="9"/>
      <c r="BK1895" s="9"/>
      <c r="BL1895" s="9"/>
      <c r="BM1895" s="9"/>
      <c r="BN1895" s="9"/>
      <c r="BO1895" s="9"/>
      <c r="BP1895" s="9"/>
      <c r="BQ1895" s="9"/>
      <c r="BR1895" s="9"/>
      <c r="BS1895" s="9"/>
      <c r="BT1895" s="9"/>
      <c r="BU1895" s="9"/>
      <c r="BV1895" s="9"/>
      <c r="BW1895" s="9"/>
    </row>
    <row r="1896" spans="1:75" x14ac:dyDescent="0.25">
      <c r="A1896" s="9"/>
      <c r="B1896" s="9"/>
      <c r="C1896" s="9"/>
      <c r="D1896" s="9"/>
      <c r="E1896" s="9"/>
      <c r="F1896" s="9"/>
      <c r="G1896" s="9"/>
      <c r="H1896" s="9"/>
      <c r="I1896" s="9"/>
      <c r="J1896" s="9"/>
      <c r="K1896" s="9"/>
      <c r="L1896" s="9"/>
      <c r="M1896" s="9"/>
      <c r="N1896" s="9"/>
      <c r="O1896" s="9"/>
      <c r="P1896" s="9"/>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c r="AQ1896" s="9"/>
      <c r="AR1896" s="9"/>
      <c r="AS1896" s="9"/>
      <c r="AT1896" s="9"/>
      <c r="AU1896" s="9"/>
      <c r="AV1896" s="9"/>
      <c r="AW1896" s="9"/>
      <c r="AX1896" s="9"/>
      <c r="AY1896" s="9"/>
      <c r="AZ1896" s="9"/>
      <c r="BA1896" s="9"/>
      <c r="BB1896" s="9"/>
      <c r="BC1896" s="9"/>
      <c r="BD1896" s="9"/>
      <c r="BE1896" s="9"/>
      <c r="BF1896" s="9"/>
      <c r="BG1896" s="9"/>
      <c r="BH1896" s="9"/>
      <c r="BI1896" s="9"/>
      <c r="BJ1896" s="9"/>
      <c r="BK1896" s="9"/>
      <c r="BL1896" s="9"/>
      <c r="BM1896" s="9"/>
      <c r="BN1896" s="9"/>
      <c r="BO1896" s="9"/>
      <c r="BP1896" s="9"/>
      <c r="BQ1896" s="9"/>
      <c r="BR1896" s="9"/>
      <c r="BS1896" s="9"/>
      <c r="BT1896" s="9"/>
      <c r="BU1896" s="9"/>
      <c r="BV1896" s="9"/>
      <c r="BW1896" s="9"/>
    </row>
    <row r="1897" spans="1:75" x14ac:dyDescent="0.25">
      <c r="A1897" s="9"/>
      <c r="B1897" s="9"/>
      <c r="C1897" s="9"/>
      <c r="D1897" s="9"/>
      <c r="E1897" s="9"/>
      <c r="F1897" s="9"/>
      <c r="G1897" s="9"/>
      <c r="H1897" s="9"/>
      <c r="I1897" s="9"/>
      <c r="J1897" s="9"/>
      <c r="K1897" s="9"/>
      <c r="L1897" s="9"/>
      <c r="M1897" s="9"/>
      <c r="N1897" s="9"/>
      <c r="O1897" s="9"/>
      <c r="P1897" s="9"/>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c r="AQ1897" s="9"/>
      <c r="AR1897" s="9"/>
      <c r="AS1897" s="9"/>
      <c r="AT1897" s="9"/>
      <c r="AU1897" s="9"/>
      <c r="AV1897" s="9"/>
      <c r="AW1897" s="9"/>
      <c r="AX1897" s="9"/>
      <c r="AY1897" s="9"/>
      <c r="AZ1897" s="9"/>
      <c r="BA1897" s="9"/>
      <c r="BB1897" s="9"/>
      <c r="BC1897" s="9"/>
      <c r="BD1897" s="9"/>
      <c r="BE1897" s="9"/>
      <c r="BF1897" s="9"/>
      <c r="BG1897" s="9"/>
      <c r="BH1897" s="9"/>
      <c r="BI1897" s="9"/>
      <c r="BJ1897" s="9"/>
      <c r="BK1897" s="9"/>
      <c r="BL1897" s="9"/>
      <c r="BM1897" s="9"/>
      <c r="BN1897" s="9"/>
      <c r="BO1897" s="9"/>
      <c r="BP1897" s="9"/>
      <c r="BQ1897" s="9"/>
      <c r="BR1897" s="9"/>
      <c r="BS1897" s="9"/>
      <c r="BT1897" s="9"/>
      <c r="BU1897" s="9"/>
      <c r="BV1897" s="9"/>
      <c r="BW1897" s="9"/>
    </row>
    <row r="1898" spans="1:75" x14ac:dyDescent="0.25">
      <c r="A1898" s="9"/>
      <c r="B1898" s="9"/>
      <c r="C1898" s="9"/>
      <c r="D1898" s="9"/>
      <c r="E1898" s="9"/>
      <c r="F1898" s="9"/>
      <c r="G1898" s="9"/>
      <c r="H1898" s="9"/>
      <c r="I1898" s="9"/>
      <c r="J1898" s="9"/>
      <c r="K1898" s="9"/>
      <c r="L1898" s="9"/>
      <c r="M1898" s="9"/>
      <c r="N1898" s="9"/>
      <c r="O1898" s="9"/>
      <c r="P1898" s="9"/>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c r="AQ1898" s="9"/>
      <c r="AR1898" s="9"/>
      <c r="AS1898" s="9"/>
      <c r="AT1898" s="9"/>
      <c r="AU1898" s="9"/>
      <c r="AV1898" s="9"/>
      <c r="AW1898" s="9"/>
      <c r="AX1898" s="9"/>
      <c r="AY1898" s="9"/>
      <c r="AZ1898" s="9"/>
      <c r="BA1898" s="9"/>
      <c r="BB1898" s="9"/>
      <c r="BC1898" s="9"/>
      <c r="BD1898" s="9"/>
      <c r="BE1898" s="9"/>
      <c r="BF1898" s="9"/>
      <c r="BG1898" s="9"/>
      <c r="BH1898" s="9"/>
      <c r="BI1898" s="9"/>
      <c r="BJ1898" s="9"/>
      <c r="BK1898" s="9"/>
      <c r="BL1898" s="9"/>
      <c r="BM1898" s="9"/>
      <c r="BN1898" s="9"/>
      <c r="BO1898" s="9"/>
      <c r="BP1898" s="9"/>
      <c r="BQ1898" s="9"/>
      <c r="BR1898" s="9"/>
      <c r="BS1898" s="9"/>
      <c r="BT1898" s="9"/>
      <c r="BU1898" s="9"/>
      <c r="BV1898" s="9"/>
      <c r="BW1898" s="9"/>
    </row>
    <row r="1899" spans="1:75" x14ac:dyDescent="0.25">
      <c r="A1899" s="9"/>
      <c r="B1899" s="9"/>
      <c r="C1899" s="9"/>
      <c r="D1899" s="9"/>
      <c r="E1899" s="9"/>
      <c r="F1899" s="9"/>
      <c r="G1899" s="9"/>
      <c r="H1899" s="9"/>
      <c r="I1899" s="9"/>
      <c r="J1899" s="9"/>
      <c r="K1899" s="9"/>
      <c r="L1899" s="9"/>
      <c r="M1899" s="9"/>
      <c r="N1899" s="9"/>
      <c r="O1899" s="9"/>
      <c r="P1899" s="9"/>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c r="AQ1899" s="9"/>
      <c r="AR1899" s="9"/>
      <c r="AS1899" s="9"/>
      <c r="AT1899" s="9"/>
      <c r="AU1899" s="9"/>
      <c r="AV1899" s="9"/>
      <c r="AW1899" s="9"/>
      <c r="AX1899" s="9"/>
      <c r="AY1899" s="9"/>
      <c r="AZ1899" s="9"/>
      <c r="BA1899" s="9"/>
      <c r="BB1899" s="9"/>
      <c r="BC1899" s="9"/>
      <c r="BD1899" s="9"/>
      <c r="BE1899" s="9"/>
      <c r="BF1899" s="9"/>
      <c r="BG1899" s="9"/>
      <c r="BH1899" s="9"/>
      <c r="BI1899" s="9"/>
      <c r="BJ1899" s="9"/>
      <c r="BK1899" s="9"/>
      <c r="BL1899" s="9"/>
      <c r="BM1899" s="9"/>
      <c r="BN1899" s="9"/>
      <c r="BO1899" s="9"/>
      <c r="BP1899" s="9"/>
      <c r="BQ1899" s="9"/>
      <c r="BR1899" s="9"/>
      <c r="BS1899" s="9"/>
      <c r="BT1899" s="9"/>
      <c r="BU1899" s="9"/>
      <c r="BV1899" s="9"/>
      <c r="BW1899" s="9"/>
    </row>
    <row r="1900" spans="1:75" x14ac:dyDescent="0.25">
      <c r="A1900" s="9"/>
      <c r="B1900" s="9"/>
      <c r="C1900" s="9"/>
      <c r="D1900" s="9"/>
      <c r="E1900" s="9"/>
      <c r="F1900" s="9"/>
      <c r="G1900" s="9"/>
      <c r="H1900" s="9"/>
      <c r="I1900" s="9"/>
      <c r="J1900" s="9"/>
      <c r="K1900" s="9"/>
      <c r="L1900" s="9"/>
      <c r="M1900" s="9"/>
      <c r="N1900" s="9"/>
      <c r="O1900" s="9"/>
      <c r="P1900" s="9"/>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c r="AQ1900" s="9"/>
      <c r="AR1900" s="9"/>
      <c r="AS1900" s="9"/>
      <c r="AT1900" s="9"/>
      <c r="AU1900" s="9"/>
      <c r="AV1900" s="9"/>
      <c r="AW1900" s="9"/>
      <c r="AX1900" s="9"/>
      <c r="AY1900" s="9"/>
      <c r="AZ1900" s="9"/>
      <c r="BA1900" s="9"/>
      <c r="BB1900" s="9"/>
      <c r="BC1900" s="9"/>
      <c r="BD1900" s="9"/>
      <c r="BE1900" s="9"/>
      <c r="BF1900" s="9"/>
      <c r="BG1900" s="9"/>
      <c r="BH1900" s="9"/>
      <c r="BI1900" s="9"/>
      <c r="BJ1900" s="9"/>
      <c r="BK1900" s="9"/>
      <c r="BL1900" s="9"/>
      <c r="BM1900" s="9"/>
      <c r="BN1900" s="9"/>
      <c r="BO1900" s="9"/>
      <c r="BP1900" s="9"/>
      <c r="BQ1900" s="9"/>
      <c r="BR1900" s="9"/>
      <c r="BS1900" s="9"/>
      <c r="BT1900" s="9"/>
      <c r="BU1900" s="9"/>
      <c r="BV1900" s="9"/>
      <c r="BW1900" s="9"/>
    </row>
    <row r="1901" spans="1:75" x14ac:dyDescent="0.25">
      <c r="A1901" s="9"/>
      <c r="B1901" s="9"/>
      <c r="C1901" s="9"/>
      <c r="D1901" s="9"/>
      <c r="E1901" s="9"/>
      <c r="F1901" s="9"/>
      <c r="G1901" s="9"/>
      <c r="H1901" s="9"/>
      <c r="I1901" s="9"/>
      <c r="J1901" s="9"/>
      <c r="K1901" s="9"/>
      <c r="L1901" s="9"/>
      <c r="M1901" s="9"/>
      <c r="N1901" s="9"/>
      <c r="O1901" s="9"/>
      <c r="P1901" s="9"/>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c r="AS1901" s="9"/>
      <c r="AT1901" s="9"/>
      <c r="AU1901" s="9"/>
      <c r="AV1901" s="9"/>
      <c r="AW1901" s="9"/>
      <c r="AX1901" s="9"/>
      <c r="AY1901" s="9"/>
      <c r="AZ1901" s="9"/>
      <c r="BA1901" s="9"/>
      <c r="BB1901" s="9"/>
      <c r="BC1901" s="9"/>
      <c r="BD1901" s="9"/>
      <c r="BE1901" s="9"/>
      <c r="BF1901" s="9"/>
      <c r="BG1901" s="9"/>
      <c r="BH1901" s="9"/>
      <c r="BI1901" s="9"/>
      <c r="BJ1901" s="9"/>
      <c r="BK1901" s="9"/>
      <c r="BL1901" s="9"/>
      <c r="BM1901" s="9"/>
      <c r="BN1901" s="9"/>
      <c r="BO1901" s="9"/>
      <c r="BP1901" s="9"/>
      <c r="BQ1901" s="9"/>
      <c r="BR1901" s="9"/>
      <c r="BS1901" s="9"/>
      <c r="BT1901" s="9"/>
      <c r="BU1901" s="9"/>
      <c r="BV1901" s="9"/>
      <c r="BW1901" s="9"/>
    </row>
    <row r="1902" spans="1:75" x14ac:dyDescent="0.25">
      <c r="A1902" s="9"/>
      <c r="B1902" s="9"/>
      <c r="C1902" s="9"/>
      <c r="D1902" s="9"/>
      <c r="E1902" s="9"/>
      <c r="F1902" s="9"/>
      <c r="G1902" s="9"/>
      <c r="H1902" s="9"/>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c r="AS1902" s="9"/>
      <c r="AT1902" s="9"/>
      <c r="AU1902" s="9"/>
      <c r="AV1902" s="9"/>
      <c r="AW1902" s="9"/>
      <c r="AX1902" s="9"/>
      <c r="AY1902" s="9"/>
      <c r="AZ1902" s="9"/>
      <c r="BA1902" s="9"/>
      <c r="BB1902" s="9"/>
      <c r="BC1902" s="9"/>
      <c r="BD1902" s="9"/>
      <c r="BE1902" s="9"/>
      <c r="BF1902" s="9"/>
      <c r="BG1902" s="9"/>
      <c r="BH1902" s="9"/>
      <c r="BI1902" s="9"/>
      <c r="BJ1902" s="9"/>
      <c r="BK1902" s="9"/>
      <c r="BL1902" s="9"/>
      <c r="BM1902" s="9"/>
      <c r="BN1902" s="9"/>
      <c r="BO1902" s="9"/>
      <c r="BP1902" s="9"/>
      <c r="BQ1902" s="9"/>
      <c r="BR1902" s="9"/>
      <c r="BS1902" s="9"/>
      <c r="BT1902" s="9"/>
      <c r="BU1902" s="9"/>
      <c r="BV1902" s="9"/>
      <c r="BW1902" s="9"/>
    </row>
    <row r="1903" spans="1:75" x14ac:dyDescent="0.25">
      <c r="A1903" s="9"/>
      <c r="B1903" s="9"/>
      <c r="C1903" s="9"/>
      <c r="D1903" s="9"/>
      <c r="E1903" s="9"/>
      <c r="F1903" s="9"/>
      <c r="G1903" s="9"/>
      <c r="H1903" s="9"/>
      <c r="I1903" s="9"/>
      <c r="J1903" s="9"/>
      <c r="K1903" s="9"/>
      <c r="L1903" s="9"/>
      <c r="M1903" s="9"/>
      <c r="N1903" s="9"/>
      <c r="O1903" s="9"/>
      <c r="P1903" s="9"/>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c r="AQ1903" s="9"/>
      <c r="AR1903" s="9"/>
      <c r="AS1903" s="9"/>
      <c r="AT1903" s="9"/>
      <c r="AU1903" s="9"/>
      <c r="AV1903" s="9"/>
      <c r="AW1903" s="9"/>
      <c r="AX1903" s="9"/>
      <c r="AY1903" s="9"/>
      <c r="AZ1903" s="9"/>
      <c r="BA1903" s="9"/>
      <c r="BB1903" s="9"/>
      <c r="BC1903" s="9"/>
      <c r="BD1903" s="9"/>
      <c r="BE1903" s="9"/>
      <c r="BF1903" s="9"/>
      <c r="BG1903" s="9"/>
      <c r="BH1903" s="9"/>
      <c r="BI1903" s="9"/>
      <c r="BJ1903" s="9"/>
      <c r="BK1903" s="9"/>
      <c r="BL1903" s="9"/>
      <c r="BM1903" s="9"/>
      <c r="BN1903" s="9"/>
      <c r="BO1903" s="9"/>
      <c r="BP1903" s="9"/>
      <c r="BQ1903" s="9"/>
      <c r="BR1903" s="9"/>
      <c r="BS1903" s="9"/>
      <c r="BT1903" s="9"/>
      <c r="BU1903" s="9"/>
      <c r="BV1903" s="9"/>
      <c r="BW1903" s="9"/>
    </row>
    <row r="1904" spans="1:75" x14ac:dyDescent="0.25">
      <c r="A1904" s="9"/>
      <c r="B1904" s="9"/>
      <c r="C1904" s="9"/>
      <c r="D1904" s="9"/>
      <c r="E1904" s="9"/>
      <c r="F1904" s="9"/>
      <c r="G1904" s="9"/>
      <c r="H1904" s="9"/>
      <c r="I1904" s="9"/>
      <c r="J1904" s="9"/>
      <c r="K1904" s="9"/>
      <c r="L1904" s="9"/>
      <c r="M1904" s="9"/>
      <c r="N1904" s="9"/>
      <c r="O1904" s="9"/>
      <c r="P1904" s="9"/>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c r="AQ1904" s="9"/>
      <c r="AR1904" s="9"/>
      <c r="AS1904" s="9"/>
      <c r="AT1904" s="9"/>
      <c r="AU1904" s="9"/>
      <c r="AV1904" s="9"/>
      <c r="AW1904" s="9"/>
      <c r="AX1904" s="9"/>
      <c r="AY1904" s="9"/>
      <c r="AZ1904" s="9"/>
      <c r="BA1904" s="9"/>
      <c r="BB1904" s="9"/>
      <c r="BC1904" s="9"/>
      <c r="BD1904" s="9"/>
      <c r="BE1904" s="9"/>
      <c r="BF1904" s="9"/>
      <c r="BG1904" s="9"/>
      <c r="BH1904" s="9"/>
      <c r="BI1904" s="9"/>
      <c r="BJ1904" s="9"/>
      <c r="BK1904" s="9"/>
      <c r="BL1904" s="9"/>
      <c r="BM1904" s="9"/>
      <c r="BN1904" s="9"/>
      <c r="BO1904" s="9"/>
      <c r="BP1904" s="9"/>
      <c r="BQ1904" s="9"/>
      <c r="BR1904" s="9"/>
      <c r="BS1904" s="9"/>
      <c r="BT1904" s="9"/>
      <c r="BU1904" s="9"/>
      <c r="BV1904" s="9"/>
      <c r="BW1904" s="9"/>
    </row>
    <row r="1905" spans="1:75" x14ac:dyDescent="0.25">
      <c r="A1905" s="9"/>
      <c r="B1905" s="9"/>
      <c r="C1905" s="9"/>
      <c r="D1905" s="9"/>
      <c r="E1905" s="9"/>
      <c r="F1905" s="9"/>
      <c r="G1905" s="9"/>
      <c r="H1905" s="9"/>
      <c r="I1905" s="9"/>
      <c r="J1905" s="9"/>
      <c r="K1905" s="9"/>
      <c r="L1905" s="9"/>
      <c r="M1905" s="9"/>
      <c r="N1905" s="9"/>
      <c r="O1905" s="9"/>
      <c r="P1905" s="9"/>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c r="AQ1905" s="9"/>
      <c r="AR1905" s="9"/>
      <c r="AS1905" s="9"/>
      <c r="AT1905" s="9"/>
      <c r="AU1905" s="9"/>
      <c r="AV1905" s="9"/>
      <c r="AW1905" s="9"/>
      <c r="AX1905" s="9"/>
      <c r="AY1905" s="9"/>
      <c r="AZ1905" s="9"/>
      <c r="BA1905" s="9"/>
      <c r="BB1905" s="9"/>
      <c r="BC1905" s="9"/>
      <c r="BD1905" s="9"/>
      <c r="BE1905" s="9"/>
      <c r="BF1905" s="9"/>
      <c r="BG1905" s="9"/>
      <c r="BH1905" s="9"/>
      <c r="BI1905" s="9"/>
      <c r="BJ1905" s="9"/>
      <c r="BK1905" s="9"/>
      <c r="BL1905" s="9"/>
      <c r="BM1905" s="9"/>
      <c r="BN1905" s="9"/>
      <c r="BO1905" s="9"/>
      <c r="BP1905" s="9"/>
      <c r="BQ1905" s="9"/>
      <c r="BR1905" s="9"/>
      <c r="BS1905" s="9"/>
      <c r="BT1905" s="9"/>
      <c r="BU1905" s="9"/>
      <c r="BV1905" s="9"/>
      <c r="BW1905" s="9"/>
    </row>
    <row r="1906" spans="1:75" x14ac:dyDescent="0.25">
      <c r="A1906" s="9"/>
      <c r="B1906" s="9"/>
      <c r="C1906" s="9"/>
      <c r="D1906" s="9"/>
      <c r="E1906" s="9"/>
      <c r="F1906" s="9"/>
      <c r="G1906" s="9"/>
      <c r="H1906" s="9"/>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c r="AS1906" s="9"/>
      <c r="AT1906" s="9"/>
      <c r="AU1906" s="9"/>
      <c r="AV1906" s="9"/>
      <c r="AW1906" s="9"/>
      <c r="AX1906" s="9"/>
      <c r="AY1906" s="9"/>
      <c r="AZ1906" s="9"/>
      <c r="BA1906" s="9"/>
      <c r="BB1906" s="9"/>
      <c r="BC1906" s="9"/>
      <c r="BD1906" s="9"/>
      <c r="BE1906" s="9"/>
      <c r="BF1906" s="9"/>
      <c r="BG1906" s="9"/>
      <c r="BH1906" s="9"/>
      <c r="BI1906" s="9"/>
      <c r="BJ1906" s="9"/>
      <c r="BK1906" s="9"/>
      <c r="BL1906" s="9"/>
      <c r="BM1906" s="9"/>
      <c r="BN1906" s="9"/>
      <c r="BO1906" s="9"/>
      <c r="BP1906" s="9"/>
      <c r="BQ1906" s="9"/>
      <c r="BR1906" s="9"/>
      <c r="BS1906" s="9"/>
      <c r="BT1906" s="9"/>
      <c r="BU1906" s="9"/>
      <c r="BV1906" s="9"/>
      <c r="BW1906" s="9"/>
    </row>
    <row r="1907" spans="1:75" x14ac:dyDescent="0.25">
      <c r="A1907" s="9"/>
      <c r="B1907" s="9"/>
      <c r="C1907" s="9"/>
      <c r="D1907" s="9"/>
      <c r="E1907" s="9"/>
      <c r="F1907" s="9"/>
      <c r="G1907" s="9"/>
      <c r="H1907" s="9"/>
      <c r="I1907" s="9"/>
      <c r="J1907" s="9"/>
      <c r="K1907" s="9"/>
      <c r="L1907" s="9"/>
      <c r="M1907" s="9"/>
      <c r="N1907" s="9"/>
      <c r="O1907" s="9"/>
      <c r="P1907" s="9"/>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c r="AQ1907" s="9"/>
      <c r="AR1907" s="9"/>
      <c r="AS1907" s="9"/>
      <c r="AT1907" s="9"/>
      <c r="AU1907" s="9"/>
      <c r="AV1907" s="9"/>
      <c r="AW1907" s="9"/>
      <c r="AX1907" s="9"/>
      <c r="AY1907" s="9"/>
      <c r="AZ1907" s="9"/>
      <c r="BA1907" s="9"/>
      <c r="BB1907" s="9"/>
      <c r="BC1907" s="9"/>
      <c r="BD1907" s="9"/>
      <c r="BE1907" s="9"/>
      <c r="BF1907" s="9"/>
      <c r="BG1907" s="9"/>
      <c r="BH1907" s="9"/>
      <c r="BI1907" s="9"/>
      <c r="BJ1907" s="9"/>
      <c r="BK1907" s="9"/>
      <c r="BL1907" s="9"/>
      <c r="BM1907" s="9"/>
      <c r="BN1907" s="9"/>
      <c r="BO1907" s="9"/>
      <c r="BP1907" s="9"/>
      <c r="BQ1907" s="9"/>
      <c r="BR1907" s="9"/>
      <c r="BS1907" s="9"/>
      <c r="BT1907" s="9"/>
      <c r="BU1907" s="9"/>
      <c r="BV1907" s="9"/>
      <c r="BW1907" s="9"/>
    </row>
    <row r="1908" spans="1:75" x14ac:dyDescent="0.25">
      <c r="A1908" s="9"/>
      <c r="B1908" s="9"/>
      <c r="C1908" s="9"/>
      <c r="D1908" s="9"/>
      <c r="E1908" s="9"/>
      <c r="F1908" s="9"/>
      <c r="G1908" s="9"/>
      <c r="H1908" s="9"/>
      <c r="I1908" s="9"/>
      <c r="J1908" s="9"/>
      <c r="K1908" s="9"/>
      <c r="L1908" s="9"/>
      <c r="M1908" s="9"/>
      <c r="N1908" s="9"/>
      <c r="O1908" s="9"/>
      <c r="P1908" s="9"/>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c r="AQ1908" s="9"/>
      <c r="AR1908" s="9"/>
      <c r="AS1908" s="9"/>
      <c r="AT1908" s="9"/>
      <c r="AU1908" s="9"/>
      <c r="AV1908" s="9"/>
      <c r="AW1908" s="9"/>
      <c r="AX1908" s="9"/>
      <c r="AY1908" s="9"/>
      <c r="AZ1908" s="9"/>
      <c r="BA1908" s="9"/>
      <c r="BB1908" s="9"/>
      <c r="BC1908" s="9"/>
      <c r="BD1908" s="9"/>
      <c r="BE1908" s="9"/>
      <c r="BF1908" s="9"/>
      <c r="BG1908" s="9"/>
      <c r="BH1908" s="9"/>
      <c r="BI1908" s="9"/>
      <c r="BJ1908" s="9"/>
      <c r="BK1908" s="9"/>
      <c r="BL1908" s="9"/>
      <c r="BM1908" s="9"/>
      <c r="BN1908" s="9"/>
      <c r="BO1908" s="9"/>
      <c r="BP1908" s="9"/>
      <c r="BQ1908" s="9"/>
      <c r="BR1908" s="9"/>
      <c r="BS1908" s="9"/>
      <c r="BT1908" s="9"/>
      <c r="BU1908" s="9"/>
      <c r="BV1908" s="9"/>
      <c r="BW1908" s="9"/>
    </row>
    <row r="1909" spans="1:75" x14ac:dyDescent="0.25">
      <c r="A1909" s="9"/>
      <c r="B1909" s="9"/>
      <c r="C1909" s="9"/>
      <c r="D1909" s="9"/>
      <c r="E1909" s="9"/>
      <c r="F1909" s="9"/>
      <c r="G1909" s="9"/>
      <c r="H1909" s="9"/>
      <c r="I1909" s="9"/>
      <c r="J1909" s="9"/>
      <c r="K1909" s="9"/>
      <c r="L1909" s="9"/>
      <c r="M1909" s="9"/>
      <c r="N1909" s="9"/>
      <c r="O1909" s="9"/>
      <c r="P1909" s="9"/>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c r="AQ1909" s="9"/>
      <c r="AR1909" s="9"/>
      <c r="AS1909" s="9"/>
      <c r="AT1909" s="9"/>
      <c r="AU1909" s="9"/>
      <c r="AV1909" s="9"/>
      <c r="AW1909" s="9"/>
      <c r="AX1909" s="9"/>
      <c r="AY1909" s="9"/>
      <c r="AZ1909" s="9"/>
      <c r="BA1909" s="9"/>
      <c r="BB1909" s="9"/>
      <c r="BC1909" s="9"/>
      <c r="BD1909" s="9"/>
      <c r="BE1909" s="9"/>
      <c r="BF1909" s="9"/>
      <c r="BG1909" s="9"/>
      <c r="BH1909" s="9"/>
      <c r="BI1909" s="9"/>
      <c r="BJ1909" s="9"/>
      <c r="BK1909" s="9"/>
      <c r="BL1909" s="9"/>
      <c r="BM1909" s="9"/>
      <c r="BN1909" s="9"/>
      <c r="BO1909" s="9"/>
      <c r="BP1909" s="9"/>
      <c r="BQ1909" s="9"/>
      <c r="BR1909" s="9"/>
      <c r="BS1909" s="9"/>
      <c r="BT1909" s="9"/>
      <c r="BU1909" s="9"/>
      <c r="BV1909" s="9"/>
      <c r="BW1909" s="9"/>
    </row>
    <row r="1910" spans="1:75" x14ac:dyDescent="0.25">
      <c r="A1910" s="9"/>
      <c r="B1910" s="9"/>
      <c r="C1910" s="9"/>
      <c r="D1910" s="9"/>
      <c r="E1910" s="9"/>
      <c r="F1910" s="9"/>
      <c r="G1910" s="9"/>
      <c r="H1910" s="9"/>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c r="AS1910" s="9"/>
      <c r="AT1910" s="9"/>
      <c r="AU1910" s="9"/>
      <c r="AV1910" s="9"/>
      <c r="AW1910" s="9"/>
      <c r="AX1910" s="9"/>
      <c r="AY1910" s="9"/>
      <c r="AZ1910" s="9"/>
      <c r="BA1910" s="9"/>
      <c r="BB1910" s="9"/>
      <c r="BC1910" s="9"/>
      <c r="BD1910" s="9"/>
      <c r="BE1910" s="9"/>
      <c r="BF1910" s="9"/>
      <c r="BG1910" s="9"/>
      <c r="BH1910" s="9"/>
      <c r="BI1910" s="9"/>
      <c r="BJ1910" s="9"/>
      <c r="BK1910" s="9"/>
      <c r="BL1910" s="9"/>
      <c r="BM1910" s="9"/>
      <c r="BN1910" s="9"/>
      <c r="BO1910" s="9"/>
      <c r="BP1910" s="9"/>
      <c r="BQ1910" s="9"/>
      <c r="BR1910" s="9"/>
      <c r="BS1910" s="9"/>
      <c r="BT1910" s="9"/>
      <c r="BU1910" s="9"/>
      <c r="BV1910" s="9"/>
      <c r="BW1910" s="9"/>
    </row>
    <row r="1911" spans="1:75" x14ac:dyDescent="0.25">
      <c r="A1911" s="9"/>
      <c r="B1911" s="9"/>
      <c r="C1911" s="9"/>
      <c r="D1911" s="9"/>
      <c r="E1911" s="9"/>
      <c r="F1911" s="9"/>
      <c r="G1911" s="9"/>
      <c r="H1911" s="9"/>
      <c r="I1911" s="9"/>
      <c r="J1911" s="9"/>
      <c r="K1911" s="9"/>
      <c r="L1911" s="9"/>
      <c r="M1911" s="9"/>
      <c r="N1911" s="9"/>
      <c r="O1911" s="9"/>
      <c r="P1911" s="9"/>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c r="AQ1911" s="9"/>
      <c r="AR1911" s="9"/>
      <c r="AS1911" s="9"/>
      <c r="AT1911" s="9"/>
      <c r="AU1911" s="9"/>
      <c r="AV1911" s="9"/>
      <c r="AW1911" s="9"/>
      <c r="AX1911" s="9"/>
      <c r="AY1911" s="9"/>
      <c r="AZ1911" s="9"/>
      <c r="BA1911" s="9"/>
      <c r="BB1911" s="9"/>
      <c r="BC1911" s="9"/>
      <c r="BD1911" s="9"/>
      <c r="BE1911" s="9"/>
      <c r="BF1911" s="9"/>
      <c r="BG1911" s="9"/>
      <c r="BH1911" s="9"/>
      <c r="BI1911" s="9"/>
      <c r="BJ1911" s="9"/>
      <c r="BK1911" s="9"/>
      <c r="BL1911" s="9"/>
      <c r="BM1911" s="9"/>
      <c r="BN1911" s="9"/>
      <c r="BO1911" s="9"/>
      <c r="BP1911" s="9"/>
      <c r="BQ1911" s="9"/>
      <c r="BR1911" s="9"/>
      <c r="BS1911" s="9"/>
      <c r="BT1911" s="9"/>
      <c r="BU1911" s="9"/>
      <c r="BV1911" s="9"/>
      <c r="BW1911" s="9"/>
    </row>
    <row r="1912" spans="1:75" x14ac:dyDescent="0.25">
      <c r="A1912" s="9"/>
      <c r="B1912" s="9"/>
      <c r="C1912" s="9"/>
      <c r="D1912" s="9"/>
      <c r="E1912" s="9"/>
      <c r="F1912" s="9"/>
      <c r="G1912" s="9"/>
      <c r="H1912" s="9"/>
      <c r="I1912" s="9"/>
      <c r="J1912" s="9"/>
      <c r="K1912" s="9"/>
      <c r="L1912" s="9"/>
      <c r="M1912" s="9"/>
      <c r="N1912" s="9"/>
      <c r="O1912" s="9"/>
      <c r="P1912" s="9"/>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c r="AQ1912" s="9"/>
      <c r="AR1912" s="9"/>
      <c r="AS1912" s="9"/>
      <c r="AT1912" s="9"/>
      <c r="AU1912" s="9"/>
      <c r="AV1912" s="9"/>
      <c r="AW1912" s="9"/>
      <c r="AX1912" s="9"/>
      <c r="AY1912" s="9"/>
      <c r="AZ1912" s="9"/>
      <c r="BA1912" s="9"/>
      <c r="BB1912" s="9"/>
      <c r="BC1912" s="9"/>
      <c r="BD1912" s="9"/>
      <c r="BE1912" s="9"/>
      <c r="BF1912" s="9"/>
      <c r="BG1912" s="9"/>
      <c r="BH1912" s="9"/>
      <c r="BI1912" s="9"/>
      <c r="BJ1912" s="9"/>
      <c r="BK1912" s="9"/>
      <c r="BL1912" s="9"/>
      <c r="BM1912" s="9"/>
      <c r="BN1912" s="9"/>
      <c r="BO1912" s="9"/>
      <c r="BP1912" s="9"/>
      <c r="BQ1912" s="9"/>
      <c r="BR1912" s="9"/>
      <c r="BS1912" s="9"/>
      <c r="BT1912" s="9"/>
      <c r="BU1912" s="9"/>
      <c r="BV1912" s="9"/>
      <c r="BW1912" s="9"/>
    </row>
    <row r="1913" spans="1:75" x14ac:dyDescent="0.25">
      <c r="A1913" s="9"/>
      <c r="B1913" s="9"/>
      <c r="C1913" s="9"/>
      <c r="D1913" s="9"/>
      <c r="E1913" s="9"/>
      <c r="F1913" s="9"/>
      <c r="G1913" s="9"/>
      <c r="H1913" s="9"/>
      <c r="I1913" s="9"/>
      <c r="J1913" s="9"/>
      <c r="K1913" s="9"/>
      <c r="L1913" s="9"/>
      <c r="M1913" s="9"/>
      <c r="N1913" s="9"/>
      <c r="O1913" s="9"/>
      <c r="P1913" s="9"/>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c r="AQ1913" s="9"/>
      <c r="AR1913" s="9"/>
      <c r="AS1913" s="9"/>
      <c r="AT1913" s="9"/>
      <c r="AU1913" s="9"/>
      <c r="AV1913" s="9"/>
      <c r="AW1913" s="9"/>
      <c r="AX1913" s="9"/>
      <c r="AY1913" s="9"/>
      <c r="AZ1913" s="9"/>
      <c r="BA1913" s="9"/>
      <c r="BB1913" s="9"/>
      <c r="BC1913" s="9"/>
      <c r="BD1913" s="9"/>
      <c r="BE1913" s="9"/>
      <c r="BF1913" s="9"/>
      <c r="BG1913" s="9"/>
      <c r="BH1913" s="9"/>
      <c r="BI1913" s="9"/>
      <c r="BJ1913" s="9"/>
      <c r="BK1913" s="9"/>
      <c r="BL1913" s="9"/>
      <c r="BM1913" s="9"/>
      <c r="BN1913" s="9"/>
      <c r="BO1913" s="9"/>
      <c r="BP1913" s="9"/>
      <c r="BQ1913" s="9"/>
      <c r="BR1913" s="9"/>
      <c r="BS1913" s="9"/>
      <c r="BT1913" s="9"/>
      <c r="BU1913" s="9"/>
      <c r="BV1913" s="9"/>
      <c r="BW1913" s="9"/>
    </row>
    <row r="1914" spans="1:75" x14ac:dyDescent="0.25">
      <c r="A1914" s="9"/>
      <c r="B1914" s="9"/>
      <c r="C1914" s="9"/>
      <c r="D1914" s="9"/>
      <c r="E1914" s="9"/>
      <c r="F1914" s="9"/>
      <c r="G1914" s="9"/>
      <c r="H1914" s="9"/>
      <c r="I1914" s="9"/>
      <c r="J1914" s="9"/>
      <c r="K1914" s="9"/>
      <c r="L1914" s="9"/>
      <c r="M1914" s="9"/>
      <c r="N1914" s="9"/>
      <c r="O1914" s="9"/>
      <c r="P1914" s="9"/>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c r="AQ1914" s="9"/>
      <c r="AR1914" s="9"/>
      <c r="AS1914" s="9"/>
      <c r="AT1914" s="9"/>
      <c r="AU1914" s="9"/>
      <c r="AV1914" s="9"/>
      <c r="AW1914" s="9"/>
      <c r="AX1914" s="9"/>
      <c r="AY1914" s="9"/>
      <c r="AZ1914" s="9"/>
      <c r="BA1914" s="9"/>
      <c r="BB1914" s="9"/>
      <c r="BC1914" s="9"/>
      <c r="BD1914" s="9"/>
      <c r="BE1914" s="9"/>
      <c r="BF1914" s="9"/>
      <c r="BG1914" s="9"/>
      <c r="BH1914" s="9"/>
      <c r="BI1914" s="9"/>
      <c r="BJ1914" s="9"/>
      <c r="BK1914" s="9"/>
      <c r="BL1914" s="9"/>
      <c r="BM1914" s="9"/>
      <c r="BN1914" s="9"/>
      <c r="BO1914" s="9"/>
      <c r="BP1914" s="9"/>
      <c r="BQ1914" s="9"/>
      <c r="BR1914" s="9"/>
      <c r="BS1914" s="9"/>
      <c r="BT1914" s="9"/>
      <c r="BU1914" s="9"/>
      <c r="BV1914" s="9"/>
      <c r="BW1914" s="9"/>
    </row>
    <row r="1915" spans="1:75" x14ac:dyDescent="0.25">
      <c r="A1915" s="9"/>
      <c r="B1915" s="9"/>
      <c r="C1915" s="9"/>
      <c r="D1915" s="9"/>
      <c r="E1915" s="9"/>
      <c r="F1915" s="9"/>
      <c r="G1915" s="9"/>
      <c r="H1915" s="9"/>
      <c r="I1915" s="9"/>
      <c r="J1915" s="9"/>
      <c r="K1915" s="9"/>
      <c r="L1915" s="9"/>
      <c r="M1915" s="9"/>
      <c r="N1915" s="9"/>
      <c r="O1915" s="9"/>
      <c r="P1915" s="9"/>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c r="AQ1915" s="9"/>
      <c r="AR1915" s="9"/>
      <c r="AS1915" s="9"/>
      <c r="AT1915" s="9"/>
      <c r="AU1915" s="9"/>
      <c r="AV1915" s="9"/>
      <c r="AW1915" s="9"/>
      <c r="AX1915" s="9"/>
      <c r="AY1915" s="9"/>
      <c r="AZ1915" s="9"/>
      <c r="BA1915" s="9"/>
      <c r="BB1915" s="9"/>
      <c r="BC1915" s="9"/>
      <c r="BD1915" s="9"/>
      <c r="BE1915" s="9"/>
      <c r="BF1915" s="9"/>
      <c r="BG1915" s="9"/>
      <c r="BH1915" s="9"/>
      <c r="BI1915" s="9"/>
      <c r="BJ1915" s="9"/>
      <c r="BK1915" s="9"/>
      <c r="BL1915" s="9"/>
      <c r="BM1915" s="9"/>
      <c r="BN1915" s="9"/>
      <c r="BO1915" s="9"/>
      <c r="BP1915" s="9"/>
      <c r="BQ1915" s="9"/>
      <c r="BR1915" s="9"/>
      <c r="BS1915" s="9"/>
      <c r="BT1915" s="9"/>
      <c r="BU1915" s="9"/>
      <c r="BV1915" s="9"/>
      <c r="BW1915" s="9"/>
    </row>
    <row r="1916" spans="1:75" x14ac:dyDescent="0.25">
      <c r="A1916" s="9"/>
      <c r="B1916" s="9"/>
      <c r="C1916" s="9"/>
      <c r="D1916" s="9"/>
      <c r="E1916" s="9"/>
      <c r="F1916" s="9"/>
      <c r="G1916" s="9"/>
      <c r="H1916" s="9"/>
      <c r="I1916" s="9"/>
      <c r="J1916" s="9"/>
      <c r="K1916" s="9"/>
      <c r="L1916" s="9"/>
      <c r="M1916" s="9"/>
      <c r="N1916" s="9"/>
      <c r="O1916" s="9"/>
      <c r="P1916" s="9"/>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c r="AQ1916" s="9"/>
      <c r="AR1916" s="9"/>
      <c r="AS1916" s="9"/>
      <c r="AT1916" s="9"/>
      <c r="AU1916" s="9"/>
      <c r="AV1916" s="9"/>
      <c r="AW1916" s="9"/>
      <c r="AX1916" s="9"/>
      <c r="AY1916" s="9"/>
      <c r="AZ1916" s="9"/>
      <c r="BA1916" s="9"/>
      <c r="BB1916" s="9"/>
      <c r="BC1916" s="9"/>
      <c r="BD1916" s="9"/>
      <c r="BE1916" s="9"/>
      <c r="BF1916" s="9"/>
      <c r="BG1916" s="9"/>
      <c r="BH1916" s="9"/>
      <c r="BI1916" s="9"/>
      <c r="BJ1916" s="9"/>
      <c r="BK1916" s="9"/>
      <c r="BL1916" s="9"/>
      <c r="BM1916" s="9"/>
      <c r="BN1916" s="9"/>
      <c r="BO1916" s="9"/>
      <c r="BP1916" s="9"/>
      <c r="BQ1916" s="9"/>
      <c r="BR1916" s="9"/>
      <c r="BS1916" s="9"/>
      <c r="BT1916" s="9"/>
      <c r="BU1916" s="9"/>
      <c r="BV1916" s="9"/>
      <c r="BW1916" s="9"/>
    </row>
    <row r="1917" spans="1:75" x14ac:dyDescent="0.25">
      <c r="A1917" s="9"/>
      <c r="B1917" s="9"/>
      <c r="C1917" s="9"/>
      <c r="D1917" s="9"/>
      <c r="E1917" s="9"/>
      <c r="F1917" s="9"/>
      <c r="G1917" s="9"/>
      <c r="H1917" s="9"/>
      <c r="I1917" s="9"/>
      <c r="J1917" s="9"/>
      <c r="K1917" s="9"/>
      <c r="L1917" s="9"/>
      <c r="M1917" s="9"/>
      <c r="N1917" s="9"/>
      <c r="O1917" s="9"/>
      <c r="P1917" s="9"/>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c r="AQ1917" s="9"/>
      <c r="AR1917" s="9"/>
      <c r="AS1917" s="9"/>
      <c r="AT1917" s="9"/>
      <c r="AU1917" s="9"/>
      <c r="AV1917" s="9"/>
      <c r="AW1917" s="9"/>
      <c r="AX1917" s="9"/>
      <c r="AY1917" s="9"/>
      <c r="AZ1917" s="9"/>
      <c r="BA1917" s="9"/>
      <c r="BB1917" s="9"/>
      <c r="BC1917" s="9"/>
      <c r="BD1917" s="9"/>
      <c r="BE1917" s="9"/>
      <c r="BF1917" s="9"/>
      <c r="BG1917" s="9"/>
      <c r="BH1917" s="9"/>
      <c r="BI1917" s="9"/>
      <c r="BJ1917" s="9"/>
      <c r="BK1917" s="9"/>
      <c r="BL1917" s="9"/>
      <c r="BM1917" s="9"/>
      <c r="BN1917" s="9"/>
      <c r="BO1917" s="9"/>
      <c r="BP1917" s="9"/>
      <c r="BQ1917" s="9"/>
      <c r="BR1917" s="9"/>
      <c r="BS1917" s="9"/>
      <c r="BT1917" s="9"/>
      <c r="BU1917" s="9"/>
      <c r="BV1917" s="9"/>
      <c r="BW1917" s="9"/>
    </row>
    <row r="1918" spans="1:75" x14ac:dyDescent="0.25">
      <c r="A1918" s="9"/>
      <c r="B1918" s="9"/>
      <c r="C1918" s="9"/>
      <c r="D1918" s="9"/>
      <c r="E1918" s="9"/>
      <c r="F1918" s="9"/>
      <c r="G1918" s="9"/>
      <c r="H1918" s="9"/>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c r="AS1918" s="9"/>
      <c r="AT1918" s="9"/>
      <c r="AU1918" s="9"/>
      <c r="AV1918" s="9"/>
      <c r="AW1918" s="9"/>
      <c r="AX1918" s="9"/>
      <c r="AY1918" s="9"/>
      <c r="AZ1918" s="9"/>
      <c r="BA1918" s="9"/>
      <c r="BB1918" s="9"/>
      <c r="BC1918" s="9"/>
      <c r="BD1918" s="9"/>
      <c r="BE1918" s="9"/>
      <c r="BF1918" s="9"/>
      <c r="BG1918" s="9"/>
      <c r="BH1918" s="9"/>
      <c r="BI1918" s="9"/>
      <c r="BJ1918" s="9"/>
      <c r="BK1918" s="9"/>
      <c r="BL1918" s="9"/>
      <c r="BM1918" s="9"/>
      <c r="BN1918" s="9"/>
      <c r="BO1918" s="9"/>
      <c r="BP1918" s="9"/>
      <c r="BQ1918" s="9"/>
      <c r="BR1918" s="9"/>
      <c r="BS1918" s="9"/>
      <c r="BT1918" s="9"/>
      <c r="BU1918" s="9"/>
      <c r="BV1918" s="9"/>
      <c r="BW1918" s="9"/>
    </row>
    <row r="1919" spans="1:75" x14ac:dyDescent="0.25">
      <c r="A1919" s="9"/>
      <c r="B1919" s="9"/>
      <c r="C1919" s="9"/>
      <c r="D1919" s="9"/>
      <c r="E1919" s="9"/>
      <c r="F1919" s="9"/>
      <c r="G1919" s="9"/>
      <c r="H1919" s="9"/>
      <c r="I1919" s="9"/>
      <c r="J1919" s="9"/>
      <c r="K1919" s="9"/>
      <c r="L1919" s="9"/>
      <c r="M1919" s="9"/>
      <c r="N1919" s="9"/>
      <c r="O1919" s="9"/>
      <c r="P1919" s="9"/>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c r="AQ1919" s="9"/>
      <c r="AR1919" s="9"/>
      <c r="AS1919" s="9"/>
      <c r="AT1919" s="9"/>
      <c r="AU1919" s="9"/>
      <c r="AV1919" s="9"/>
      <c r="AW1919" s="9"/>
      <c r="AX1919" s="9"/>
      <c r="AY1919" s="9"/>
      <c r="AZ1919" s="9"/>
      <c r="BA1919" s="9"/>
      <c r="BB1919" s="9"/>
      <c r="BC1919" s="9"/>
      <c r="BD1919" s="9"/>
      <c r="BE1919" s="9"/>
      <c r="BF1919" s="9"/>
      <c r="BG1919" s="9"/>
      <c r="BH1919" s="9"/>
      <c r="BI1919" s="9"/>
      <c r="BJ1919" s="9"/>
      <c r="BK1919" s="9"/>
      <c r="BL1919" s="9"/>
      <c r="BM1919" s="9"/>
      <c r="BN1919" s="9"/>
      <c r="BO1919" s="9"/>
      <c r="BP1919" s="9"/>
      <c r="BQ1919" s="9"/>
      <c r="BR1919" s="9"/>
      <c r="BS1919" s="9"/>
      <c r="BT1919" s="9"/>
      <c r="BU1919" s="9"/>
      <c r="BV1919" s="9"/>
      <c r="BW1919" s="9"/>
    </row>
    <row r="1920" spans="1:75" x14ac:dyDescent="0.25">
      <c r="A1920" s="9"/>
      <c r="B1920" s="9"/>
      <c r="C1920" s="9"/>
      <c r="D1920" s="9"/>
      <c r="E1920" s="9"/>
      <c r="F1920" s="9"/>
      <c r="G1920" s="9"/>
      <c r="H1920" s="9"/>
      <c r="I1920" s="9"/>
      <c r="J1920" s="9"/>
      <c r="K1920" s="9"/>
      <c r="L1920" s="9"/>
      <c r="M1920" s="9"/>
      <c r="N1920" s="9"/>
      <c r="O1920" s="9"/>
      <c r="P1920" s="9"/>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c r="AQ1920" s="9"/>
      <c r="AR1920" s="9"/>
      <c r="AS1920" s="9"/>
      <c r="AT1920" s="9"/>
      <c r="AU1920" s="9"/>
      <c r="AV1920" s="9"/>
      <c r="AW1920" s="9"/>
      <c r="AX1920" s="9"/>
      <c r="AY1920" s="9"/>
      <c r="AZ1920" s="9"/>
      <c r="BA1920" s="9"/>
      <c r="BB1920" s="9"/>
      <c r="BC1920" s="9"/>
      <c r="BD1920" s="9"/>
      <c r="BE1920" s="9"/>
      <c r="BF1920" s="9"/>
      <c r="BG1920" s="9"/>
      <c r="BH1920" s="9"/>
      <c r="BI1920" s="9"/>
      <c r="BJ1920" s="9"/>
      <c r="BK1920" s="9"/>
      <c r="BL1920" s="9"/>
      <c r="BM1920" s="9"/>
      <c r="BN1920" s="9"/>
      <c r="BO1920" s="9"/>
      <c r="BP1920" s="9"/>
      <c r="BQ1920" s="9"/>
      <c r="BR1920" s="9"/>
      <c r="BS1920" s="9"/>
      <c r="BT1920" s="9"/>
      <c r="BU1920" s="9"/>
      <c r="BV1920" s="9"/>
      <c r="BW1920" s="9"/>
    </row>
    <row r="1921" spans="1:75" x14ac:dyDescent="0.25">
      <c r="A1921" s="9"/>
      <c r="B1921" s="9"/>
      <c r="C1921" s="9"/>
      <c r="D1921" s="9"/>
      <c r="E1921" s="9"/>
      <c r="F1921" s="9"/>
      <c r="G1921" s="9"/>
      <c r="H1921" s="9"/>
      <c r="I1921" s="9"/>
      <c r="J1921" s="9"/>
      <c r="K1921" s="9"/>
      <c r="L1921" s="9"/>
      <c r="M1921" s="9"/>
      <c r="N1921" s="9"/>
      <c r="O1921" s="9"/>
      <c r="P1921" s="9"/>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c r="AQ1921" s="9"/>
      <c r="AR1921" s="9"/>
      <c r="AS1921" s="9"/>
      <c r="AT1921" s="9"/>
      <c r="AU1921" s="9"/>
      <c r="AV1921" s="9"/>
      <c r="AW1921" s="9"/>
      <c r="AX1921" s="9"/>
      <c r="AY1921" s="9"/>
      <c r="AZ1921" s="9"/>
      <c r="BA1921" s="9"/>
      <c r="BB1921" s="9"/>
      <c r="BC1921" s="9"/>
      <c r="BD1921" s="9"/>
      <c r="BE1921" s="9"/>
      <c r="BF1921" s="9"/>
      <c r="BG1921" s="9"/>
      <c r="BH1921" s="9"/>
      <c r="BI1921" s="9"/>
      <c r="BJ1921" s="9"/>
      <c r="BK1921" s="9"/>
      <c r="BL1921" s="9"/>
      <c r="BM1921" s="9"/>
      <c r="BN1921" s="9"/>
      <c r="BO1921" s="9"/>
      <c r="BP1921" s="9"/>
      <c r="BQ1921" s="9"/>
      <c r="BR1921" s="9"/>
      <c r="BS1921" s="9"/>
      <c r="BT1921" s="9"/>
      <c r="BU1921" s="9"/>
      <c r="BV1921" s="9"/>
      <c r="BW1921" s="9"/>
    </row>
    <row r="1922" spans="1:75" x14ac:dyDescent="0.25">
      <c r="A1922" s="9"/>
      <c r="B1922" s="9"/>
      <c r="C1922" s="9"/>
      <c r="D1922" s="9"/>
      <c r="E1922" s="9"/>
      <c r="F1922" s="9"/>
      <c r="G1922" s="9"/>
      <c r="H1922" s="9"/>
      <c r="I1922" s="9"/>
      <c r="J1922" s="9"/>
      <c r="K1922" s="9"/>
      <c r="L1922" s="9"/>
      <c r="M1922" s="9"/>
      <c r="N1922" s="9"/>
      <c r="O1922" s="9"/>
      <c r="P1922" s="9"/>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c r="AS1922" s="9"/>
      <c r="AT1922" s="9"/>
      <c r="AU1922" s="9"/>
      <c r="AV1922" s="9"/>
      <c r="AW1922" s="9"/>
      <c r="AX1922" s="9"/>
      <c r="AY1922" s="9"/>
      <c r="AZ1922" s="9"/>
      <c r="BA1922" s="9"/>
      <c r="BB1922" s="9"/>
      <c r="BC1922" s="9"/>
      <c r="BD1922" s="9"/>
      <c r="BE1922" s="9"/>
      <c r="BF1922" s="9"/>
      <c r="BG1922" s="9"/>
      <c r="BH1922" s="9"/>
      <c r="BI1922" s="9"/>
      <c r="BJ1922" s="9"/>
      <c r="BK1922" s="9"/>
      <c r="BL1922" s="9"/>
      <c r="BM1922" s="9"/>
      <c r="BN1922" s="9"/>
      <c r="BO1922" s="9"/>
      <c r="BP1922" s="9"/>
      <c r="BQ1922" s="9"/>
      <c r="BR1922" s="9"/>
      <c r="BS1922" s="9"/>
      <c r="BT1922" s="9"/>
      <c r="BU1922" s="9"/>
      <c r="BV1922" s="9"/>
      <c r="BW1922" s="9"/>
    </row>
    <row r="1923" spans="1:75" x14ac:dyDescent="0.25">
      <c r="A1923" s="9"/>
      <c r="B1923" s="9"/>
      <c r="C1923" s="9"/>
      <c r="D1923" s="9"/>
      <c r="E1923" s="9"/>
      <c r="F1923" s="9"/>
      <c r="G1923" s="9"/>
      <c r="H1923" s="9"/>
      <c r="I1923" s="9"/>
      <c r="J1923" s="9"/>
      <c r="K1923" s="9"/>
      <c r="L1923" s="9"/>
      <c r="M1923" s="9"/>
      <c r="N1923" s="9"/>
      <c r="O1923" s="9"/>
      <c r="P1923" s="9"/>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c r="AS1923" s="9"/>
      <c r="AT1923" s="9"/>
      <c r="AU1923" s="9"/>
      <c r="AV1923" s="9"/>
      <c r="AW1923" s="9"/>
      <c r="AX1923" s="9"/>
      <c r="AY1923" s="9"/>
      <c r="AZ1923" s="9"/>
      <c r="BA1923" s="9"/>
      <c r="BB1923" s="9"/>
      <c r="BC1923" s="9"/>
      <c r="BD1923" s="9"/>
      <c r="BE1923" s="9"/>
      <c r="BF1923" s="9"/>
      <c r="BG1923" s="9"/>
      <c r="BH1923" s="9"/>
      <c r="BI1923" s="9"/>
      <c r="BJ1923" s="9"/>
      <c r="BK1923" s="9"/>
      <c r="BL1923" s="9"/>
      <c r="BM1923" s="9"/>
      <c r="BN1923" s="9"/>
      <c r="BO1923" s="9"/>
      <c r="BP1923" s="9"/>
      <c r="BQ1923" s="9"/>
      <c r="BR1923" s="9"/>
      <c r="BS1923" s="9"/>
      <c r="BT1923" s="9"/>
      <c r="BU1923" s="9"/>
      <c r="BV1923" s="9"/>
      <c r="BW1923" s="9"/>
    </row>
    <row r="1924" spans="1:75" x14ac:dyDescent="0.25">
      <c r="A1924" s="9"/>
      <c r="B1924" s="9"/>
      <c r="C1924" s="9"/>
      <c r="D1924" s="9"/>
      <c r="E1924" s="9"/>
      <c r="F1924" s="9"/>
      <c r="G1924" s="9"/>
      <c r="H1924" s="9"/>
      <c r="I1924" s="9"/>
      <c r="J1924" s="9"/>
      <c r="K1924" s="9"/>
      <c r="L1924" s="9"/>
      <c r="M1924" s="9"/>
      <c r="N1924" s="9"/>
      <c r="O1924" s="9"/>
      <c r="P1924" s="9"/>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c r="AQ1924" s="9"/>
      <c r="AR1924" s="9"/>
      <c r="AS1924" s="9"/>
      <c r="AT1924" s="9"/>
      <c r="AU1924" s="9"/>
      <c r="AV1924" s="9"/>
      <c r="AW1924" s="9"/>
      <c r="AX1924" s="9"/>
      <c r="AY1924" s="9"/>
      <c r="AZ1924" s="9"/>
      <c r="BA1924" s="9"/>
      <c r="BB1924" s="9"/>
      <c r="BC1924" s="9"/>
      <c r="BD1924" s="9"/>
      <c r="BE1924" s="9"/>
      <c r="BF1924" s="9"/>
      <c r="BG1924" s="9"/>
      <c r="BH1924" s="9"/>
      <c r="BI1924" s="9"/>
      <c r="BJ1924" s="9"/>
      <c r="BK1924" s="9"/>
      <c r="BL1924" s="9"/>
      <c r="BM1924" s="9"/>
      <c r="BN1924" s="9"/>
      <c r="BO1924" s="9"/>
      <c r="BP1924" s="9"/>
      <c r="BQ1924" s="9"/>
      <c r="BR1924" s="9"/>
      <c r="BS1924" s="9"/>
      <c r="BT1924" s="9"/>
      <c r="BU1924" s="9"/>
      <c r="BV1924" s="9"/>
      <c r="BW1924" s="9"/>
    </row>
    <row r="1925" spans="1:75" x14ac:dyDescent="0.25">
      <c r="A1925" s="9"/>
      <c r="B1925" s="9"/>
      <c r="C1925" s="9"/>
      <c r="D1925" s="9"/>
      <c r="E1925" s="9"/>
      <c r="F1925" s="9"/>
      <c r="G1925" s="9"/>
      <c r="H1925" s="9"/>
      <c r="I1925" s="9"/>
      <c r="J1925" s="9"/>
      <c r="K1925" s="9"/>
      <c r="L1925" s="9"/>
      <c r="M1925" s="9"/>
      <c r="N1925" s="9"/>
      <c r="O1925" s="9"/>
      <c r="P1925" s="9"/>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c r="AQ1925" s="9"/>
      <c r="AR1925" s="9"/>
      <c r="AS1925" s="9"/>
      <c r="AT1925" s="9"/>
      <c r="AU1925" s="9"/>
      <c r="AV1925" s="9"/>
      <c r="AW1925" s="9"/>
      <c r="AX1925" s="9"/>
      <c r="AY1925" s="9"/>
      <c r="AZ1925" s="9"/>
      <c r="BA1925" s="9"/>
      <c r="BB1925" s="9"/>
      <c r="BC1925" s="9"/>
      <c r="BD1925" s="9"/>
      <c r="BE1925" s="9"/>
      <c r="BF1925" s="9"/>
      <c r="BG1925" s="9"/>
      <c r="BH1925" s="9"/>
      <c r="BI1925" s="9"/>
      <c r="BJ1925" s="9"/>
      <c r="BK1925" s="9"/>
      <c r="BL1925" s="9"/>
      <c r="BM1925" s="9"/>
      <c r="BN1925" s="9"/>
      <c r="BO1925" s="9"/>
      <c r="BP1925" s="9"/>
      <c r="BQ1925" s="9"/>
      <c r="BR1925" s="9"/>
      <c r="BS1925" s="9"/>
      <c r="BT1925" s="9"/>
      <c r="BU1925" s="9"/>
      <c r="BV1925" s="9"/>
      <c r="BW1925" s="9"/>
    </row>
    <row r="1926" spans="1:75" x14ac:dyDescent="0.25">
      <c r="A1926" s="9"/>
      <c r="B1926" s="9"/>
      <c r="C1926" s="9"/>
      <c r="D1926" s="9"/>
      <c r="E1926" s="9"/>
      <c r="F1926" s="9"/>
      <c r="G1926" s="9"/>
      <c r="H1926" s="9"/>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c r="AS1926" s="9"/>
      <c r="AT1926" s="9"/>
      <c r="AU1926" s="9"/>
      <c r="AV1926" s="9"/>
      <c r="AW1926" s="9"/>
      <c r="AX1926" s="9"/>
      <c r="AY1926" s="9"/>
      <c r="AZ1926" s="9"/>
      <c r="BA1926" s="9"/>
      <c r="BB1926" s="9"/>
      <c r="BC1926" s="9"/>
      <c r="BD1926" s="9"/>
      <c r="BE1926" s="9"/>
      <c r="BF1926" s="9"/>
      <c r="BG1926" s="9"/>
      <c r="BH1926" s="9"/>
      <c r="BI1926" s="9"/>
      <c r="BJ1926" s="9"/>
      <c r="BK1926" s="9"/>
      <c r="BL1926" s="9"/>
      <c r="BM1926" s="9"/>
      <c r="BN1926" s="9"/>
      <c r="BO1926" s="9"/>
      <c r="BP1926" s="9"/>
      <c r="BQ1926" s="9"/>
      <c r="BR1926" s="9"/>
      <c r="BS1926" s="9"/>
      <c r="BT1926" s="9"/>
      <c r="BU1926" s="9"/>
      <c r="BV1926" s="9"/>
      <c r="BW1926" s="9"/>
    </row>
    <row r="1927" spans="1:75" x14ac:dyDescent="0.25">
      <c r="A1927" s="9"/>
      <c r="B1927" s="9"/>
      <c r="C1927" s="9"/>
      <c r="D1927" s="9"/>
      <c r="E1927" s="9"/>
      <c r="F1927" s="9"/>
      <c r="G1927" s="9"/>
      <c r="H1927" s="9"/>
      <c r="I1927" s="9"/>
      <c r="J1927" s="9"/>
      <c r="K1927" s="9"/>
      <c r="L1927" s="9"/>
      <c r="M1927" s="9"/>
      <c r="N1927" s="9"/>
      <c r="O1927" s="9"/>
      <c r="P1927" s="9"/>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c r="AQ1927" s="9"/>
      <c r="AR1927" s="9"/>
      <c r="AS1927" s="9"/>
      <c r="AT1927" s="9"/>
      <c r="AU1927" s="9"/>
      <c r="AV1927" s="9"/>
      <c r="AW1927" s="9"/>
      <c r="AX1927" s="9"/>
      <c r="AY1927" s="9"/>
      <c r="AZ1927" s="9"/>
      <c r="BA1927" s="9"/>
      <c r="BB1927" s="9"/>
      <c r="BC1927" s="9"/>
      <c r="BD1927" s="9"/>
      <c r="BE1927" s="9"/>
      <c r="BF1927" s="9"/>
      <c r="BG1927" s="9"/>
      <c r="BH1927" s="9"/>
      <c r="BI1927" s="9"/>
      <c r="BJ1927" s="9"/>
      <c r="BK1927" s="9"/>
      <c r="BL1927" s="9"/>
      <c r="BM1927" s="9"/>
      <c r="BN1927" s="9"/>
      <c r="BO1927" s="9"/>
      <c r="BP1927" s="9"/>
      <c r="BQ1927" s="9"/>
      <c r="BR1927" s="9"/>
      <c r="BS1927" s="9"/>
      <c r="BT1927" s="9"/>
      <c r="BU1927" s="9"/>
      <c r="BV1927" s="9"/>
      <c r="BW1927" s="9"/>
    </row>
    <row r="1928" spans="1:75" x14ac:dyDescent="0.25">
      <c r="A1928" s="9"/>
      <c r="B1928" s="9"/>
      <c r="C1928" s="9"/>
      <c r="D1928" s="9"/>
      <c r="E1928" s="9"/>
      <c r="F1928" s="9"/>
      <c r="G1928" s="9"/>
      <c r="H1928" s="9"/>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c r="AS1928" s="9"/>
      <c r="AT1928" s="9"/>
      <c r="AU1928" s="9"/>
      <c r="AV1928" s="9"/>
      <c r="AW1928" s="9"/>
      <c r="AX1928" s="9"/>
      <c r="AY1928" s="9"/>
      <c r="AZ1928" s="9"/>
      <c r="BA1928" s="9"/>
      <c r="BB1928" s="9"/>
      <c r="BC1928" s="9"/>
      <c r="BD1928" s="9"/>
      <c r="BE1928" s="9"/>
      <c r="BF1928" s="9"/>
      <c r="BG1928" s="9"/>
      <c r="BH1928" s="9"/>
      <c r="BI1928" s="9"/>
      <c r="BJ1928" s="9"/>
      <c r="BK1928" s="9"/>
      <c r="BL1928" s="9"/>
      <c r="BM1928" s="9"/>
      <c r="BN1928" s="9"/>
      <c r="BO1928" s="9"/>
      <c r="BP1928" s="9"/>
      <c r="BQ1928" s="9"/>
      <c r="BR1928" s="9"/>
      <c r="BS1928" s="9"/>
      <c r="BT1928" s="9"/>
      <c r="BU1928" s="9"/>
      <c r="BV1928" s="9"/>
      <c r="BW1928" s="9"/>
    </row>
    <row r="1929" spans="1:75" x14ac:dyDescent="0.25">
      <c r="A1929" s="9"/>
      <c r="B1929" s="9"/>
      <c r="C1929" s="9"/>
      <c r="D1929" s="9"/>
      <c r="E1929" s="9"/>
      <c r="F1929" s="9"/>
      <c r="G1929" s="9"/>
      <c r="H1929" s="9"/>
      <c r="I1929" s="9"/>
      <c r="J1929" s="9"/>
      <c r="K1929" s="9"/>
      <c r="L1929" s="9"/>
      <c r="M1929" s="9"/>
      <c r="N1929" s="9"/>
      <c r="O1929" s="9"/>
      <c r="P1929" s="9"/>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c r="AQ1929" s="9"/>
      <c r="AR1929" s="9"/>
      <c r="AS1929" s="9"/>
      <c r="AT1929" s="9"/>
      <c r="AU1929" s="9"/>
      <c r="AV1929" s="9"/>
      <c r="AW1929" s="9"/>
      <c r="AX1929" s="9"/>
      <c r="AY1929" s="9"/>
      <c r="AZ1929" s="9"/>
      <c r="BA1929" s="9"/>
      <c r="BB1929" s="9"/>
      <c r="BC1929" s="9"/>
      <c r="BD1929" s="9"/>
      <c r="BE1929" s="9"/>
      <c r="BF1929" s="9"/>
      <c r="BG1929" s="9"/>
      <c r="BH1929" s="9"/>
      <c r="BI1929" s="9"/>
      <c r="BJ1929" s="9"/>
      <c r="BK1929" s="9"/>
      <c r="BL1929" s="9"/>
      <c r="BM1929" s="9"/>
      <c r="BN1929" s="9"/>
      <c r="BO1929" s="9"/>
      <c r="BP1929" s="9"/>
      <c r="BQ1929" s="9"/>
      <c r="BR1929" s="9"/>
      <c r="BS1929" s="9"/>
      <c r="BT1929" s="9"/>
      <c r="BU1929" s="9"/>
      <c r="BV1929" s="9"/>
      <c r="BW1929" s="9"/>
    </row>
    <row r="1930" spans="1:75" x14ac:dyDescent="0.25">
      <c r="A1930" s="9"/>
      <c r="B1930" s="9"/>
      <c r="C1930" s="9"/>
      <c r="D1930" s="9"/>
      <c r="E1930" s="9"/>
      <c r="F1930" s="9"/>
      <c r="G1930" s="9"/>
      <c r="H1930" s="9"/>
      <c r="I1930" s="9"/>
      <c r="J1930" s="9"/>
      <c r="K1930" s="9"/>
      <c r="L1930" s="9"/>
      <c r="M1930" s="9"/>
      <c r="N1930" s="9"/>
      <c r="O1930" s="9"/>
      <c r="P1930" s="9"/>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c r="AQ1930" s="9"/>
      <c r="AR1930" s="9"/>
      <c r="AS1930" s="9"/>
      <c r="AT1930" s="9"/>
      <c r="AU1930" s="9"/>
      <c r="AV1930" s="9"/>
      <c r="AW1930" s="9"/>
      <c r="AX1930" s="9"/>
      <c r="AY1930" s="9"/>
      <c r="AZ1930" s="9"/>
      <c r="BA1930" s="9"/>
      <c r="BB1930" s="9"/>
      <c r="BC1930" s="9"/>
      <c r="BD1930" s="9"/>
      <c r="BE1930" s="9"/>
      <c r="BF1930" s="9"/>
      <c r="BG1930" s="9"/>
      <c r="BH1930" s="9"/>
      <c r="BI1930" s="9"/>
      <c r="BJ1930" s="9"/>
      <c r="BK1930" s="9"/>
      <c r="BL1930" s="9"/>
      <c r="BM1930" s="9"/>
      <c r="BN1930" s="9"/>
      <c r="BO1930" s="9"/>
      <c r="BP1930" s="9"/>
      <c r="BQ1930" s="9"/>
      <c r="BR1930" s="9"/>
      <c r="BS1930" s="9"/>
      <c r="BT1930" s="9"/>
      <c r="BU1930" s="9"/>
      <c r="BV1930" s="9"/>
      <c r="BW1930" s="9"/>
    </row>
    <row r="1931" spans="1:75" x14ac:dyDescent="0.25">
      <c r="A1931" s="9"/>
      <c r="B1931" s="9"/>
      <c r="C1931" s="9"/>
      <c r="D1931" s="9"/>
      <c r="E1931" s="9"/>
      <c r="F1931" s="9"/>
      <c r="G1931" s="9"/>
      <c r="H1931" s="9"/>
      <c r="I1931" s="9"/>
      <c r="J1931" s="9"/>
      <c r="K1931" s="9"/>
      <c r="L1931" s="9"/>
      <c r="M1931" s="9"/>
      <c r="N1931" s="9"/>
      <c r="O1931" s="9"/>
      <c r="P1931" s="9"/>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c r="AQ1931" s="9"/>
      <c r="AR1931" s="9"/>
      <c r="AS1931" s="9"/>
      <c r="AT1931" s="9"/>
      <c r="AU1931" s="9"/>
      <c r="AV1931" s="9"/>
      <c r="AW1931" s="9"/>
      <c r="AX1931" s="9"/>
      <c r="AY1931" s="9"/>
      <c r="AZ1931" s="9"/>
      <c r="BA1931" s="9"/>
      <c r="BB1931" s="9"/>
      <c r="BC1931" s="9"/>
      <c r="BD1931" s="9"/>
      <c r="BE1931" s="9"/>
      <c r="BF1931" s="9"/>
      <c r="BG1931" s="9"/>
      <c r="BH1931" s="9"/>
      <c r="BI1931" s="9"/>
      <c r="BJ1931" s="9"/>
      <c r="BK1931" s="9"/>
      <c r="BL1931" s="9"/>
      <c r="BM1931" s="9"/>
      <c r="BN1931" s="9"/>
      <c r="BO1931" s="9"/>
      <c r="BP1931" s="9"/>
      <c r="BQ1931" s="9"/>
      <c r="BR1931" s="9"/>
      <c r="BS1931" s="9"/>
      <c r="BT1931" s="9"/>
      <c r="BU1931" s="9"/>
      <c r="BV1931" s="9"/>
      <c r="BW1931" s="9"/>
    </row>
    <row r="1932" spans="1:75" x14ac:dyDescent="0.25">
      <c r="A1932" s="9"/>
      <c r="B1932" s="9"/>
      <c r="C1932" s="9"/>
      <c r="D1932" s="9"/>
      <c r="E1932" s="9"/>
      <c r="F1932" s="9"/>
      <c r="G1932" s="9"/>
      <c r="H1932" s="9"/>
      <c r="I1932" s="9"/>
      <c r="J1932" s="9"/>
      <c r="K1932" s="9"/>
      <c r="L1932" s="9"/>
      <c r="M1932" s="9"/>
      <c r="N1932" s="9"/>
      <c r="O1932" s="9"/>
      <c r="P1932" s="9"/>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c r="AQ1932" s="9"/>
      <c r="AR1932" s="9"/>
      <c r="AS1932" s="9"/>
      <c r="AT1932" s="9"/>
      <c r="AU1932" s="9"/>
      <c r="AV1932" s="9"/>
      <c r="AW1932" s="9"/>
      <c r="AX1932" s="9"/>
      <c r="AY1932" s="9"/>
      <c r="AZ1932" s="9"/>
      <c r="BA1932" s="9"/>
      <c r="BB1932" s="9"/>
      <c r="BC1932" s="9"/>
      <c r="BD1932" s="9"/>
      <c r="BE1932" s="9"/>
      <c r="BF1932" s="9"/>
      <c r="BG1932" s="9"/>
      <c r="BH1932" s="9"/>
      <c r="BI1932" s="9"/>
      <c r="BJ1932" s="9"/>
      <c r="BK1932" s="9"/>
      <c r="BL1932" s="9"/>
      <c r="BM1932" s="9"/>
      <c r="BN1932" s="9"/>
      <c r="BO1932" s="9"/>
      <c r="BP1932" s="9"/>
      <c r="BQ1932" s="9"/>
      <c r="BR1932" s="9"/>
      <c r="BS1932" s="9"/>
      <c r="BT1932" s="9"/>
      <c r="BU1932" s="9"/>
      <c r="BV1932" s="9"/>
      <c r="BW1932" s="9"/>
    </row>
    <row r="1933" spans="1:75" x14ac:dyDescent="0.25">
      <c r="A1933" s="9"/>
      <c r="B1933" s="9"/>
      <c r="C1933" s="9"/>
      <c r="D1933" s="9"/>
      <c r="E1933" s="9"/>
      <c r="F1933" s="9"/>
      <c r="G1933" s="9"/>
      <c r="H1933" s="9"/>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c r="AS1933" s="9"/>
      <c r="AT1933" s="9"/>
      <c r="AU1933" s="9"/>
      <c r="AV1933" s="9"/>
      <c r="AW1933" s="9"/>
      <c r="AX1933" s="9"/>
      <c r="AY1933" s="9"/>
      <c r="AZ1933" s="9"/>
      <c r="BA1933" s="9"/>
      <c r="BB1933" s="9"/>
      <c r="BC1933" s="9"/>
      <c r="BD1933" s="9"/>
      <c r="BE1933" s="9"/>
      <c r="BF1933" s="9"/>
      <c r="BG1933" s="9"/>
      <c r="BH1933" s="9"/>
      <c r="BI1933" s="9"/>
      <c r="BJ1933" s="9"/>
      <c r="BK1933" s="9"/>
      <c r="BL1933" s="9"/>
      <c r="BM1933" s="9"/>
      <c r="BN1933" s="9"/>
      <c r="BO1933" s="9"/>
      <c r="BP1933" s="9"/>
      <c r="BQ1933" s="9"/>
      <c r="BR1933" s="9"/>
      <c r="BS1933" s="9"/>
      <c r="BT1933" s="9"/>
      <c r="BU1933" s="9"/>
      <c r="BV1933" s="9"/>
      <c r="BW1933" s="9"/>
    </row>
    <row r="1934" spans="1:75" x14ac:dyDescent="0.25">
      <c r="A1934" s="9"/>
      <c r="B1934" s="9"/>
      <c r="C1934" s="9"/>
      <c r="D1934" s="9"/>
      <c r="E1934" s="9"/>
      <c r="F1934" s="9"/>
      <c r="G1934" s="9"/>
      <c r="H1934" s="9"/>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c r="AS1934" s="9"/>
      <c r="AT1934" s="9"/>
      <c r="AU1934" s="9"/>
      <c r="AV1934" s="9"/>
      <c r="AW1934" s="9"/>
      <c r="AX1934" s="9"/>
      <c r="AY1934" s="9"/>
      <c r="AZ1934" s="9"/>
      <c r="BA1934" s="9"/>
      <c r="BB1934" s="9"/>
      <c r="BC1934" s="9"/>
      <c r="BD1934" s="9"/>
      <c r="BE1934" s="9"/>
      <c r="BF1934" s="9"/>
      <c r="BG1934" s="9"/>
      <c r="BH1934" s="9"/>
      <c r="BI1934" s="9"/>
      <c r="BJ1934" s="9"/>
      <c r="BK1934" s="9"/>
      <c r="BL1934" s="9"/>
      <c r="BM1934" s="9"/>
      <c r="BN1934" s="9"/>
      <c r="BO1934" s="9"/>
      <c r="BP1934" s="9"/>
      <c r="BQ1934" s="9"/>
      <c r="BR1934" s="9"/>
      <c r="BS1934" s="9"/>
      <c r="BT1934" s="9"/>
      <c r="BU1934" s="9"/>
      <c r="BV1934" s="9"/>
      <c r="BW1934" s="9"/>
    </row>
    <row r="1935" spans="1:75" x14ac:dyDescent="0.25">
      <c r="A1935" s="9"/>
      <c r="B1935" s="9"/>
      <c r="C1935" s="9"/>
      <c r="D1935" s="9"/>
      <c r="E1935" s="9"/>
      <c r="F1935" s="9"/>
      <c r="G1935" s="9"/>
      <c r="H1935" s="9"/>
      <c r="I1935" s="9"/>
      <c r="J1935" s="9"/>
      <c r="K1935" s="9"/>
      <c r="L1935" s="9"/>
      <c r="M1935" s="9"/>
      <c r="N1935" s="9"/>
      <c r="O1935" s="9"/>
      <c r="P1935" s="9"/>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c r="AQ1935" s="9"/>
      <c r="AR1935" s="9"/>
      <c r="AS1935" s="9"/>
      <c r="AT1935" s="9"/>
      <c r="AU1935" s="9"/>
      <c r="AV1935" s="9"/>
      <c r="AW1935" s="9"/>
      <c r="AX1935" s="9"/>
      <c r="AY1935" s="9"/>
      <c r="AZ1935" s="9"/>
      <c r="BA1935" s="9"/>
      <c r="BB1935" s="9"/>
      <c r="BC1935" s="9"/>
      <c r="BD1935" s="9"/>
      <c r="BE1935" s="9"/>
      <c r="BF1935" s="9"/>
      <c r="BG1935" s="9"/>
      <c r="BH1935" s="9"/>
      <c r="BI1935" s="9"/>
      <c r="BJ1935" s="9"/>
      <c r="BK1935" s="9"/>
      <c r="BL1935" s="9"/>
      <c r="BM1935" s="9"/>
      <c r="BN1935" s="9"/>
      <c r="BO1935" s="9"/>
      <c r="BP1935" s="9"/>
      <c r="BQ1935" s="9"/>
      <c r="BR1935" s="9"/>
      <c r="BS1935" s="9"/>
      <c r="BT1935" s="9"/>
      <c r="BU1935" s="9"/>
      <c r="BV1935" s="9"/>
      <c r="BW1935" s="9"/>
    </row>
    <row r="1936" spans="1:75" x14ac:dyDescent="0.25">
      <c r="A1936" s="9"/>
      <c r="B1936" s="9"/>
      <c r="C1936" s="9"/>
      <c r="D1936" s="9"/>
      <c r="E1936" s="9"/>
      <c r="F1936" s="9"/>
      <c r="G1936" s="9"/>
      <c r="H1936" s="9"/>
      <c r="I1936" s="9"/>
      <c r="J1936" s="9"/>
      <c r="K1936" s="9"/>
      <c r="L1936" s="9"/>
      <c r="M1936" s="9"/>
      <c r="N1936" s="9"/>
      <c r="O1936" s="9"/>
      <c r="P1936" s="9"/>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c r="AQ1936" s="9"/>
      <c r="AR1936" s="9"/>
      <c r="AS1936" s="9"/>
      <c r="AT1936" s="9"/>
      <c r="AU1936" s="9"/>
      <c r="AV1936" s="9"/>
      <c r="AW1936" s="9"/>
      <c r="AX1936" s="9"/>
      <c r="AY1936" s="9"/>
      <c r="AZ1936" s="9"/>
      <c r="BA1936" s="9"/>
      <c r="BB1936" s="9"/>
      <c r="BC1936" s="9"/>
      <c r="BD1936" s="9"/>
      <c r="BE1936" s="9"/>
      <c r="BF1936" s="9"/>
      <c r="BG1936" s="9"/>
      <c r="BH1936" s="9"/>
      <c r="BI1936" s="9"/>
      <c r="BJ1936" s="9"/>
      <c r="BK1936" s="9"/>
      <c r="BL1936" s="9"/>
      <c r="BM1936" s="9"/>
      <c r="BN1936" s="9"/>
      <c r="BO1936" s="9"/>
      <c r="BP1936" s="9"/>
      <c r="BQ1936" s="9"/>
      <c r="BR1936" s="9"/>
      <c r="BS1936" s="9"/>
      <c r="BT1936" s="9"/>
      <c r="BU1936" s="9"/>
      <c r="BV1936" s="9"/>
      <c r="BW1936" s="9"/>
    </row>
    <row r="1937" spans="1:75" x14ac:dyDescent="0.25">
      <c r="A1937" s="9"/>
      <c r="B1937" s="9"/>
      <c r="C1937" s="9"/>
      <c r="D1937" s="9"/>
      <c r="E1937" s="9"/>
      <c r="F1937" s="9"/>
      <c r="G1937" s="9"/>
      <c r="H1937" s="9"/>
      <c r="I1937" s="9"/>
      <c r="J1937" s="9"/>
      <c r="K1937" s="9"/>
      <c r="L1937" s="9"/>
      <c r="M1937" s="9"/>
      <c r="N1937" s="9"/>
      <c r="O1937" s="9"/>
      <c r="P1937" s="9"/>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c r="AS1937" s="9"/>
      <c r="AT1937" s="9"/>
      <c r="AU1937" s="9"/>
      <c r="AV1937" s="9"/>
      <c r="AW1937" s="9"/>
      <c r="AX1937" s="9"/>
      <c r="AY1937" s="9"/>
      <c r="AZ1937" s="9"/>
      <c r="BA1937" s="9"/>
      <c r="BB1937" s="9"/>
      <c r="BC1937" s="9"/>
      <c r="BD1937" s="9"/>
      <c r="BE1937" s="9"/>
      <c r="BF1937" s="9"/>
      <c r="BG1937" s="9"/>
      <c r="BH1937" s="9"/>
      <c r="BI1937" s="9"/>
      <c r="BJ1937" s="9"/>
      <c r="BK1937" s="9"/>
      <c r="BL1937" s="9"/>
      <c r="BM1937" s="9"/>
      <c r="BN1937" s="9"/>
      <c r="BO1937" s="9"/>
      <c r="BP1937" s="9"/>
      <c r="BQ1937" s="9"/>
      <c r="BR1937" s="9"/>
      <c r="BS1937" s="9"/>
      <c r="BT1937" s="9"/>
      <c r="BU1937" s="9"/>
      <c r="BV1937" s="9"/>
      <c r="BW1937" s="9"/>
    </row>
    <row r="1938" spans="1:75" x14ac:dyDescent="0.25">
      <c r="A1938" s="9"/>
      <c r="B1938" s="9"/>
      <c r="C1938" s="9"/>
      <c r="D1938" s="9"/>
      <c r="E1938" s="9"/>
      <c r="F1938" s="9"/>
      <c r="G1938" s="9"/>
      <c r="H1938" s="9"/>
      <c r="I1938" s="9"/>
      <c r="J1938" s="9"/>
      <c r="K1938" s="9"/>
      <c r="L1938" s="9"/>
      <c r="M1938" s="9"/>
      <c r="N1938" s="9"/>
      <c r="O1938" s="9"/>
      <c r="P1938" s="9"/>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c r="AS1938" s="9"/>
      <c r="AT1938" s="9"/>
      <c r="AU1938" s="9"/>
      <c r="AV1938" s="9"/>
      <c r="AW1938" s="9"/>
      <c r="AX1938" s="9"/>
      <c r="AY1938" s="9"/>
      <c r="AZ1938" s="9"/>
      <c r="BA1938" s="9"/>
      <c r="BB1938" s="9"/>
      <c r="BC1938" s="9"/>
      <c r="BD1938" s="9"/>
      <c r="BE1938" s="9"/>
      <c r="BF1938" s="9"/>
      <c r="BG1938" s="9"/>
      <c r="BH1938" s="9"/>
      <c r="BI1938" s="9"/>
      <c r="BJ1938" s="9"/>
      <c r="BK1938" s="9"/>
      <c r="BL1938" s="9"/>
      <c r="BM1938" s="9"/>
      <c r="BN1938" s="9"/>
      <c r="BO1938" s="9"/>
      <c r="BP1938" s="9"/>
      <c r="BQ1938" s="9"/>
      <c r="BR1938" s="9"/>
      <c r="BS1938" s="9"/>
      <c r="BT1938" s="9"/>
      <c r="BU1938" s="9"/>
      <c r="BV1938" s="9"/>
      <c r="BW1938" s="9"/>
    </row>
    <row r="1939" spans="1:75" x14ac:dyDescent="0.25">
      <c r="A1939" s="9"/>
      <c r="B1939" s="9"/>
      <c r="C1939" s="9"/>
      <c r="D1939" s="9"/>
      <c r="E1939" s="9"/>
      <c r="F1939" s="9"/>
      <c r="G1939" s="9"/>
      <c r="H1939" s="9"/>
      <c r="I1939" s="9"/>
      <c r="J1939" s="9"/>
      <c r="K1939" s="9"/>
      <c r="L1939" s="9"/>
      <c r="M1939" s="9"/>
      <c r="N1939" s="9"/>
      <c r="O1939" s="9"/>
      <c r="P1939" s="9"/>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c r="AQ1939" s="9"/>
      <c r="AR1939" s="9"/>
      <c r="AS1939" s="9"/>
      <c r="AT1939" s="9"/>
      <c r="AU1939" s="9"/>
      <c r="AV1939" s="9"/>
      <c r="AW1939" s="9"/>
      <c r="AX1939" s="9"/>
      <c r="AY1939" s="9"/>
      <c r="AZ1939" s="9"/>
      <c r="BA1939" s="9"/>
      <c r="BB1939" s="9"/>
      <c r="BC1939" s="9"/>
      <c r="BD1939" s="9"/>
      <c r="BE1939" s="9"/>
      <c r="BF1939" s="9"/>
      <c r="BG1939" s="9"/>
      <c r="BH1939" s="9"/>
      <c r="BI1939" s="9"/>
      <c r="BJ1939" s="9"/>
      <c r="BK1939" s="9"/>
      <c r="BL1939" s="9"/>
      <c r="BM1939" s="9"/>
      <c r="BN1939" s="9"/>
      <c r="BO1939" s="9"/>
      <c r="BP1939" s="9"/>
      <c r="BQ1939" s="9"/>
      <c r="BR1939" s="9"/>
      <c r="BS1939" s="9"/>
      <c r="BT1939" s="9"/>
      <c r="BU1939" s="9"/>
      <c r="BV1939" s="9"/>
      <c r="BW1939" s="9"/>
    </row>
    <row r="1940" spans="1:75" x14ac:dyDescent="0.25">
      <c r="A1940" s="9"/>
      <c r="B1940" s="9"/>
      <c r="C1940" s="9"/>
      <c r="D1940" s="9"/>
      <c r="E1940" s="9"/>
      <c r="F1940" s="9"/>
      <c r="G1940" s="9"/>
      <c r="H1940" s="9"/>
      <c r="I1940" s="9"/>
      <c r="J1940" s="9"/>
      <c r="K1940" s="9"/>
      <c r="L1940" s="9"/>
      <c r="M1940" s="9"/>
      <c r="N1940" s="9"/>
      <c r="O1940" s="9"/>
      <c r="P1940" s="9"/>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c r="AQ1940" s="9"/>
      <c r="AR1940" s="9"/>
      <c r="AS1940" s="9"/>
      <c r="AT1940" s="9"/>
      <c r="AU1940" s="9"/>
      <c r="AV1940" s="9"/>
      <c r="AW1940" s="9"/>
      <c r="AX1940" s="9"/>
      <c r="AY1940" s="9"/>
      <c r="AZ1940" s="9"/>
      <c r="BA1940" s="9"/>
      <c r="BB1940" s="9"/>
      <c r="BC1940" s="9"/>
      <c r="BD1940" s="9"/>
      <c r="BE1940" s="9"/>
      <c r="BF1940" s="9"/>
      <c r="BG1940" s="9"/>
      <c r="BH1940" s="9"/>
      <c r="BI1940" s="9"/>
      <c r="BJ1940" s="9"/>
      <c r="BK1940" s="9"/>
      <c r="BL1940" s="9"/>
      <c r="BM1940" s="9"/>
      <c r="BN1940" s="9"/>
      <c r="BO1940" s="9"/>
      <c r="BP1940" s="9"/>
      <c r="BQ1940" s="9"/>
      <c r="BR1940" s="9"/>
      <c r="BS1940" s="9"/>
      <c r="BT1940" s="9"/>
      <c r="BU1940" s="9"/>
      <c r="BV1940" s="9"/>
      <c r="BW1940" s="9"/>
    </row>
    <row r="1941" spans="1:75" x14ac:dyDescent="0.25">
      <c r="A1941" s="9"/>
      <c r="B1941" s="9"/>
      <c r="C1941" s="9"/>
      <c r="D1941" s="9"/>
      <c r="E1941" s="9"/>
      <c r="F1941" s="9"/>
      <c r="G1941" s="9"/>
      <c r="H1941" s="9"/>
      <c r="I1941" s="9"/>
      <c r="J1941" s="9"/>
      <c r="K1941" s="9"/>
      <c r="L1941" s="9"/>
      <c r="M1941" s="9"/>
      <c r="N1941" s="9"/>
      <c r="O1941" s="9"/>
      <c r="P1941" s="9"/>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c r="AQ1941" s="9"/>
      <c r="AR1941" s="9"/>
      <c r="AS1941" s="9"/>
      <c r="AT1941" s="9"/>
      <c r="AU1941" s="9"/>
      <c r="AV1941" s="9"/>
      <c r="AW1941" s="9"/>
      <c r="AX1941" s="9"/>
      <c r="AY1941" s="9"/>
      <c r="AZ1941" s="9"/>
      <c r="BA1941" s="9"/>
      <c r="BB1941" s="9"/>
      <c r="BC1941" s="9"/>
      <c r="BD1941" s="9"/>
      <c r="BE1941" s="9"/>
      <c r="BF1941" s="9"/>
      <c r="BG1941" s="9"/>
      <c r="BH1941" s="9"/>
      <c r="BI1941" s="9"/>
      <c r="BJ1941" s="9"/>
      <c r="BK1941" s="9"/>
      <c r="BL1941" s="9"/>
      <c r="BM1941" s="9"/>
      <c r="BN1941" s="9"/>
      <c r="BO1941" s="9"/>
      <c r="BP1941" s="9"/>
      <c r="BQ1941" s="9"/>
      <c r="BR1941" s="9"/>
      <c r="BS1941" s="9"/>
      <c r="BT1941" s="9"/>
      <c r="BU1941" s="9"/>
      <c r="BV1941" s="9"/>
      <c r="BW1941" s="9"/>
    </row>
    <row r="1942" spans="1:75" x14ac:dyDescent="0.25">
      <c r="A1942" s="9"/>
      <c r="B1942" s="9"/>
      <c r="C1942" s="9"/>
      <c r="D1942" s="9"/>
      <c r="E1942" s="9"/>
      <c r="F1942" s="9"/>
      <c r="G1942" s="9"/>
      <c r="H1942" s="9"/>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c r="AS1942" s="9"/>
      <c r="AT1942" s="9"/>
      <c r="AU1942" s="9"/>
      <c r="AV1942" s="9"/>
      <c r="AW1942" s="9"/>
      <c r="AX1942" s="9"/>
      <c r="AY1942" s="9"/>
      <c r="AZ1942" s="9"/>
      <c r="BA1942" s="9"/>
      <c r="BB1942" s="9"/>
      <c r="BC1942" s="9"/>
      <c r="BD1942" s="9"/>
      <c r="BE1942" s="9"/>
      <c r="BF1942" s="9"/>
      <c r="BG1942" s="9"/>
      <c r="BH1942" s="9"/>
      <c r="BI1942" s="9"/>
      <c r="BJ1942" s="9"/>
      <c r="BK1942" s="9"/>
      <c r="BL1942" s="9"/>
      <c r="BM1942" s="9"/>
      <c r="BN1942" s="9"/>
      <c r="BO1942" s="9"/>
      <c r="BP1942" s="9"/>
      <c r="BQ1942" s="9"/>
      <c r="BR1942" s="9"/>
      <c r="BS1942" s="9"/>
      <c r="BT1942" s="9"/>
      <c r="BU1942" s="9"/>
      <c r="BV1942" s="9"/>
      <c r="BW1942" s="9"/>
    </row>
    <row r="1943" spans="1:75" x14ac:dyDescent="0.25">
      <c r="A1943" s="9"/>
      <c r="B1943" s="9"/>
      <c r="C1943" s="9"/>
      <c r="D1943" s="9"/>
      <c r="E1943" s="9"/>
      <c r="F1943" s="9"/>
      <c r="G1943" s="9"/>
      <c r="H1943" s="9"/>
      <c r="I1943" s="9"/>
      <c r="J1943" s="9"/>
      <c r="K1943" s="9"/>
      <c r="L1943" s="9"/>
      <c r="M1943" s="9"/>
      <c r="N1943" s="9"/>
      <c r="O1943" s="9"/>
      <c r="P1943" s="9"/>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c r="AQ1943" s="9"/>
      <c r="AR1943" s="9"/>
      <c r="AS1943" s="9"/>
      <c r="AT1943" s="9"/>
      <c r="AU1943" s="9"/>
      <c r="AV1943" s="9"/>
      <c r="AW1943" s="9"/>
      <c r="AX1943" s="9"/>
      <c r="AY1943" s="9"/>
      <c r="AZ1943" s="9"/>
      <c r="BA1943" s="9"/>
      <c r="BB1943" s="9"/>
      <c r="BC1943" s="9"/>
      <c r="BD1943" s="9"/>
      <c r="BE1943" s="9"/>
      <c r="BF1943" s="9"/>
      <c r="BG1943" s="9"/>
      <c r="BH1943" s="9"/>
      <c r="BI1943" s="9"/>
      <c r="BJ1943" s="9"/>
      <c r="BK1943" s="9"/>
      <c r="BL1943" s="9"/>
      <c r="BM1943" s="9"/>
      <c r="BN1943" s="9"/>
      <c r="BO1943" s="9"/>
      <c r="BP1943" s="9"/>
      <c r="BQ1943" s="9"/>
      <c r="BR1943" s="9"/>
      <c r="BS1943" s="9"/>
      <c r="BT1943" s="9"/>
      <c r="BU1943" s="9"/>
      <c r="BV1943" s="9"/>
      <c r="BW1943" s="9"/>
    </row>
    <row r="1944" spans="1:75" x14ac:dyDescent="0.25">
      <c r="A1944" s="9"/>
      <c r="B1944" s="9"/>
      <c r="C1944" s="9"/>
      <c r="D1944" s="9"/>
      <c r="E1944" s="9"/>
      <c r="F1944" s="9"/>
      <c r="G1944" s="9"/>
      <c r="H1944" s="9"/>
      <c r="I1944" s="9"/>
      <c r="J1944" s="9"/>
      <c r="K1944" s="9"/>
      <c r="L1944" s="9"/>
      <c r="M1944" s="9"/>
      <c r="N1944" s="9"/>
      <c r="O1944" s="9"/>
      <c r="P1944" s="9"/>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c r="AQ1944" s="9"/>
      <c r="AR1944" s="9"/>
      <c r="AS1944" s="9"/>
      <c r="AT1944" s="9"/>
      <c r="AU1944" s="9"/>
      <c r="AV1944" s="9"/>
      <c r="AW1944" s="9"/>
      <c r="AX1944" s="9"/>
      <c r="AY1944" s="9"/>
      <c r="AZ1944" s="9"/>
      <c r="BA1944" s="9"/>
      <c r="BB1944" s="9"/>
      <c r="BC1944" s="9"/>
      <c r="BD1944" s="9"/>
      <c r="BE1944" s="9"/>
      <c r="BF1944" s="9"/>
      <c r="BG1944" s="9"/>
      <c r="BH1944" s="9"/>
      <c r="BI1944" s="9"/>
      <c r="BJ1944" s="9"/>
      <c r="BK1944" s="9"/>
      <c r="BL1944" s="9"/>
      <c r="BM1944" s="9"/>
      <c r="BN1944" s="9"/>
      <c r="BO1944" s="9"/>
      <c r="BP1944" s="9"/>
      <c r="BQ1944" s="9"/>
      <c r="BR1944" s="9"/>
      <c r="BS1944" s="9"/>
      <c r="BT1944" s="9"/>
      <c r="BU1944" s="9"/>
      <c r="BV1944" s="9"/>
      <c r="BW1944" s="9"/>
    </row>
    <row r="1945" spans="1:75" x14ac:dyDescent="0.25">
      <c r="A1945" s="9"/>
      <c r="B1945" s="9"/>
      <c r="C1945" s="9"/>
      <c r="D1945" s="9"/>
      <c r="E1945" s="9"/>
      <c r="F1945" s="9"/>
      <c r="G1945" s="9"/>
      <c r="H1945" s="9"/>
      <c r="I1945" s="9"/>
      <c r="J1945" s="9"/>
      <c r="K1945" s="9"/>
      <c r="L1945" s="9"/>
      <c r="M1945" s="9"/>
      <c r="N1945" s="9"/>
      <c r="O1945" s="9"/>
      <c r="P1945" s="9"/>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c r="AQ1945" s="9"/>
      <c r="AR1945" s="9"/>
      <c r="AS1945" s="9"/>
      <c r="AT1945" s="9"/>
      <c r="AU1945" s="9"/>
      <c r="AV1945" s="9"/>
      <c r="AW1945" s="9"/>
      <c r="AX1945" s="9"/>
      <c r="AY1945" s="9"/>
      <c r="AZ1945" s="9"/>
      <c r="BA1945" s="9"/>
      <c r="BB1945" s="9"/>
      <c r="BC1945" s="9"/>
      <c r="BD1945" s="9"/>
      <c r="BE1945" s="9"/>
      <c r="BF1945" s="9"/>
      <c r="BG1945" s="9"/>
      <c r="BH1945" s="9"/>
      <c r="BI1945" s="9"/>
      <c r="BJ1945" s="9"/>
      <c r="BK1945" s="9"/>
      <c r="BL1945" s="9"/>
      <c r="BM1945" s="9"/>
      <c r="BN1945" s="9"/>
      <c r="BO1945" s="9"/>
      <c r="BP1945" s="9"/>
      <c r="BQ1945" s="9"/>
      <c r="BR1945" s="9"/>
      <c r="BS1945" s="9"/>
      <c r="BT1945" s="9"/>
      <c r="BU1945" s="9"/>
      <c r="BV1945" s="9"/>
      <c r="BW1945" s="9"/>
    </row>
    <row r="1946" spans="1:75" x14ac:dyDescent="0.25">
      <c r="A1946" s="9"/>
      <c r="B1946" s="9"/>
      <c r="C1946" s="9"/>
      <c r="D1946" s="9"/>
      <c r="E1946" s="9"/>
      <c r="F1946" s="9"/>
      <c r="G1946" s="9"/>
      <c r="H1946" s="9"/>
      <c r="I1946" s="9"/>
      <c r="J1946" s="9"/>
      <c r="K1946" s="9"/>
      <c r="L1946" s="9"/>
      <c r="M1946" s="9"/>
      <c r="N1946" s="9"/>
      <c r="O1946" s="9"/>
      <c r="P1946" s="9"/>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c r="AQ1946" s="9"/>
      <c r="AR1946" s="9"/>
      <c r="AS1946" s="9"/>
      <c r="AT1946" s="9"/>
      <c r="AU1946" s="9"/>
      <c r="AV1946" s="9"/>
      <c r="AW1946" s="9"/>
      <c r="AX1946" s="9"/>
      <c r="AY1946" s="9"/>
      <c r="AZ1946" s="9"/>
      <c r="BA1946" s="9"/>
      <c r="BB1946" s="9"/>
      <c r="BC1946" s="9"/>
      <c r="BD1946" s="9"/>
      <c r="BE1946" s="9"/>
      <c r="BF1946" s="9"/>
      <c r="BG1946" s="9"/>
      <c r="BH1946" s="9"/>
      <c r="BI1946" s="9"/>
      <c r="BJ1946" s="9"/>
      <c r="BK1946" s="9"/>
      <c r="BL1946" s="9"/>
      <c r="BM1946" s="9"/>
      <c r="BN1946" s="9"/>
      <c r="BO1946" s="9"/>
      <c r="BP1946" s="9"/>
      <c r="BQ1946" s="9"/>
      <c r="BR1946" s="9"/>
      <c r="BS1946" s="9"/>
      <c r="BT1946" s="9"/>
      <c r="BU1946" s="9"/>
      <c r="BV1946" s="9"/>
      <c r="BW1946" s="9"/>
    </row>
    <row r="1947" spans="1:75" x14ac:dyDescent="0.25">
      <c r="A1947" s="9"/>
      <c r="B1947" s="9"/>
      <c r="C1947" s="9"/>
      <c r="D1947" s="9"/>
      <c r="E1947" s="9"/>
      <c r="F1947" s="9"/>
      <c r="G1947" s="9"/>
      <c r="H1947" s="9"/>
      <c r="I1947" s="9"/>
      <c r="J1947" s="9"/>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c r="AS1947" s="9"/>
      <c r="AT1947" s="9"/>
      <c r="AU1947" s="9"/>
      <c r="AV1947" s="9"/>
      <c r="AW1947" s="9"/>
      <c r="AX1947" s="9"/>
      <c r="AY1947" s="9"/>
      <c r="AZ1947" s="9"/>
      <c r="BA1947" s="9"/>
      <c r="BB1947" s="9"/>
      <c r="BC1947" s="9"/>
      <c r="BD1947" s="9"/>
      <c r="BE1947" s="9"/>
      <c r="BF1947" s="9"/>
      <c r="BG1947" s="9"/>
      <c r="BH1947" s="9"/>
      <c r="BI1947" s="9"/>
      <c r="BJ1947" s="9"/>
      <c r="BK1947" s="9"/>
      <c r="BL1947" s="9"/>
      <c r="BM1947" s="9"/>
      <c r="BN1947" s="9"/>
      <c r="BO1947" s="9"/>
      <c r="BP1947" s="9"/>
      <c r="BQ1947" s="9"/>
      <c r="BR1947" s="9"/>
      <c r="BS1947" s="9"/>
      <c r="BT1947" s="9"/>
      <c r="BU1947" s="9"/>
      <c r="BV1947" s="9"/>
      <c r="BW1947" s="9"/>
    </row>
    <row r="1948" spans="1:75" x14ac:dyDescent="0.25">
      <c r="A1948" s="9"/>
      <c r="B1948" s="9"/>
      <c r="C1948" s="9"/>
      <c r="D1948" s="9"/>
      <c r="E1948" s="9"/>
      <c r="F1948" s="9"/>
      <c r="G1948" s="9"/>
      <c r="H1948" s="9"/>
      <c r="I1948" s="9"/>
      <c r="J1948" s="9"/>
      <c r="K1948" s="9"/>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c r="AQ1948" s="9"/>
      <c r="AR1948" s="9"/>
      <c r="AS1948" s="9"/>
      <c r="AT1948" s="9"/>
      <c r="AU1948" s="9"/>
      <c r="AV1948" s="9"/>
      <c r="AW1948" s="9"/>
      <c r="AX1948" s="9"/>
      <c r="AY1948" s="9"/>
      <c r="AZ1948" s="9"/>
      <c r="BA1948" s="9"/>
      <c r="BB1948" s="9"/>
      <c r="BC1948" s="9"/>
      <c r="BD1948" s="9"/>
      <c r="BE1948" s="9"/>
      <c r="BF1948" s="9"/>
      <c r="BG1948" s="9"/>
      <c r="BH1948" s="9"/>
      <c r="BI1948" s="9"/>
      <c r="BJ1948" s="9"/>
      <c r="BK1948" s="9"/>
      <c r="BL1948" s="9"/>
      <c r="BM1948" s="9"/>
      <c r="BN1948" s="9"/>
      <c r="BO1948" s="9"/>
      <c r="BP1948" s="9"/>
      <c r="BQ1948" s="9"/>
      <c r="BR1948" s="9"/>
      <c r="BS1948" s="9"/>
      <c r="BT1948" s="9"/>
      <c r="BU1948" s="9"/>
      <c r="BV1948" s="9"/>
      <c r="BW1948" s="9"/>
    </row>
    <row r="1949" spans="1:75" x14ac:dyDescent="0.25">
      <c r="A1949" s="9"/>
      <c r="B1949" s="9"/>
      <c r="C1949" s="9"/>
      <c r="D1949" s="9"/>
      <c r="E1949" s="9"/>
      <c r="F1949" s="9"/>
      <c r="G1949" s="9"/>
      <c r="H1949" s="9"/>
      <c r="I1949" s="9"/>
      <c r="J1949" s="9"/>
      <c r="K1949" s="9"/>
      <c r="L1949" s="9"/>
      <c r="M1949" s="9"/>
      <c r="N1949" s="9"/>
      <c r="O1949" s="9"/>
      <c r="P1949" s="9"/>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c r="AQ1949" s="9"/>
      <c r="AR1949" s="9"/>
      <c r="AS1949" s="9"/>
      <c r="AT1949" s="9"/>
      <c r="AU1949" s="9"/>
      <c r="AV1949" s="9"/>
      <c r="AW1949" s="9"/>
      <c r="AX1949" s="9"/>
      <c r="AY1949" s="9"/>
      <c r="AZ1949" s="9"/>
      <c r="BA1949" s="9"/>
      <c r="BB1949" s="9"/>
      <c r="BC1949" s="9"/>
      <c r="BD1949" s="9"/>
      <c r="BE1949" s="9"/>
      <c r="BF1949" s="9"/>
      <c r="BG1949" s="9"/>
      <c r="BH1949" s="9"/>
      <c r="BI1949" s="9"/>
      <c r="BJ1949" s="9"/>
      <c r="BK1949" s="9"/>
      <c r="BL1949" s="9"/>
      <c r="BM1949" s="9"/>
      <c r="BN1949" s="9"/>
      <c r="BO1949" s="9"/>
      <c r="BP1949" s="9"/>
      <c r="BQ1949" s="9"/>
      <c r="BR1949" s="9"/>
      <c r="BS1949" s="9"/>
      <c r="BT1949" s="9"/>
      <c r="BU1949" s="9"/>
      <c r="BV1949" s="9"/>
      <c r="BW1949" s="9"/>
    </row>
    <row r="1950" spans="1:75" x14ac:dyDescent="0.25">
      <c r="A1950" s="9"/>
      <c r="B1950" s="9"/>
      <c r="C1950" s="9"/>
      <c r="D1950" s="9"/>
      <c r="E1950" s="9"/>
      <c r="F1950" s="9"/>
      <c r="G1950" s="9"/>
      <c r="H1950" s="9"/>
      <c r="I1950" s="9"/>
      <c r="J1950" s="9"/>
      <c r="K1950" s="9"/>
      <c r="L1950" s="9"/>
      <c r="M1950" s="9"/>
      <c r="N1950" s="9"/>
      <c r="O1950" s="9"/>
      <c r="P1950" s="9"/>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c r="AQ1950" s="9"/>
      <c r="AR1950" s="9"/>
      <c r="AS1950" s="9"/>
      <c r="AT1950" s="9"/>
      <c r="AU1950" s="9"/>
      <c r="AV1950" s="9"/>
      <c r="AW1950" s="9"/>
      <c r="AX1950" s="9"/>
      <c r="AY1950" s="9"/>
      <c r="AZ1950" s="9"/>
      <c r="BA1950" s="9"/>
      <c r="BB1950" s="9"/>
      <c r="BC1950" s="9"/>
      <c r="BD1950" s="9"/>
      <c r="BE1950" s="9"/>
      <c r="BF1950" s="9"/>
      <c r="BG1950" s="9"/>
      <c r="BH1950" s="9"/>
      <c r="BI1950" s="9"/>
      <c r="BJ1950" s="9"/>
      <c r="BK1950" s="9"/>
      <c r="BL1950" s="9"/>
      <c r="BM1950" s="9"/>
      <c r="BN1950" s="9"/>
      <c r="BO1950" s="9"/>
      <c r="BP1950" s="9"/>
      <c r="BQ1950" s="9"/>
      <c r="BR1950" s="9"/>
      <c r="BS1950" s="9"/>
      <c r="BT1950" s="9"/>
      <c r="BU1950" s="9"/>
      <c r="BV1950" s="9"/>
      <c r="BW1950" s="9"/>
    </row>
    <row r="1951" spans="1:75" x14ac:dyDescent="0.25">
      <c r="A1951" s="9"/>
      <c r="B1951" s="9"/>
      <c r="C1951" s="9"/>
      <c r="D1951" s="9"/>
      <c r="E1951" s="9"/>
      <c r="F1951" s="9"/>
      <c r="G1951" s="9"/>
      <c r="H1951" s="9"/>
      <c r="I1951" s="9"/>
      <c r="J1951" s="9"/>
      <c r="K1951" s="9"/>
      <c r="L1951" s="9"/>
      <c r="M1951" s="9"/>
      <c r="N1951" s="9"/>
      <c r="O1951" s="9"/>
      <c r="P1951" s="9"/>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c r="AQ1951" s="9"/>
      <c r="AR1951" s="9"/>
      <c r="AS1951" s="9"/>
      <c r="AT1951" s="9"/>
      <c r="AU1951" s="9"/>
      <c r="AV1951" s="9"/>
      <c r="AW1951" s="9"/>
      <c r="AX1951" s="9"/>
      <c r="AY1951" s="9"/>
      <c r="AZ1951" s="9"/>
      <c r="BA1951" s="9"/>
      <c r="BB1951" s="9"/>
      <c r="BC1951" s="9"/>
      <c r="BD1951" s="9"/>
      <c r="BE1951" s="9"/>
      <c r="BF1951" s="9"/>
      <c r="BG1951" s="9"/>
      <c r="BH1951" s="9"/>
      <c r="BI1951" s="9"/>
      <c r="BJ1951" s="9"/>
      <c r="BK1951" s="9"/>
      <c r="BL1951" s="9"/>
      <c r="BM1951" s="9"/>
      <c r="BN1951" s="9"/>
      <c r="BO1951" s="9"/>
      <c r="BP1951" s="9"/>
      <c r="BQ1951" s="9"/>
      <c r="BR1951" s="9"/>
      <c r="BS1951" s="9"/>
      <c r="BT1951" s="9"/>
      <c r="BU1951" s="9"/>
      <c r="BV1951" s="9"/>
      <c r="BW1951" s="9"/>
    </row>
    <row r="1952" spans="1:75" x14ac:dyDescent="0.25">
      <c r="A1952" s="9"/>
      <c r="B1952" s="9"/>
      <c r="C1952" s="9"/>
      <c r="D1952" s="9"/>
      <c r="E1952" s="9"/>
      <c r="F1952" s="9"/>
      <c r="G1952" s="9"/>
      <c r="H1952" s="9"/>
      <c r="I1952" s="9"/>
      <c r="J1952" s="9"/>
      <c r="K1952" s="9"/>
      <c r="L1952" s="9"/>
      <c r="M1952" s="9"/>
      <c r="N1952" s="9"/>
      <c r="O1952" s="9"/>
      <c r="P1952" s="9"/>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c r="AQ1952" s="9"/>
      <c r="AR1952" s="9"/>
      <c r="AS1952" s="9"/>
      <c r="AT1952" s="9"/>
      <c r="AU1952" s="9"/>
      <c r="AV1952" s="9"/>
      <c r="AW1952" s="9"/>
      <c r="AX1952" s="9"/>
      <c r="AY1952" s="9"/>
      <c r="AZ1952" s="9"/>
      <c r="BA1952" s="9"/>
      <c r="BB1952" s="9"/>
      <c r="BC1952" s="9"/>
      <c r="BD1952" s="9"/>
      <c r="BE1952" s="9"/>
      <c r="BF1952" s="9"/>
      <c r="BG1952" s="9"/>
      <c r="BH1952" s="9"/>
      <c r="BI1952" s="9"/>
      <c r="BJ1952" s="9"/>
      <c r="BK1952" s="9"/>
      <c r="BL1952" s="9"/>
      <c r="BM1952" s="9"/>
      <c r="BN1952" s="9"/>
      <c r="BO1952" s="9"/>
      <c r="BP1952" s="9"/>
      <c r="BQ1952" s="9"/>
      <c r="BR1952" s="9"/>
      <c r="BS1952" s="9"/>
      <c r="BT1952" s="9"/>
      <c r="BU1952" s="9"/>
      <c r="BV1952" s="9"/>
      <c r="BW1952" s="9"/>
    </row>
    <row r="1953" spans="1:75" x14ac:dyDescent="0.25">
      <c r="A1953" s="9"/>
      <c r="B1953" s="9"/>
      <c r="C1953" s="9"/>
      <c r="D1953" s="9"/>
      <c r="E1953" s="9"/>
      <c r="F1953" s="9"/>
      <c r="G1953" s="9"/>
      <c r="H1953" s="9"/>
      <c r="I1953" s="9"/>
      <c r="J1953" s="9"/>
      <c r="K1953" s="9"/>
      <c r="L1953" s="9"/>
      <c r="M1953" s="9"/>
      <c r="N1953" s="9"/>
      <c r="O1953" s="9"/>
      <c r="P1953" s="9"/>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c r="AQ1953" s="9"/>
      <c r="AR1953" s="9"/>
      <c r="AS1953" s="9"/>
      <c r="AT1953" s="9"/>
      <c r="AU1953" s="9"/>
      <c r="AV1953" s="9"/>
      <c r="AW1953" s="9"/>
      <c r="AX1953" s="9"/>
      <c r="AY1953" s="9"/>
      <c r="AZ1953" s="9"/>
      <c r="BA1953" s="9"/>
      <c r="BB1953" s="9"/>
      <c r="BC1953" s="9"/>
      <c r="BD1953" s="9"/>
      <c r="BE1953" s="9"/>
      <c r="BF1953" s="9"/>
      <c r="BG1953" s="9"/>
      <c r="BH1953" s="9"/>
      <c r="BI1953" s="9"/>
      <c r="BJ1953" s="9"/>
      <c r="BK1953" s="9"/>
      <c r="BL1953" s="9"/>
      <c r="BM1953" s="9"/>
      <c r="BN1953" s="9"/>
      <c r="BO1953" s="9"/>
      <c r="BP1953" s="9"/>
      <c r="BQ1953" s="9"/>
      <c r="BR1953" s="9"/>
      <c r="BS1953" s="9"/>
      <c r="BT1953" s="9"/>
      <c r="BU1953" s="9"/>
      <c r="BV1953" s="9"/>
      <c r="BW1953" s="9"/>
    </row>
    <row r="1954" spans="1:75" x14ac:dyDescent="0.25">
      <c r="A1954" s="9"/>
      <c r="B1954" s="9"/>
      <c r="C1954" s="9"/>
      <c r="D1954" s="9"/>
      <c r="E1954" s="9"/>
      <c r="F1954" s="9"/>
      <c r="G1954" s="9"/>
      <c r="H1954" s="9"/>
      <c r="I1954" s="9"/>
      <c r="J1954" s="9"/>
      <c r="K1954" s="9"/>
      <c r="L1954" s="9"/>
      <c r="M1954" s="9"/>
      <c r="N1954" s="9"/>
      <c r="O1954" s="9"/>
      <c r="P1954" s="9"/>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c r="AQ1954" s="9"/>
      <c r="AR1954" s="9"/>
      <c r="AS1954" s="9"/>
      <c r="AT1954" s="9"/>
      <c r="AU1954" s="9"/>
      <c r="AV1954" s="9"/>
      <c r="AW1954" s="9"/>
      <c r="AX1954" s="9"/>
      <c r="AY1954" s="9"/>
      <c r="AZ1954" s="9"/>
      <c r="BA1954" s="9"/>
      <c r="BB1954" s="9"/>
      <c r="BC1954" s="9"/>
      <c r="BD1954" s="9"/>
      <c r="BE1954" s="9"/>
      <c r="BF1954" s="9"/>
      <c r="BG1954" s="9"/>
      <c r="BH1954" s="9"/>
      <c r="BI1954" s="9"/>
      <c r="BJ1954" s="9"/>
      <c r="BK1954" s="9"/>
      <c r="BL1954" s="9"/>
      <c r="BM1954" s="9"/>
      <c r="BN1954" s="9"/>
      <c r="BO1954" s="9"/>
      <c r="BP1954" s="9"/>
      <c r="BQ1954" s="9"/>
      <c r="BR1954" s="9"/>
      <c r="BS1954" s="9"/>
      <c r="BT1954" s="9"/>
      <c r="BU1954" s="9"/>
      <c r="BV1954" s="9"/>
      <c r="BW1954" s="9"/>
    </row>
    <row r="1955" spans="1:75" x14ac:dyDescent="0.25">
      <c r="A1955" s="9"/>
      <c r="B1955" s="9"/>
      <c r="C1955" s="9"/>
      <c r="D1955" s="9"/>
      <c r="E1955" s="9"/>
      <c r="F1955" s="9"/>
      <c r="G1955" s="9"/>
      <c r="H1955" s="9"/>
      <c r="I1955" s="9"/>
      <c r="J1955" s="9"/>
      <c r="K1955" s="9"/>
      <c r="L1955" s="9"/>
      <c r="M1955" s="9"/>
      <c r="N1955" s="9"/>
      <c r="O1955" s="9"/>
      <c r="P1955" s="9"/>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c r="AQ1955" s="9"/>
      <c r="AR1955" s="9"/>
      <c r="AS1955" s="9"/>
      <c r="AT1955" s="9"/>
      <c r="AU1955" s="9"/>
      <c r="AV1955" s="9"/>
      <c r="AW1955" s="9"/>
      <c r="AX1955" s="9"/>
      <c r="AY1955" s="9"/>
      <c r="AZ1955" s="9"/>
      <c r="BA1955" s="9"/>
      <c r="BB1955" s="9"/>
      <c r="BC1955" s="9"/>
      <c r="BD1955" s="9"/>
      <c r="BE1955" s="9"/>
      <c r="BF1955" s="9"/>
      <c r="BG1955" s="9"/>
      <c r="BH1955" s="9"/>
      <c r="BI1955" s="9"/>
      <c r="BJ1955" s="9"/>
      <c r="BK1955" s="9"/>
      <c r="BL1955" s="9"/>
      <c r="BM1955" s="9"/>
      <c r="BN1955" s="9"/>
      <c r="BO1955" s="9"/>
      <c r="BP1955" s="9"/>
      <c r="BQ1955" s="9"/>
      <c r="BR1955" s="9"/>
      <c r="BS1955" s="9"/>
      <c r="BT1955" s="9"/>
      <c r="BU1955" s="9"/>
      <c r="BV1955" s="9"/>
      <c r="BW1955" s="9"/>
    </row>
    <row r="1956" spans="1:75" x14ac:dyDescent="0.25">
      <c r="A1956" s="9"/>
      <c r="B1956" s="9"/>
      <c r="C1956" s="9"/>
      <c r="D1956" s="9"/>
      <c r="E1956" s="9"/>
      <c r="F1956" s="9"/>
      <c r="G1956" s="9"/>
      <c r="H1956" s="9"/>
      <c r="I1956" s="9"/>
      <c r="J1956" s="9"/>
      <c r="K1956" s="9"/>
      <c r="L1956" s="9"/>
      <c r="M1956" s="9"/>
      <c r="N1956" s="9"/>
      <c r="O1956" s="9"/>
      <c r="P1956" s="9"/>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c r="AQ1956" s="9"/>
      <c r="AR1956" s="9"/>
      <c r="AS1956" s="9"/>
      <c r="AT1956" s="9"/>
      <c r="AU1956" s="9"/>
      <c r="AV1956" s="9"/>
      <c r="AW1956" s="9"/>
      <c r="AX1956" s="9"/>
      <c r="AY1956" s="9"/>
      <c r="AZ1956" s="9"/>
      <c r="BA1956" s="9"/>
      <c r="BB1956" s="9"/>
      <c r="BC1956" s="9"/>
      <c r="BD1956" s="9"/>
      <c r="BE1956" s="9"/>
      <c r="BF1956" s="9"/>
      <c r="BG1956" s="9"/>
      <c r="BH1956" s="9"/>
      <c r="BI1956" s="9"/>
      <c r="BJ1956" s="9"/>
      <c r="BK1956" s="9"/>
      <c r="BL1956" s="9"/>
      <c r="BM1956" s="9"/>
      <c r="BN1956" s="9"/>
      <c r="BO1956" s="9"/>
      <c r="BP1956" s="9"/>
      <c r="BQ1956" s="9"/>
      <c r="BR1956" s="9"/>
      <c r="BS1956" s="9"/>
      <c r="BT1956" s="9"/>
      <c r="BU1956" s="9"/>
      <c r="BV1956" s="9"/>
      <c r="BW1956" s="9"/>
    </row>
    <row r="1957" spans="1:75" x14ac:dyDescent="0.25">
      <c r="A1957" s="9"/>
      <c r="B1957" s="9"/>
      <c r="C1957" s="9"/>
      <c r="D1957" s="9"/>
      <c r="E1957" s="9"/>
      <c r="F1957" s="9"/>
      <c r="G1957" s="9"/>
      <c r="H1957" s="9"/>
      <c r="I1957" s="9"/>
      <c r="J1957" s="9"/>
      <c r="K1957" s="9"/>
      <c r="L1957" s="9"/>
      <c r="M1957" s="9"/>
      <c r="N1957" s="9"/>
      <c r="O1957" s="9"/>
      <c r="P1957" s="9"/>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c r="AS1957" s="9"/>
      <c r="AT1957" s="9"/>
      <c r="AU1957" s="9"/>
      <c r="AV1957" s="9"/>
      <c r="AW1957" s="9"/>
      <c r="AX1957" s="9"/>
      <c r="AY1957" s="9"/>
      <c r="AZ1957" s="9"/>
      <c r="BA1957" s="9"/>
      <c r="BB1957" s="9"/>
      <c r="BC1957" s="9"/>
      <c r="BD1957" s="9"/>
      <c r="BE1957" s="9"/>
      <c r="BF1957" s="9"/>
      <c r="BG1957" s="9"/>
      <c r="BH1957" s="9"/>
      <c r="BI1957" s="9"/>
      <c r="BJ1957" s="9"/>
      <c r="BK1957" s="9"/>
      <c r="BL1957" s="9"/>
      <c r="BM1957" s="9"/>
      <c r="BN1957" s="9"/>
      <c r="BO1957" s="9"/>
      <c r="BP1957" s="9"/>
      <c r="BQ1957" s="9"/>
      <c r="BR1957" s="9"/>
      <c r="BS1957" s="9"/>
      <c r="BT1957" s="9"/>
      <c r="BU1957" s="9"/>
      <c r="BV1957" s="9"/>
      <c r="BW1957" s="9"/>
    </row>
    <row r="1958" spans="1:75" x14ac:dyDescent="0.25">
      <c r="A1958" s="9"/>
      <c r="B1958" s="9"/>
      <c r="C1958" s="9"/>
      <c r="D1958" s="9"/>
      <c r="E1958" s="9"/>
      <c r="F1958" s="9"/>
      <c r="G1958" s="9"/>
      <c r="H1958" s="9"/>
      <c r="I1958" s="9"/>
      <c r="J1958" s="9"/>
      <c r="K1958" s="9"/>
      <c r="L1958" s="9"/>
      <c r="M1958" s="9"/>
      <c r="N1958" s="9"/>
      <c r="O1958" s="9"/>
      <c r="P1958" s="9"/>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c r="AS1958" s="9"/>
      <c r="AT1958" s="9"/>
      <c r="AU1958" s="9"/>
      <c r="AV1958" s="9"/>
      <c r="AW1958" s="9"/>
      <c r="AX1958" s="9"/>
      <c r="AY1958" s="9"/>
      <c r="AZ1958" s="9"/>
      <c r="BA1958" s="9"/>
      <c r="BB1958" s="9"/>
      <c r="BC1958" s="9"/>
      <c r="BD1958" s="9"/>
      <c r="BE1958" s="9"/>
      <c r="BF1958" s="9"/>
      <c r="BG1958" s="9"/>
      <c r="BH1958" s="9"/>
      <c r="BI1958" s="9"/>
      <c r="BJ1958" s="9"/>
      <c r="BK1958" s="9"/>
      <c r="BL1958" s="9"/>
      <c r="BM1958" s="9"/>
      <c r="BN1958" s="9"/>
      <c r="BO1958" s="9"/>
      <c r="BP1958" s="9"/>
      <c r="BQ1958" s="9"/>
      <c r="BR1958" s="9"/>
      <c r="BS1958" s="9"/>
      <c r="BT1958" s="9"/>
      <c r="BU1958" s="9"/>
      <c r="BV1958" s="9"/>
      <c r="BW1958" s="9"/>
    </row>
    <row r="1959" spans="1:75" x14ac:dyDescent="0.25">
      <c r="A1959" s="9"/>
      <c r="B1959" s="9"/>
      <c r="C1959" s="9"/>
      <c r="D1959" s="9"/>
      <c r="E1959" s="9"/>
      <c r="F1959" s="9"/>
      <c r="G1959" s="9"/>
      <c r="H1959" s="9"/>
      <c r="I1959" s="9"/>
      <c r="J1959" s="9"/>
      <c r="K1959" s="9"/>
      <c r="L1959" s="9"/>
      <c r="M1959" s="9"/>
      <c r="N1959" s="9"/>
      <c r="O1959" s="9"/>
      <c r="P1959" s="9"/>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c r="AQ1959" s="9"/>
      <c r="AR1959" s="9"/>
      <c r="AS1959" s="9"/>
      <c r="AT1959" s="9"/>
      <c r="AU1959" s="9"/>
      <c r="AV1959" s="9"/>
      <c r="AW1959" s="9"/>
      <c r="AX1959" s="9"/>
      <c r="AY1959" s="9"/>
      <c r="AZ1959" s="9"/>
      <c r="BA1959" s="9"/>
      <c r="BB1959" s="9"/>
      <c r="BC1959" s="9"/>
      <c r="BD1959" s="9"/>
      <c r="BE1959" s="9"/>
      <c r="BF1959" s="9"/>
      <c r="BG1959" s="9"/>
      <c r="BH1959" s="9"/>
      <c r="BI1959" s="9"/>
      <c r="BJ1959" s="9"/>
      <c r="BK1959" s="9"/>
      <c r="BL1959" s="9"/>
      <c r="BM1959" s="9"/>
      <c r="BN1959" s="9"/>
      <c r="BO1959" s="9"/>
      <c r="BP1959" s="9"/>
      <c r="BQ1959" s="9"/>
      <c r="BR1959" s="9"/>
      <c r="BS1959" s="9"/>
      <c r="BT1959" s="9"/>
      <c r="BU1959" s="9"/>
      <c r="BV1959" s="9"/>
      <c r="BW1959" s="9"/>
    </row>
    <row r="1960" spans="1:75" x14ac:dyDescent="0.25">
      <c r="A1960" s="9"/>
      <c r="B1960" s="9"/>
      <c r="C1960" s="9"/>
      <c r="D1960" s="9"/>
      <c r="E1960" s="9"/>
      <c r="F1960" s="9"/>
      <c r="G1960" s="9"/>
      <c r="H1960" s="9"/>
      <c r="I1960" s="9"/>
      <c r="J1960" s="9"/>
      <c r="K1960" s="9"/>
      <c r="L1960" s="9"/>
      <c r="M1960" s="9"/>
      <c r="N1960" s="9"/>
      <c r="O1960" s="9"/>
      <c r="P1960" s="9"/>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c r="AQ1960" s="9"/>
      <c r="AR1960" s="9"/>
      <c r="AS1960" s="9"/>
      <c r="AT1960" s="9"/>
      <c r="AU1960" s="9"/>
      <c r="AV1960" s="9"/>
      <c r="AW1960" s="9"/>
      <c r="AX1960" s="9"/>
      <c r="AY1960" s="9"/>
      <c r="AZ1960" s="9"/>
      <c r="BA1960" s="9"/>
      <c r="BB1960" s="9"/>
      <c r="BC1960" s="9"/>
      <c r="BD1960" s="9"/>
      <c r="BE1960" s="9"/>
      <c r="BF1960" s="9"/>
      <c r="BG1960" s="9"/>
      <c r="BH1960" s="9"/>
      <c r="BI1960" s="9"/>
      <c r="BJ1960" s="9"/>
      <c r="BK1960" s="9"/>
      <c r="BL1960" s="9"/>
      <c r="BM1960" s="9"/>
      <c r="BN1960" s="9"/>
      <c r="BO1960" s="9"/>
      <c r="BP1960" s="9"/>
      <c r="BQ1960" s="9"/>
      <c r="BR1960" s="9"/>
      <c r="BS1960" s="9"/>
      <c r="BT1960" s="9"/>
      <c r="BU1960" s="9"/>
      <c r="BV1960" s="9"/>
      <c r="BW1960" s="9"/>
    </row>
    <row r="1961" spans="1:75" x14ac:dyDescent="0.25">
      <c r="A1961" s="9"/>
      <c r="B1961" s="9"/>
      <c r="C1961" s="9"/>
      <c r="D1961" s="9"/>
      <c r="E1961" s="9"/>
      <c r="F1961" s="9"/>
      <c r="G1961" s="9"/>
      <c r="H1961" s="9"/>
      <c r="I1961" s="9"/>
      <c r="J1961" s="9"/>
      <c r="K1961" s="9"/>
      <c r="L1961" s="9"/>
      <c r="M1961" s="9"/>
      <c r="N1961" s="9"/>
      <c r="O1961" s="9"/>
      <c r="P1961" s="9"/>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c r="AQ1961" s="9"/>
      <c r="AR1961" s="9"/>
      <c r="AS1961" s="9"/>
      <c r="AT1961" s="9"/>
      <c r="AU1961" s="9"/>
      <c r="AV1961" s="9"/>
      <c r="AW1961" s="9"/>
      <c r="AX1961" s="9"/>
      <c r="AY1961" s="9"/>
      <c r="AZ1961" s="9"/>
      <c r="BA1961" s="9"/>
      <c r="BB1961" s="9"/>
      <c r="BC1961" s="9"/>
      <c r="BD1961" s="9"/>
      <c r="BE1961" s="9"/>
      <c r="BF1961" s="9"/>
      <c r="BG1961" s="9"/>
      <c r="BH1961" s="9"/>
      <c r="BI1961" s="9"/>
      <c r="BJ1961" s="9"/>
      <c r="BK1961" s="9"/>
      <c r="BL1961" s="9"/>
      <c r="BM1961" s="9"/>
      <c r="BN1961" s="9"/>
      <c r="BO1961" s="9"/>
      <c r="BP1961" s="9"/>
      <c r="BQ1961" s="9"/>
      <c r="BR1961" s="9"/>
      <c r="BS1961" s="9"/>
      <c r="BT1961" s="9"/>
      <c r="BU1961" s="9"/>
      <c r="BV1961" s="9"/>
      <c r="BW1961" s="9"/>
    </row>
    <row r="1962" spans="1:75" x14ac:dyDescent="0.25">
      <c r="A1962" s="9"/>
      <c r="B1962" s="9"/>
      <c r="C1962" s="9"/>
      <c r="D1962" s="9"/>
      <c r="E1962" s="9"/>
      <c r="F1962" s="9"/>
      <c r="G1962" s="9"/>
      <c r="H1962" s="9"/>
      <c r="I1962" s="9"/>
      <c r="J1962" s="9"/>
      <c r="K1962" s="9"/>
      <c r="L1962" s="9"/>
      <c r="M1962" s="9"/>
      <c r="N1962" s="9"/>
      <c r="O1962" s="9"/>
      <c r="P1962" s="9"/>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c r="AQ1962" s="9"/>
      <c r="AR1962" s="9"/>
      <c r="AS1962" s="9"/>
      <c r="AT1962" s="9"/>
      <c r="AU1962" s="9"/>
      <c r="AV1962" s="9"/>
      <c r="AW1962" s="9"/>
      <c r="AX1962" s="9"/>
      <c r="AY1962" s="9"/>
      <c r="AZ1962" s="9"/>
      <c r="BA1962" s="9"/>
      <c r="BB1962" s="9"/>
      <c r="BC1962" s="9"/>
      <c r="BD1962" s="9"/>
      <c r="BE1962" s="9"/>
      <c r="BF1962" s="9"/>
      <c r="BG1962" s="9"/>
      <c r="BH1962" s="9"/>
      <c r="BI1962" s="9"/>
      <c r="BJ1962" s="9"/>
      <c r="BK1962" s="9"/>
      <c r="BL1962" s="9"/>
      <c r="BM1962" s="9"/>
      <c r="BN1962" s="9"/>
      <c r="BO1962" s="9"/>
      <c r="BP1962" s="9"/>
      <c r="BQ1962" s="9"/>
      <c r="BR1962" s="9"/>
      <c r="BS1962" s="9"/>
      <c r="BT1962" s="9"/>
      <c r="BU1962" s="9"/>
      <c r="BV1962" s="9"/>
      <c r="BW1962" s="9"/>
    </row>
    <row r="1963" spans="1:75" x14ac:dyDescent="0.25">
      <c r="A1963" s="9"/>
      <c r="B1963" s="9"/>
      <c r="C1963" s="9"/>
      <c r="D1963" s="9"/>
      <c r="E1963" s="9"/>
      <c r="F1963" s="9"/>
      <c r="G1963" s="9"/>
      <c r="H1963" s="9"/>
      <c r="I1963" s="9"/>
      <c r="J1963" s="9"/>
      <c r="K1963" s="9"/>
      <c r="L1963" s="9"/>
      <c r="M1963" s="9"/>
      <c r="N1963" s="9"/>
      <c r="O1963" s="9"/>
      <c r="P1963" s="9"/>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c r="AQ1963" s="9"/>
      <c r="AR1963" s="9"/>
      <c r="AS1963" s="9"/>
      <c r="AT1963" s="9"/>
      <c r="AU1963" s="9"/>
      <c r="AV1963" s="9"/>
      <c r="AW1963" s="9"/>
      <c r="AX1963" s="9"/>
      <c r="AY1963" s="9"/>
      <c r="AZ1963" s="9"/>
      <c r="BA1963" s="9"/>
      <c r="BB1963" s="9"/>
      <c r="BC1963" s="9"/>
      <c r="BD1963" s="9"/>
      <c r="BE1963" s="9"/>
      <c r="BF1963" s="9"/>
      <c r="BG1963" s="9"/>
      <c r="BH1963" s="9"/>
      <c r="BI1963" s="9"/>
      <c r="BJ1963" s="9"/>
      <c r="BK1963" s="9"/>
      <c r="BL1963" s="9"/>
      <c r="BM1963" s="9"/>
      <c r="BN1963" s="9"/>
      <c r="BO1963" s="9"/>
      <c r="BP1963" s="9"/>
      <c r="BQ1963" s="9"/>
      <c r="BR1963" s="9"/>
      <c r="BS1963" s="9"/>
      <c r="BT1963" s="9"/>
      <c r="BU1963" s="9"/>
      <c r="BV1963" s="9"/>
      <c r="BW1963" s="9"/>
    </row>
    <row r="1964" spans="1:75" x14ac:dyDescent="0.25">
      <c r="A1964" s="9"/>
      <c r="B1964" s="9"/>
      <c r="C1964" s="9"/>
      <c r="D1964" s="9"/>
      <c r="E1964" s="9"/>
      <c r="F1964" s="9"/>
      <c r="G1964" s="9"/>
      <c r="H1964" s="9"/>
      <c r="I1964" s="9"/>
      <c r="J1964" s="9"/>
      <c r="K1964" s="9"/>
      <c r="L1964" s="9"/>
      <c r="M1964" s="9"/>
      <c r="N1964" s="9"/>
      <c r="O1964" s="9"/>
      <c r="P1964" s="9"/>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c r="AQ1964" s="9"/>
      <c r="AR1964" s="9"/>
      <c r="AS1964" s="9"/>
      <c r="AT1964" s="9"/>
      <c r="AU1964" s="9"/>
      <c r="AV1964" s="9"/>
      <c r="AW1964" s="9"/>
      <c r="AX1964" s="9"/>
      <c r="AY1964" s="9"/>
      <c r="AZ1964" s="9"/>
      <c r="BA1964" s="9"/>
      <c r="BB1964" s="9"/>
      <c r="BC1964" s="9"/>
      <c r="BD1964" s="9"/>
      <c r="BE1964" s="9"/>
      <c r="BF1964" s="9"/>
      <c r="BG1964" s="9"/>
      <c r="BH1964" s="9"/>
      <c r="BI1964" s="9"/>
      <c r="BJ1964" s="9"/>
      <c r="BK1964" s="9"/>
      <c r="BL1964" s="9"/>
      <c r="BM1964" s="9"/>
      <c r="BN1964" s="9"/>
      <c r="BO1964" s="9"/>
      <c r="BP1964" s="9"/>
      <c r="BQ1964" s="9"/>
      <c r="BR1964" s="9"/>
      <c r="BS1964" s="9"/>
      <c r="BT1964" s="9"/>
      <c r="BU1964" s="9"/>
      <c r="BV1964" s="9"/>
      <c r="BW1964" s="9"/>
    </row>
    <row r="1965" spans="1:75" x14ac:dyDescent="0.25">
      <c r="A1965" s="9"/>
      <c r="B1965" s="9"/>
      <c r="C1965" s="9"/>
      <c r="D1965" s="9"/>
      <c r="E1965" s="9"/>
      <c r="F1965" s="9"/>
      <c r="G1965" s="9"/>
      <c r="H1965" s="9"/>
      <c r="I1965" s="9"/>
      <c r="J1965" s="9"/>
      <c r="K1965" s="9"/>
      <c r="L1965" s="9"/>
      <c r="M1965" s="9"/>
      <c r="N1965" s="9"/>
      <c r="O1965" s="9"/>
      <c r="P1965" s="9"/>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c r="AQ1965" s="9"/>
      <c r="AR1965" s="9"/>
      <c r="AS1965" s="9"/>
      <c r="AT1965" s="9"/>
      <c r="AU1965" s="9"/>
      <c r="AV1965" s="9"/>
      <c r="AW1965" s="9"/>
      <c r="AX1965" s="9"/>
      <c r="AY1965" s="9"/>
      <c r="AZ1965" s="9"/>
      <c r="BA1965" s="9"/>
      <c r="BB1965" s="9"/>
      <c r="BC1965" s="9"/>
      <c r="BD1965" s="9"/>
      <c r="BE1965" s="9"/>
      <c r="BF1965" s="9"/>
      <c r="BG1965" s="9"/>
      <c r="BH1965" s="9"/>
      <c r="BI1965" s="9"/>
      <c r="BJ1965" s="9"/>
      <c r="BK1965" s="9"/>
      <c r="BL1965" s="9"/>
      <c r="BM1965" s="9"/>
      <c r="BN1965" s="9"/>
      <c r="BO1965" s="9"/>
      <c r="BP1965" s="9"/>
      <c r="BQ1965" s="9"/>
      <c r="BR1965" s="9"/>
      <c r="BS1965" s="9"/>
      <c r="BT1965" s="9"/>
      <c r="BU1965" s="9"/>
      <c r="BV1965" s="9"/>
      <c r="BW1965" s="9"/>
    </row>
    <row r="1966" spans="1:75" x14ac:dyDescent="0.25">
      <c r="A1966" s="9"/>
      <c r="B1966" s="9"/>
      <c r="C1966" s="9"/>
      <c r="D1966" s="9"/>
      <c r="E1966" s="9"/>
      <c r="F1966" s="9"/>
      <c r="G1966" s="9"/>
      <c r="H1966" s="9"/>
      <c r="I1966" s="9"/>
      <c r="J1966" s="9"/>
      <c r="K1966" s="9"/>
      <c r="L1966" s="9"/>
      <c r="M1966" s="9"/>
      <c r="N1966" s="9"/>
      <c r="O1966" s="9"/>
      <c r="P1966" s="9"/>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c r="AQ1966" s="9"/>
      <c r="AR1966" s="9"/>
      <c r="AS1966" s="9"/>
      <c r="AT1966" s="9"/>
      <c r="AU1966" s="9"/>
      <c r="AV1966" s="9"/>
      <c r="AW1966" s="9"/>
      <c r="AX1966" s="9"/>
      <c r="AY1966" s="9"/>
      <c r="AZ1966" s="9"/>
      <c r="BA1966" s="9"/>
      <c r="BB1966" s="9"/>
      <c r="BC1966" s="9"/>
      <c r="BD1966" s="9"/>
      <c r="BE1966" s="9"/>
      <c r="BF1966" s="9"/>
      <c r="BG1966" s="9"/>
      <c r="BH1966" s="9"/>
      <c r="BI1966" s="9"/>
      <c r="BJ1966" s="9"/>
      <c r="BK1966" s="9"/>
      <c r="BL1966" s="9"/>
      <c r="BM1966" s="9"/>
      <c r="BN1966" s="9"/>
      <c r="BO1966" s="9"/>
      <c r="BP1966" s="9"/>
      <c r="BQ1966" s="9"/>
      <c r="BR1966" s="9"/>
      <c r="BS1966" s="9"/>
      <c r="BT1966" s="9"/>
      <c r="BU1966" s="9"/>
      <c r="BV1966" s="9"/>
      <c r="BW1966" s="9"/>
    </row>
    <row r="1967" spans="1:75" x14ac:dyDescent="0.25">
      <c r="A1967" s="9"/>
      <c r="B1967" s="9"/>
      <c r="C1967" s="9"/>
      <c r="D1967" s="9"/>
      <c r="E1967" s="9"/>
      <c r="F1967" s="9"/>
      <c r="G1967" s="9"/>
      <c r="H1967" s="9"/>
      <c r="I1967" s="9"/>
      <c r="J1967" s="9"/>
      <c r="K1967" s="9"/>
      <c r="L1967" s="9"/>
      <c r="M1967" s="9"/>
      <c r="N1967" s="9"/>
      <c r="O1967" s="9"/>
      <c r="P1967" s="9"/>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c r="AQ1967" s="9"/>
      <c r="AR1967" s="9"/>
      <c r="AS1967" s="9"/>
      <c r="AT1967" s="9"/>
      <c r="AU1967" s="9"/>
      <c r="AV1967" s="9"/>
      <c r="AW1967" s="9"/>
      <c r="AX1967" s="9"/>
      <c r="AY1967" s="9"/>
      <c r="AZ1967" s="9"/>
      <c r="BA1967" s="9"/>
      <c r="BB1967" s="9"/>
      <c r="BC1967" s="9"/>
      <c r="BD1967" s="9"/>
      <c r="BE1967" s="9"/>
      <c r="BF1967" s="9"/>
      <c r="BG1967" s="9"/>
      <c r="BH1967" s="9"/>
      <c r="BI1967" s="9"/>
      <c r="BJ1967" s="9"/>
      <c r="BK1967" s="9"/>
      <c r="BL1967" s="9"/>
      <c r="BM1967" s="9"/>
      <c r="BN1967" s="9"/>
      <c r="BO1967" s="9"/>
      <c r="BP1967" s="9"/>
      <c r="BQ1967" s="9"/>
      <c r="BR1967" s="9"/>
      <c r="BS1967" s="9"/>
      <c r="BT1967" s="9"/>
      <c r="BU1967" s="9"/>
      <c r="BV1967" s="9"/>
      <c r="BW1967" s="9"/>
    </row>
    <row r="1968" spans="1:75" x14ac:dyDescent="0.25">
      <c r="A1968" s="9"/>
      <c r="B1968" s="9"/>
      <c r="C1968" s="9"/>
      <c r="D1968" s="9"/>
      <c r="E1968" s="9"/>
      <c r="F1968" s="9"/>
      <c r="G1968" s="9"/>
      <c r="H1968" s="9"/>
      <c r="I1968" s="9"/>
      <c r="J1968" s="9"/>
      <c r="K1968" s="9"/>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c r="AQ1968" s="9"/>
      <c r="AR1968" s="9"/>
      <c r="AS1968" s="9"/>
      <c r="AT1968" s="9"/>
      <c r="AU1968" s="9"/>
      <c r="AV1968" s="9"/>
      <c r="AW1968" s="9"/>
      <c r="AX1968" s="9"/>
      <c r="AY1968" s="9"/>
      <c r="AZ1968" s="9"/>
      <c r="BA1968" s="9"/>
      <c r="BB1968" s="9"/>
      <c r="BC1968" s="9"/>
      <c r="BD1968" s="9"/>
      <c r="BE1968" s="9"/>
      <c r="BF1968" s="9"/>
      <c r="BG1968" s="9"/>
      <c r="BH1968" s="9"/>
      <c r="BI1968" s="9"/>
      <c r="BJ1968" s="9"/>
      <c r="BK1968" s="9"/>
      <c r="BL1968" s="9"/>
      <c r="BM1968" s="9"/>
      <c r="BN1968" s="9"/>
      <c r="BO1968" s="9"/>
      <c r="BP1968" s="9"/>
      <c r="BQ1968" s="9"/>
      <c r="BR1968" s="9"/>
      <c r="BS1968" s="9"/>
      <c r="BT1968" s="9"/>
      <c r="BU1968" s="9"/>
      <c r="BV1968" s="9"/>
      <c r="BW1968" s="9"/>
    </row>
    <row r="1969" spans="1:75" x14ac:dyDescent="0.25">
      <c r="A1969" s="9"/>
      <c r="B1969" s="9"/>
      <c r="C1969" s="9"/>
      <c r="D1969" s="9"/>
      <c r="E1969" s="9"/>
      <c r="F1969" s="9"/>
      <c r="G1969" s="9"/>
      <c r="H1969" s="9"/>
      <c r="I1969" s="9"/>
      <c r="J1969" s="9"/>
      <c r="K1969" s="9"/>
      <c r="L1969" s="9"/>
      <c r="M1969" s="9"/>
      <c r="N1969" s="9"/>
      <c r="O1969" s="9"/>
      <c r="P1969" s="9"/>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c r="AQ1969" s="9"/>
      <c r="AR1969" s="9"/>
      <c r="AS1969" s="9"/>
      <c r="AT1969" s="9"/>
      <c r="AU1969" s="9"/>
      <c r="AV1969" s="9"/>
      <c r="AW1969" s="9"/>
      <c r="AX1969" s="9"/>
      <c r="AY1969" s="9"/>
      <c r="AZ1969" s="9"/>
      <c r="BA1969" s="9"/>
      <c r="BB1969" s="9"/>
      <c r="BC1969" s="9"/>
      <c r="BD1969" s="9"/>
      <c r="BE1969" s="9"/>
      <c r="BF1969" s="9"/>
      <c r="BG1969" s="9"/>
      <c r="BH1969" s="9"/>
      <c r="BI1969" s="9"/>
      <c r="BJ1969" s="9"/>
      <c r="BK1969" s="9"/>
      <c r="BL1969" s="9"/>
      <c r="BM1969" s="9"/>
      <c r="BN1969" s="9"/>
      <c r="BO1969" s="9"/>
      <c r="BP1969" s="9"/>
      <c r="BQ1969" s="9"/>
      <c r="BR1969" s="9"/>
      <c r="BS1969" s="9"/>
      <c r="BT1969" s="9"/>
      <c r="BU1969" s="9"/>
      <c r="BV1969" s="9"/>
      <c r="BW1969" s="9"/>
    </row>
    <row r="1970" spans="1:75" x14ac:dyDescent="0.25">
      <c r="A1970" s="9"/>
      <c r="B1970" s="9"/>
      <c r="C1970" s="9"/>
      <c r="D1970" s="9"/>
      <c r="E1970" s="9"/>
      <c r="F1970" s="9"/>
      <c r="G1970" s="9"/>
      <c r="H1970" s="9"/>
      <c r="I1970" s="9"/>
      <c r="J1970" s="9"/>
      <c r="K1970" s="9"/>
      <c r="L1970" s="9"/>
      <c r="M1970" s="9"/>
      <c r="N1970" s="9"/>
      <c r="O1970" s="9"/>
      <c r="P1970" s="9"/>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c r="AS1970" s="9"/>
      <c r="AT1970" s="9"/>
      <c r="AU1970" s="9"/>
      <c r="AV1970" s="9"/>
      <c r="AW1970" s="9"/>
      <c r="AX1970" s="9"/>
      <c r="AY1970" s="9"/>
      <c r="AZ1970" s="9"/>
      <c r="BA1970" s="9"/>
      <c r="BB1970" s="9"/>
      <c r="BC1970" s="9"/>
      <c r="BD1970" s="9"/>
      <c r="BE1970" s="9"/>
      <c r="BF1970" s="9"/>
      <c r="BG1970" s="9"/>
      <c r="BH1970" s="9"/>
      <c r="BI1970" s="9"/>
      <c r="BJ1970" s="9"/>
      <c r="BK1970" s="9"/>
      <c r="BL1970" s="9"/>
      <c r="BM1970" s="9"/>
      <c r="BN1970" s="9"/>
      <c r="BO1970" s="9"/>
      <c r="BP1970" s="9"/>
      <c r="BQ1970" s="9"/>
      <c r="BR1970" s="9"/>
      <c r="BS1970" s="9"/>
      <c r="BT1970" s="9"/>
      <c r="BU1970" s="9"/>
      <c r="BV1970" s="9"/>
      <c r="BW1970" s="9"/>
    </row>
    <row r="1971" spans="1:75" x14ac:dyDescent="0.25">
      <c r="A1971" s="9"/>
      <c r="B1971" s="9"/>
      <c r="C1971" s="9"/>
      <c r="D1971" s="9"/>
      <c r="E1971" s="9"/>
      <c r="F1971" s="9"/>
      <c r="G1971" s="9"/>
      <c r="H1971" s="9"/>
      <c r="I1971" s="9"/>
      <c r="J1971" s="9"/>
      <c r="K1971" s="9"/>
      <c r="L1971" s="9"/>
      <c r="M1971" s="9"/>
      <c r="N1971" s="9"/>
      <c r="O1971" s="9"/>
      <c r="P1971" s="9"/>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c r="AS1971" s="9"/>
      <c r="AT1971" s="9"/>
      <c r="AU1971" s="9"/>
      <c r="AV1971" s="9"/>
      <c r="AW1971" s="9"/>
      <c r="AX1971" s="9"/>
      <c r="AY1971" s="9"/>
      <c r="AZ1971" s="9"/>
      <c r="BA1971" s="9"/>
      <c r="BB1971" s="9"/>
      <c r="BC1971" s="9"/>
      <c r="BD1971" s="9"/>
      <c r="BE1971" s="9"/>
      <c r="BF1971" s="9"/>
      <c r="BG1971" s="9"/>
      <c r="BH1971" s="9"/>
      <c r="BI1971" s="9"/>
      <c r="BJ1971" s="9"/>
      <c r="BK1971" s="9"/>
      <c r="BL1971" s="9"/>
      <c r="BM1971" s="9"/>
      <c r="BN1971" s="9"/>
      <c r="BO1971" s="9"/>
      <c r="BP1971" s="9"/>
      <c r="BQ1971" s="9"/>
      <c r="BR1971" s="9"/>
      <c r="BS1971" s="9"/>
      <c r="BT1971" s="9"/>
      <c r="BU1971" s="9"/>
      <c r="BV1971" s="9"/>
      <c r="BW1971" s="9"/>
    </row>
    <row r="1972" spans="1:75" x14ac:dyDescent="0.25">
      <c r="A1972" s="9"/>
      <c r="B1972" s="9"/>
      <c r="C1972" s="9"/>
      <c r="D1972" s="9"/>
      <c r="E1972" s="9"/>
      <c r="F1972" s="9"/>
      <c r="G1972" s="9"/>
      <c r="H1972" s="9"/>
      <c r="I1972" s="9"/>
      <c r="J1972" s="9"/>
      <c r="K1972" s="9"/>
      <c r="L1972" s="9"/>
      <c r="M1972" s="9"/>
      <c r="N1972" s="9"/>
      <c r="O1972" s="9"/>
      <c r="P1972" s="9"/>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c r="AQ1972" s="9"/>
      <c r="AR1972" s="9"/>
      <c r="AS1972" s="9"/>
      <c r="AT1972" s="9"/>
      <c r="AU1972" s="9"/>
      <c r="AV1972" s="9"/>
      <c r="AW1972" s="9"/>
      <c r="AX1972" s="9"/>
      <c r="AY1972" s="9"/>
      <c r="AZ1972" s="9"/>
      <c r="BA1972" s="9"/>
      <c r="BB1972" s="9"/>
      <c r="BC1972" s="9"/>
      <c r="BD1972" s="9"/>
      <c r="BE1972" s="9"/>
      <c r="BF1972" s="9"/>
      <c r="BG1972" s="9"/>
      <c r="BH1972" s="9"/>
      <c r="BI1972" s="9"/>
      <c r="BJ1972" s="9"/>
      <c r="BK1972" s="9"/>
      <c r="BL1972" s="9"/>
      <c r="BM1972" s="9"/>
      <c r="BN1972" s="9"/>
      <c r="BO1972" s="9"/>
      <c r="BP1972" s="9"/>
      <c r="BQ1972" s="9"/>
      <c r="BR1972" s="9"/>
      <c r="BS1972" s="9"/>
      <c r="BT1972" s="9"/>
      <c r="BU1972" s="9"/>
      <c r="BV1972" s="9"/>
      <c r="BW1972" s="9"/>
    </row>
    <row r="1973" spans="1:75" x14ac:dyDescent="0.25">
      <c r="A1973" s="9"/>
      <c r="B1973" s="9"/>
      <c r="C1973" s="9"/>
      <c r="D1973" s="9"/>
      <c r="E1973" s="9"/>
      <c r="F1973" s="9"/>
      <c r="G1973" s="9"/>
      <c r="H1973" s="9"/>
      <c r="I1973" s="9"/>
      <c r="J1973" s="9"/>
      <c r="K1973" s="9"/>
      <c r="L1973" s="9"/>
      <c r="M1973" s="9"/>
      <c r="N1973" s="9"/>
      <c r="O1973" s="9"/>
      <c r="P1973" s="9"/>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c r="AQ1973" s="9"/>
      <c r="AR1973" s="9"/>
      <c r="AS1973" s="9"/>
      <c r="AT1973" s="9"/>
      <c r="AU1973" s="9"/>
      <c r="AV1973" s="9"/>
      <c r="AW1973" s="9"/>
      <c r="AX1973" s="9"/>
      <c r="AY1973" s="9"/>
      <c r="AZ1973" s="9"/>
      <c r="BA1973" s="9"/>
      <c r="BB1973" s="9"/>
      <c r="BC1973" s="9"/>
      <c r="BD1973" s="9"/>
      <c r="BE1973" s="9"/>
      <c r="BF1973" s="9"/>
      <c r="BG1973" s="9"/>
      <c r="BH1973" s="9"/>
      <c r="BI1973" s="9"/>
      <c r="BJ1973" s="9"/>
      <c r="BK1973" s="9"/>
      <c r="BL1973" s="9"/>
      <c r="BM1973" s="9"/>
      <c r="BN1973" s="9"/>
      <c r="BO1973" s="9"/>
      <c r="BP1973" s="9"/>
      <c r="BQ1973" s="9"/>
      <c r="BR1973" s="9"/>
      <c r="BS1973" s="9"/>
      <c r="BT1973" s="9"/>
      <c r="BU1973" s="9"/>
      <c r="BV1973" s="9"/>
      <c r="BW1973" s="9"/>
    </row>
    <row r="1974" spans="1:75" x14ac:dyDescent="0.25">
      <c r="A1974" s="9"/>
      <c r="B1974" s="9"/>
      <c r="C1974" s="9"/>
      <c r="D1974" s="9"/>
      <c r="E1974" s="9"/>
      <c r="F1974" s="9"/>
      <c r="G1974" s="9"/>
      <c r="H1974" s="9"/>
      <c r="I1974" s="9"/>
      <c r="J1974" s="9"/>
      <c r="K1974" s="9"/>
      <c r="L1974" s="9"/>
      <c r="M1974" s="9"/>
      <c r="N1974" s="9"/>
      <c r="O1974" s="9"/>
      <c r="P1974" s="9"/>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c r="AQ1974" s="9"/>
      <c r="AR1974" s="9"/>
      <c r="AS1974" s="9"/>
      <c r="AT1974" s="9"/>
      <c r="AU1974" s="9"/>
      <c r="AV1974" s="9"/>
      <c r="AW1974" s="9"/>
      <c r="AX1974" s="9"/>
      <c r="AY1974" s="9"/>
      <c r="AZ1974" s="9"/>
      <c r="BA1974" s="9"/>
      <c r="BB1974" s="9"/>
      <c r="BC1974" s="9"/>
      <c r="BD1974" s="9"/>
      <c r="BE1974" s="9"/>
      <c r="BF1974" s="9"/>
      <c r="BG1974" s="9"/>
      <c r="BH1974" s="9"/>
      <c r="BI1974" s="9"/>
      <c r="BJ1974" s="9"/>
      <c r="BK1974" s="9"/>
      <c r="BL1974" s="9"/>
      <c r="BM1974" s="9"/>
      <c r="BN1974" s="9"/>
      <c r="BO1974" s="9"/>
      <c r="BP1974" s="9"/>
      <c r="BQ1974" s="9"/>
      <c r="BR1974" s="9"/>
      <c r="BS1974" s="9"/>
      <c r="BT1974" s="9"/>
      <c r="BU1974" s="9"/>
      <c r="BV1974" s="9"/>
      <c r="BW1974" s="9"/>
    </row>
    <row r="1975" spans="1:75" x14ac:dyDescent="0.25">
      <c r="A1975" s="9"/>
      <c r="B1975" s="9"/>
      <c r="C1975" s="9"/>
      <c r="D1975" s="9"/>
      <c r="E1975" s="9"/>
      <c r="F1975" s="9"/>
      <c r="G1975" s="9"/>
      <c r="H1975" s="9"/>
      <c r="I1975" s="9"/>
      <c r="J1975" s="9"/>
      <c r="K1975" s="9"/>
      <c r="L1975" s="9"/>
      <c r="M1975" s="9"/>
      <c r="N1975" s="9"/>
      <c r="O1975" s="9"/>
      <c r="P1975" s="9"/>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c r="AQ1975" s="9"/>
      <c r="AR1975" s="9"/>
      <c r="AS1975" s="9"/>
      <c r="AT1975" s="9"/>
      <c r="AU1975" s="9"/>
      <c r="AV1975" s="9"/>
      <c r="AW1975" s="9"/>
      <c r="AX1975" s="9"/>
      <c r="AY1975" s="9"/>
      <c r="AZ1975" s="9"/>
      <c r="BA1975" s="9"/>
      <c r="BB1975" s="9"/>
      <c r="BC1975" s="9"/>
      <c r="BD1975" s="9"/>
      <c r="BE1975" s="9"/>
      <c r="BF1975" s="9"/>
      <c r="BG1975" s="9"/>
      <c r="BH1975" s="9"/>
      <c r="BI1975" s="9"/>
      <c r="BJ1975" s="9"/>
      <c r="BK1975" s="9"/>
      <c r="BL1975" s="9"/>
      <c r="BM1975" s="9"/>
      <c r="BN1975" s="9"/>
      <c r="BO1975" s="9"/>
      <c r="BP1975" s="9"/>
      <c r="BQ1975" s="9"/>
      <c r="BR1975" s="9"/>
      <c r="BS1975" s="9"/>
      <c r="BT1975" s="9"/>
      <c r="BU1975" s="9"/>
      <c r="BV1975" s="9"/>
      <c r="BW1975" s="9"/>
    </row>
    <row r="1976" spans="1:75" x14ac:dyDescent="0.25">
      <c r="A1976" s="9"/>
      <c r="B1976" s="9"/>
      <c r="C1976" s="9"/>
      <c r="D1976" s="9"/>
      <c r="E1976" s="9"/>
      <c r="F1976" s="9"/>
      <c r="G1976" s="9"/>
      <c r="H1976" s="9"/>
      <c r="I1976" s="9"/>
      <c r="J1976" s="9"/>
      <c r="K1976" s="9"/>
      <c r="L1976" s="9"/>
      <c r="M1976" s="9"/>
      <c r="N1976" s="9"/>
      <c r="O1976" s="9"/>
      <c r="P1976" s="9"/>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c r="AQ1976" s="9"/>
      <c r="AR1976" s="9"/>
      <c r="AS1976" s="9"/>
      <c r="AT1976" s="9"/>
      <c r="AU1976" s="9"/>
      <c r="AV1976" s="9"/>
      <c r="AW1976" s="9"/>
      <c r="AX1976" s="9"/>
      <c r="AY1976" s="9"/>
      <c r="AZ1976" s="9"/>
      <c r="BA1976" s="9"/>
      <c r="BB1976" s="9"/>
      <c r="BC1976" s="9"/>
      <c r="BD1976" s="9"/>
      <c r="BE1976" s="9"/>
      <c r="BF1976" s="9"/>
      <c r="BG1976" s="9"/>
      <c r="BH1976" s="9"/>
      <c r="BI1976" s="9"/>
      <c r="BJ1976" s="9"/>
      <c r="BK1976" s="9"/>
      <c r="BL1976" s="9"/>
      <c r="BM1976" s="9"/>
      <c r="BN1976" s="9"/>
      <c r="BO1976" s="9"/>
      <c r="BP1976" s="9"/>
      <c r="BQ1976" s="9"/>
      <c r="BR1976" s="9"/>
      <c r="BS1976" s="9"/>
      <c r="BT1976" s="9"/>
      <c r="BU1976" s="9"/>
      <c r="BV1976" s="9"/>
      <c r="BW1976" s="9"/>
    </row>
    <row r="1977" spans="1:75" x14ac:dyDescent="0.25">
      <c r="A1977" s="9"/>
      <c r="B1977" s="9"/>
      <c r="C1977" s="9"/>
      <c r="D1977" s="9"/>
      <c r="E1977" s="9"/>
      <c r="F1977" s="9"/>
      <c r="G1977" s="9"/>
      <c r="H1977" s="9"/>
      <c r="I1977" s="9"/>
      <c r="J1977" s="9"/>
      <c r="K1977" s="9"/>
      <c r="L1977" s="9"/>
      <c r="M1977" s="9"/>
      <c r="N1977" s="9"/>
      <c r="O1977" s="9"/>
      <c r="P1977" s="9"/>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c r="AQ1977" s="9"/>
      <c r="AR1977" s="9"/>
      <c r="AS1977" s="9"/>
      <c r="AT1977" s="9"/>
      <c r="AU1977" s="9"/>
      <c r="AV1977" s="9"/>
      <c r="AW1977" s="9"/>
      <c r="AX1977" s="9"/>
      <c r="AY1977" s="9"/>
      <c r="AZ1977" s="9"/>
      <c r="BA1977" s="9"/>
      <c r="BB1977" s="9"/>
      <c r="BC1977" s="9"/>
      <c r="BD1977" s="9"/>
      <c r="BE1977" s="9"/>
      <c r="BF1977" s="9"/>
      <c r="BG1977" s="9"/>
      <c r="BH1977" s="9"/>
      <c r="BI1977" s="9"/>
      <c r="BJ1977" s="9"/>
      <c r="BK1977" s="9"/>
      <c r="BL1977" s="9"/>
      <c r="BM1977" s="9"/>
      <c r="BN1977" s="9"/>
      <c r="BO1977" s="9"/>
      <c r="BP1977" s="9"/>
      <c r="BQ1977" s="9"/>
      <c r="BR1977" s="9"/>
      <c r="BS1977" s="9"/>
      <c r="BT1977" s="9"/>
      <c r="BU1977" s="9"/>
      <c r="BV1977" s="9"/>
      <c r="BW1977" s="9"/>
    </row>
    <row r="1978" spans="1:75" x14ac:dyDescent="0.25">
      <c r="A1978" s="9"/>
      <c r="B1978" s="9"/>
      <c r="C1978" s="9"/>
      <c r="D1978" s="9"/>
      <c r="E1978" s="9"/>
      <c r="F1978" s="9"/>
      <c r="G1978" s="9"/>
      <c r="H1978" s="9"/>
      <c r="I1978" s="9"/>
      <c r="J1978" s="9"/>
      <c r="K1978" s="9"/>
      <c r="L1978" s="9"/>
      <c r="M1978" s="9"/>
      <c r="N1978" s="9"/>
      <c r="O1978" s="9"/>
      <c r="P1978" s="9"/>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c r="AQ1978" s="9"/>
      <c r="AR1978" s="9"/>
      <c r="AS1978" s="9"/>
      <c r="AT1978" s="9"/>
      <c r="AU1978" s="9"/>
      <c r="AV1978" s="9"/>
      <c r="AW1978" s="9"/>
      <c r="AX1978" s="9"/>
      <c r="AY1978" s="9"/>
      <c r="AZ1978" s="9"/>
      <c r="BA1978" s="9"/>
      <c r="BB1978" s="9"/>
      <c r="BC1978" s="9"/>
      <c r="BD1978" s="9"/>
      <c r="BE1978" s="9"/>
      <c r="BF1978" s="9"/>
      <c r="BG1978" s="9"/>
      <c r="BH1978" s="9"/>
      <c r="BI1978" s="9"/>
      <c r="BJ1978" s="9"/>
      <c r="BK1978" s="9"/>
      <c r="BL1978" s="9"/>
      <c r="BM1978" s="9"/>
      <c r="BN1978" s="9"/>
      <c r="BO1978" s="9"/>
      <c r="BP1978" s="9"/>
      <c r="BQ1978" s="9"/>
      <c r="BR1978" s="9"/>
      <c r="BS1978" s="9"/>
      <c r="BT1978" s="9"/>
      <c r="BU1978" s="9"/>
      <c r="BV1978" s="9"/>
      <c r="BW1978" s="9"/>
    </row>
    <row r="1979" spans="1:75" x14ac:dyDescent="0.25">
      <c r="A1979" s="9"/>
      <c r="B1979" s="9"/>
      <c r="C1979" s="9"/>
      <c r="D1979" s="9"/>
      <c r="E1979" s="9"/>
      <c r="F1979" s="9"/>
      <c r="G1979" s="9"/>
      <c r="H1979" s="9"/>
      <c r="I1979" s="9"/>
      <c r="J1979" s="9"/>
      <c r="K1979" s="9"/>
      <c r="L1979" s="9"/>
      <c r="M1979" s="9"/>
      <c r="N1979" s="9"/>
      <c r="O1979" s="9"/>
      <c r="P1979" s="9"/>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c r="AQ1979" s="9"/>
      <c r="AR1979" s="9"/>
      <c r="AS1979" s="9"/>
      <c r="AT1979" s="9"/>
      <c r="AU1979" s="9"/>
      <c r="AV1979" s="9"/>
      <c r="AW1979" s="9"/>
      <c r="AX1979" s="9"/>
      <c r="AY1979" s="9"/>
      <c r="AZ1979" s="9"/>
      <c r="BA1979" s="9"/>
      <c r="BB1979" s="9"/>
      <c r="BC1979" s="9"/>
      <c r="BD1979" s="9"/>
      <c r="BE1979" s="9"/>
      <c r="BF1979" s="9"/>
      <c r="BG1979" s="9"/>
      <c r="BH1979" s="9"/>
      <c r="BI1979" s="9"/>
      <c r="BJ1979" s="9"/>
      <c r="BK1979" s="9"/>
      <c r="BL1979" s="9"/>
      <c r="BM1979" s="9"/>
      <c r="BN1979" s="9"/>
      <c r="BO1979" s="9"/>
      <c r="BP1979" s="9"/>
      <c r="BQ1979" s="9"/>
      <c r="BR1979" s="9"/>
      <c r="BS1979" s="9"/>
      <c r="BT1979" s="9"/>
      <c r="BU1979" s="9"/>
      <c r="BV1979" s="9"/>
      <c r="BW1979" s="9"/>
    </row>
    <row r="1980" spans="1:75" x14ac:dyDescent="0.25">
      <c r="A1980" s="9"/>
      <c r="B1980" s="9"/>
      <c r="C1980" s="9"/>
      <c r="D1980" s="9"/>
      <c r="E1980" s="9"/>
      <c r="F1980" s="9"/>
      <c r="G1980" s="9"/>
      <c r="H1980" s="9"/>
      <c r="I1980" s="9"/>
      <c r="J1980" s="9"/>
      <c r="K1980" s="9"/>
      <c r="L1980" s="9"/>
      <c r="M1980" s="9"/>
      <c r="N1980" s="9"/>
      <c r="O1980" s="9"/>
      <c r="P1980" s="9"/>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c r="AS1980" s="9"/>
      <c r="AT1980" s="9"/>
      <c r="AU1980" s="9"/>
      <c r="AV1980" s="9"/>
      <c r="AW1980" s="9"/>
      <c r="AX1980" s="9"/>
      <c r="AY1980" s="9"/>
      <c r="AZ1980" s="9"/>
      <c r="BA1980" s="9"/>
      <c r="BB1980" s="9"/>
      <c r="BC1980" s="9"/>
      <c r="BD1980" s="9"/>
      <c r="BE1980" s="9"/>
      <c r="BF1980" s="9"/>
      <c r="BG1980" s="9"/>
      <c r="BH1980" s="9"/>
      <c r="BI1980" s="9"/>
      <c r="BJ1980" s="9"/>
      <c r="BK1980" s="9"/>
      <c r="BL1980" s="9"/>
      <c r="BM1980" s="9"/>
      <c r="BN1980" s="9"/>
      <c r="BO1980" s="9"/>
      <c r="BP1980" s="9"/>
      <c r="BQ1980" s="9"/>
      <c r="BR1980" s="9"/>
      <c r="BS1980" s="9"/>
      <c r="BT1980" s="9"/>
      <c r="BU1980" s="9"/>
      <c r="BV1980" s="9"/>
      <c r="BW1980" s="9"/>
    </row>
    <row r="1981" spans="1:75" x14ac:dyDescent="0.25">
      <c r="A1981" s="9"/>
      <c r="B1981" s="9"/>
      <c r="C1981" s="9"/>
      <c r="D1981" s="9"/>
      <c r="E1981" s="9"/>
      <c r="F1981" s="9"/>
      <c r="G1981" s="9"/>
      <c r="H1981" s="9"/>
      <c r="I1981" s="9"/>
      <c r="J1981" s="9"/>
      <c r="K1981" s="9"/>
      <c r="L1981" s="9"/>
      <c r="M1981" s="9"/>
      <c r="N1981" s="9"/>
      <c r="O1981" s="9"/>
      <c r="P1981" s="9"/>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c r="AQ1981" s="9"/>
      <c r="AR1981" s="9"/>
      <c r="AS1981" s="9"/>
      <c r="AT1981" s="9"/>
      <c r="AU1981" s="9"/>
      <c r="AV1981" s="9"/>
      <c r="AW1981" s="9"/>
      <c r="AX1981" s="9"/>
      <c r="AY1981" s="9"/>
      <c r="AZ1981" s="9"/>
      <c r="BA1981" s="9"/>
      <c r="BB1981" s="9"/>
      <c r="BC1981" s="9"/>
      <c r="BD1981" s="9"/>
      <c r="BE1981" s="9"/>
      <c r="BF1981" s="9"/>
      <c r="BG1981" s="9"/>
      <c r="BH1981" s="9"/>
      <c r="BI1981" s="9"/>
      <c r="BJ1981" s="9"/>
      <c r="BK1981" s="9"/>
      <c r="BL1981" s="9"/>
      <c r="BM1981" s="9"/>
      <c r="BN1981" s="9"/>
      <c r="BO1981" s="9"/>
      <c r="BP1981" s="9"/>
      <c r="BQ1981" s="9"/>
      <c r="BR1981" s="9"/>
      <c r="BS1981" s="9"/>
      <c r="BT1981" s="9"/>
      <c r="BU1981" s="9"/>
      <c r="BV1981" s="9"/>
      <c r="BW1981" s="9"/>
    </row>
    <row r="1982" spans="1:75" x14ac:dyDescent="0.25">
      <c r="A1982" s="9"/>
      <c r="B1982" s="9"/>
      <c r="C1982" s="9"/>
      <c r="D1982" s="9"/>
      <c r="E1982" s="9"/>
      <c r="F1982" s="9"/>
      <c r="G1982" s="9"/>
      <c r="H1982" s="9"/>
      <c r="I1982" s="9"/>
      <c r="J1982" s="9"/>
      <c r="K1982" s="9"/>
      <c r="L1982" s="9"/>
      <c r="M1982" s="9"/>
      <c r="N1982" s="9"/>
      <c r="O1982" s="9"/>
      <c r="P1982" s="9"/>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c r="AQ1982" s="9"/>
      <c r="AR1982" s="9"/>
      <c r="AS1982" s="9"/>
      <c r="AT1982" s="9"/>
      <c r="AU1982" s="9"/>
      <c r="AV1982" s="9"/>
      <c r="AW1982" s="9"/>
      <c r="AX1982" s="9"/>
      <c r="AY1982" s="9"/>
      <c r="AZ1982" s="9"/>
      <c r="BA1982" s="9"/>
      <c r="BB1982" s="9"/>
      <c r="BC1982" s="9"/>
      <c r="BD1982" s="9"/>
      <c r="BE1982" s="9"/>
      <c r="BF1982" s="9"/>
      <c r="BG1982" s="9"/>
      <c r="BH1982" s="9"/>
      <c r="BI1982" s="9"/>
      <c r="BJ1982" s="9"/>
      <c r="BK1982" s="9"/>
      <c r="BL1982" s="9"/>
      <c r="BM1982" s="9"/>
      <c r="BN1982" s="9"/>
      <c r="BO1982" s="9"/>
      <c r="BP1982" s="9"/>
      <c r="BQ1982" s="9"/>
      <c r="BR1982" s="9"/>
      <c r="BS1982" s="9"/>
      <c r="BT1982" s="9"/>
      <c r="BU1982" s="9"/>
      <c r="BV1982" s="9"/>
      <c r="BW1982" s="9"/>
    </row>
    <row r="1983" spans="1:75" x14ac:dyDescent="0.25">
      <c r="A1983" s="9"/>
      <c r="B1983" s="9"/>
      <c r="C1983" s="9"/>
      <c r="D1983" s="9"/>
      <c r="E1983" s="9"/>
      <c r="F1983" s="9"/>
      <c r="G1983" s="9"/>
      <c r="H1983" s="9"/>
      <c r="I1983" s="9"/>
      <c r="J1983" s="9"/>
      <c r="K1983" s="9"/>
      <c r="L1983" s="9"/>
      <c r="M1983" s="9"/>
      <c r="N1983" s="9"/>
      <c r="O1983" s="9"/>
      <c r="P1983" s="9"/>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c r="AQ1983" s="9"/>
      <c r="AR1983" s="9"/>
      <c r="AS1983" s="9"/>
      <c r="AT1983" s="9"/>
      <c r="AU1983" s="9"/>
      <c r="AV1983" s="9"/>
      <c r="AW1983" s="9"/>
      <c r="AX1983" s="9"/>
      <c r="AY1983" s="9"/>
      <c r="AZ1983" s="9"/>
      <c r="BA1983" s="9"/>
      <c r="BB1983" s="9"/>
      <c r="BC1983" s="9"/>
      <c r="BD1983" s="9"/>
      <c r="BE1983" s="9"/>
      <c r="BF1983" s="9"/>
      <c r="BG1983" s="9"/>
      <c r="BH1983" s="9"/>
      <c r="BI1983" s="9"/>
      <c r="BJ1983" s="9"/>
      <c r="BK1983" s="9"/>
      <c r="BL1983" s="9"/>
      <c r="BM1983" s="9"/>
      <c r="BN1983" s="9"/>
      <c r="BO1983" s="9"/>
      <c r="BP1983" s="9"/>
      <c r="BQ1983" s="9"/>
      <c r="BR1983" s="9"/>
      <c r="BS1983" s="9"/>
      <c r="BT1983" s="9"/>
      <c r="BU1983" s="9"/>
      <c r="BV1983" s="9"/>
      <c r="BW1983" s="9"/>
    </row>
    <row r="1984" spans="1:75" x14ac:dyDescent="0.25">
      <c r="A1984" s="9"/>
      <c r="B1984" s="9"/>
      <c r="C1984" s="9"/>
      <c r="D1984" s="9"/>
      <c r="E1984" s="9"/>
      <c r="F1984" s="9"/>
      <c r="G1984" s="9"/>
      <c r="H1984" s="9"/>
      <c r="I1984" s="9"/>
      <c r="J1984" s="9"/>
      <c r="K1984" s="9"/>
      <c r="L1984" s="9"/>
      <c r="M1984" s="9"/>
      <c r="N1984" s="9"/>
      <c r="O1984" s="9"/>
      <c r="P1984" s="9"/>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c r="AQ1984" s="9"/>
      <c r="AR1984" s="9"/>
      <c r="AS1984" s="9"/>
      <c r="AT1984" s="9"/>
      <c r="AU1984" s="9"/>
      <c r="AV1984" s="9"/>
      <c r="AW1984" s="9"/>
      <c r="AX1984" s="9"/>
      <c r="AY1984" s="9"/>
      <c r="AZ1984" s="9"/>
      <c r="BA1984" s="9"/>
      <c r="BB1984" s="9"/>
      <c r="BC1984" s="9"/>
      <c r="BD1984" s="9"/>
      <c r="BE1984" s="9"/>
      <c r="BF1984" s="9"/>
      <c r="BG1984" s="9"/>
      <c r="BH1984" s="9"/>
      <c r="BI1984" s="9"/>
      <c r="BJ1984" s="9"/>
      <c r="BK1984" s="9"/>
      <c r="BL1984" s="9"/>
      <c r="BM1984" s="9"/>
      <c r="BN1984" s="9"/>
      <c r="BO1984" s="9"/>
      <c r="BP1984" s="9"/>
      <c r="BQ1984" s="9"/>
      <c r="BR1984" s="9"/>
      <c r="BS1984" s="9"/>
      <c r="BT1984" s="9"/>
      <c r="BU1984" s="9"/>
      <c r="BV1984" s="9"/>
      <c r="BW1984" s="9"/>
    </row>
    <row r="1985" spans="1:75" x14ac:dyDescent="0.25">
      <c r="A1985" s="9"/>
      <c r="B1985" s="9"/>
      <c r="C1985" s="9"/>
      <c r="D1985" s="9"/>
      <c r="E1985" s="9"/>
      <c r="F1985" s="9"/>
      <c r="G1985" s="9"/>
      <c r="H1985" s="9"/>
      <c r="I1985" s="9"/>
      <c r="J1985" s="9"/>
      <c r="K1985" s="9"/>
      <c r="L1985" s="9"/>
      <c r="M1985" s="9"/>
      <c r="N1985" s="9"/>
      <c r="O1985" s="9"/>
      <c r="P1985" s="9"/>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c r="AQ1985" s="9"/>
      <c r="AR1985" s="9"/>
      <c r="AS1985" s="9"/>
      <c r="AT1985" s="9"/>
      <c r="AU1985" s="9"/>
      <c r="AV1985" s="9"/>
      <c r="AW1985" s="9"/>
      <c r="AX1985" s="9"/>
      <c r="AY1985" s="9"/>
      <c r="AZ1985" s="9"/>
      <c r="BA1985" s="9"/>
      <c r="BB1985" s="9"/>
      <c r="BC1985" s="9"/>
      <c r="BD1985" s="9"/>
      <c r="BE1985" s="9"/>
      <c r="BF1985" s="9"/>
      <c r="BG1985" s="9"/>
      <c r="BH1985" s="9"/>
      <c r="BI1985" s="9"/>
      <c r="BJ1985" s="9"/>
      <c r="BK1985" s="9"/>
      <c r="BL1985" s="9"/>
      <c r="BM1985" s="9"/>
      <c r="BN1985" s="9"/>
      <c r="BO1985" s="9"/>
      <c r="BP1985" s="9"/>
      <c r="BQ1985" s="9"/>
      <c r="BR1985" s="9"/>
      <c r="BS1985" s="9"/>
      <c r="BT1985" s="9"/>
      <c r="BU1985" s="9"/>
      <c r="BV1985" s="9"/>
      <c r="BW1985" s="9"/>
    </row>
    <row r="1986" spans="1:75" x14ac:dyDescent="0.25">
      <c r="A1986" s="9"/>
      <c r="B1986" s="9"/>
      <c r="C1986" s="9"/>
      <c r="D1986" s="9"/>
      <c r="E1986" s="9"/>
      <c r="F1986" s="9"/>
      <c r="G1986" s="9"/>
      <c r="H1986" s="9"/>
      <c r="I1986" s="9"/>
      <c r="J1986" s="9"/>
      <c r="K1986" s="9"/>
      <c r="L1986" s="9"/>
      <c r="M1986" s="9"/>
      <c r="N1986" s="9"/>
      <c r="O1986" s="9"/>
      <c r="P1986" s="9"/>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c r="AQ1986" s="9"/>
      <c r="AR1986" s="9"/>
      <c r="AS1986" s="9"/>
      <c r="AT1986" s="9"/>
      <c r="AU1986" s="9"/>
      <c r="AV1986" s="9"/>
      <c r="AW1986" s="9"/>
      <c r="AX1986" s="9"/>
      <c r="AY1986" s="9"/>
      <c r="AZ1986" s="9"/>
      <c r="BA1986" s="9"/>
      <c r="BB1986" s="9"/>
      <c r="BC1986" s="9"/>
      <c r="BD1986" s="9"/>
      <c r="BE1986" s="9"/>
      <c r="BF1986" s="9"/>
      <c r="BG1986" s="9"/>
      <c r="BH1986" s="9"/>
      <c r="BI1986" s="9"/>
      <c r="BJ1986" s="9"/>
      <c r="BK1986" s="9"/>
      <c r="BL1986" s="9"/>
      <c r="BM1986" s="9"/>
      <c r="BN1986" s="9"/>
      <c r="BO1986" s="9"/>
      <c r="BP1986" s="9"/>
      <c r="BQ1986" s="9"/>
      <c r="BR1986" s="9"/>
      <c r="BS1986" s="9"/>
      <c r="BT1986" s="9"/>
      <c r="BU1986" s="9"/>
      <c r="BV1986" s="9"/>
      <c r="BW1986" s="9"/>
    </row>
    <row r="1987" spans="1:75" x14ac:dyDescent="0.25">
      <c r="A1987" s="9"/>
      <c r="B1987" s="9"/>
      <c r="C1987" s="9"/>
      <c r="D1987" s="9"/>
      <c r="E1987" s="9"/>
      <c r="F1987" s="9"/>
      <c r="G1987" s="9"/>
      <c r="H1987" s="9"/>
      <c r="I1987" s="9"/>
      <c r="J1987" s="9"/>
      <c r="K1987" s="9"/>
      <c r="L1987" s="9"/>
      <c r="M1987" s="9"/>
      <c r="N1987" s="9"/>
      <c r="O1987" s="9"/>
      <c r="P1987" s="9"/>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c r="AQ1987" s="9"/>
      <c r="AR1987" s="9"/>
      <c r="AS1987" s="9"/>
      <c r="AT1987" s="9"/>
      <c r="AU1987" s="9"/>
      <c r="AV1987" s="9"/>
      <c r="AW1987" s="9"/>
      <c r="AX1987" s="9"/>
      <c r="AY1987" s="9"/>
      <c r="AZ1987" s="9"/>
      <c r="BA1987" s="9"/>
      <c r="BB1987" s="9"/>
      <c r="BC1987" s="9"/>
      <c r="BD1987" s="9"/>
      <c r="BE1987" s="9"/>
      <c r="BF1987" s="9"/>
      <c r="BG1987" s="9"/>
      <c r="BH1987" s="9"/>
      <c r="BI1987" s="9"/>
      <c r="BJ1987" s="9"/>
      <c r="BK1987" s="9"/>
      <c r="BL1987" s="9"/>
      <c r="BM1987" s="9"/>
      <c r="BN1987" s="9"/>
      <c r="BO1987" s="9"/>
      <c r="BP1987" s="9"/>
      <c r="BQ1987" s="9"/>
      <c r="BR1987" s="9"/>
      <c r="BS1987" s="9"/>
      <c r="BT1987" s="9"/>
      <c r="BU1987" s="9"/>
      <c r="BV1987" s="9"/>
      <c r="BW1987" s="9"/>
    </row>
    <row r="1988" spans="1:75" x14ac:dyDescent="0.25">
      <c r="A1988" s="9"/>
      <c r="B1988" s="9"/>
      <c r="C1988" s="9"/>
      <c r="D1988" s="9"/>
      <c r="E1988" s="9"/>
      <c r="F1988" s="9"/>
      <c r="G1988" s="9"/>
      <c r="H1988" s="9"/>
      <c r="I1988" s="9"/>
      <c r="J1988" s="9"/>
      <c r="K1988" s="9"/>
      <c r="L1988" s="9"/>
      <c r="M1988" s="9"/>
      <c r="N1988" s="9"/>
      <c r="O1988" s="9"/>
      <c r="P1988" s="9"/>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c r="AQ1988" s="9"/>
      <c r="AR1988" s="9"/>
      <c r="AS1988" s="9"/>
      <c r="AT1988" s="9"/>
      <c r="AU1988" s="9"/>
      <c r="AV1988" s="9"/>
      <c r="AW1988" s="9"/>
      <c r="AX1988" s="9"/>
      <c r="AY1988" s="9"/>
      <c r="AZ1988" s="9"/>
      <c r="BA1988" s="9"/>
      <c r="BB1988" s="9"/>
      <c r="BC1988" s="9"/>
      <c r="BD1988" s="9"/>
      <c r="BE1988" s="9"/>
      <c r="BF1988" s="9"/>
      <c r="BG1988" s="9"/>
      <c r="BH1988" s="9"/>
      <c r="BI1988" s="9"/>
      <c r="BJ1988" s="9"/>
      <c r="BK1988" s="9"/>
      <c r="BL1988" s="9"/>
      <c r="BM1988" s="9"/>
      <c r="BN1988" s="9"/>
      <c r="BO1988" s="9"/>
      <c r="BP1988" s="9"/>
      <c r="BQ1988" s="9"/>
      <c r="BR1988" s="9"/>
      <c r="BS1988" s="9"/>
      <c r="BT1988" s="9"/>
      <c r="BU1988" s="9"/>
      <c r="BV1988" s="9"/>
      <c r="BW1988" s="9"/>
    </row>
    <row r="1989" spans="1:75" x14ac:dyDescent="0.25">
      <c r="A1989" s="9"/>
      <c r="B1989" s="9"/>
      <c r="C1989" s="9"/>
      <c r="D1989" s="9"/>
      <c r="E1989" s="9"/>
      <c r="F1989" s="9"/>
      <c r="G1989" s="9"/>
      <c r="H1989" s="9"/>
      <c r="I1989" s="9"/>
      <c r="J1989" s="9"/>
      <c r="K1989" s="9"/>
      <c r="L1989" s="9"/>
      <c r="M1989" s="9"/>
      <c r="N1989" s="9"/>
      <c r="O1989" s="9"/>
      <c r="P1989" s="9"/>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c r="AQ1989" s="9"/>
      <c r="AR1989" s="9"/>
      <c r="AS1989" s="9"/>
      <c r="AT1989" s="9"/>
      <c r="AU1989" s="9"/>
      <c r="AV1989" s="9"/>
      <c r="AW1989" s="9"/>
      <c r="AX1989" s="9"/>
      <c r="AY1989" s="9"/>
      <c r="AZ1989" s="9"/>
      <c r="BA1989" s="9"/>
      <c r="BB1989" s="9"/>
      <c r="BC1989" s="9"/>
      <c r="BD1989" s="9"/>
      <c r="BE1989" s="9"/>
      <c r="BF1989" s="9"/>
      <c r="BG1989" s="9"/>
      <c r="BH1989" s="9"/>
      <c r="BI1989" s="9"/>
      <c r="BJ1989" s="9"/>
      <c r="BK1989" s="9"/>
      <c r="BL1989" s="9"/>
      <c r="BM1989" s="9"/>
      <c r="BN1989" s="9"/>
      <c r="BO1989" s="9"/>
      <c r="BP1989" s="9"/>
      <c r="BQ1989" s="9"/>
      <c r="BR1989" s="9"/>
      <c r="BS1989" s="9"/>
      <c r="BT1989" s="9"/>
      <c r="BU1989" s="9"/>
      <c r="BV1989" s="9"/>
      <c r="BW1989" s="9"/>
    </row>
    <row r="1990" spans="1:75" x14ac:dyDescent="0.25">
      <c r="A1990" s="9"/>
      <c r="B1990" s="9"/>
      <c r="C1990" s="9"/>
      <c r="D1990" s="9"/>
      <c r="E1990" s="9"/>
      <c r="F1990" s="9"/>
      <c r="G1990" s="9"/>
      <c r="H1990" s="9"/>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c r="AS1990" s="9"/>
      <c r="AT1990" s="9"/>
      <c r="AU1990" s="9"/>
      <c r="AV1990" s="9"/>
      <c r="AW1990" s="9"/>
      <c r="AX1990" s="9"/>
      <c r="AY1990" s="9"/>
      <c r="AZ1990" s="9"/>
      <c r="BA1990" s="9"/>
      <c r="BB1990" s="9"/>
      <c r="BC1990" s="9"/>
      <c r="BD1990" s="9"/>
      <c r="BE1990" s="9"/>
      <c r="BF1990" s="9"/>
      <c r="BG1990" s="9"/>
      <c r="BH1990" s="9"/>
      <c r="BI1990" s="9"/>
      <c r="BJ1990" s="9"/>
      <c r="BK1990" s="9"/>
      <c r="BL1990" s="9"/>
      <c r="BM1990" s="9"/>
      <c r="BN1990" s="9"/>
      <c r="BO1990" s="9"/>
      <c r="BP1990" s="9"/>
      <c r="BQ1990" s="9"/>
      <c r="BR1990" s="9"/>
      <c r="BS1990" s="9"/>
      <c r="BT1990" s="9"/>
      <c r="BU1990" s="9"/>
      <c r="BV1990" s="9"/>
      <c r="BW1990" s="9"/>
    </row>
    <row r="1991" spans="1:75" x14ac:dyDescent="0.25">
      <c r="A1991" s="9"/>
      <c r="B1991" s="9"/>
      <c r="C1991" s="9"/>
      <c r="D1991" s="9"/>
      <c r="E1991" s="9"/>
      <c r="F1991" s="9"/>
      <c r="G1991" s="9"/>
      <c r="H1991" s="9"/>
      <c r="I1991" s="9"/>
      <c r="J1991" s="9"/>
      <c r="K1991" s="9"/>
      <c r="L1991" s="9"/>
      <c r="M1991" s="9"/>
      <c r="N1991" s="9"/>
      <c r="O1991" s="9"/>
      <c r="P1991" s="9"/>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c r="AQ1991" s="9"/>
      <c r="AR1991" s="9"/>
      <c r="AS1991" s="9"/>
      <c r="AT1991" s="9"/>
      <c r="AU1991" s="9"/>
      <c r="AV1991" s="9"/>
      <c r="AW1991" s="9"/>
      <c r="AX1991" s="9"/>
      <c r="AY1991" s="9"/>
      <c r="AZ1991" s="9"/>
      <c r="BA1991" s="9"/>
      <c r="BB1991" s="9"/>
      <c r="BC1991" s="9"/>
      <c r="BD1991" s="9"/>
      <c r="BE1991" s="9"/>
      <c r="BF1991" s="9"/>
      <c r="BG1991" s="9"/>
      <c r="BH1991" s="9"/>
      <c r="BI1991" s="9"/>
      <c r="BJ1991" s="9"/>
      <c r="BK1991" s="9"/>
      <c r="BL1991" s="9"/>
      <c r="BM1991" s="9"/>
      <c r="BN1991" s="9"/>
      <c r="BO1991" s="9"/>
      <c r="BP1991" s="9"/>
      <c r="BQ1991" s="9"/>
      <c r="BR1991" s="9"/>
      <c r="BS1991" s="9"/>
      <c r="BT1991" s="9"/>
      <c r="BU1991" s="9"/>
      <c r="BV1991" s="9"/>
      <c r="BW1991" s="9"/>
    </row>
    <row r="1992" spans="1:75" x14ac:dyDescent="0.25">
      <c r="A1992" s="9"/>
      <c r="B1992" s="9"/>
      <c r="C1992" s="9"/>
      <c r="D1992" s="9"/>
      <c r="E1992" s="9"/>
      <c r="F1992" s="9"/>
      <c r="G1992" s="9"/>
      <c r="H1992" s="9"/>
      <c r="I1992" s="9"/>
      <c r="J1992" s="9"/>
      <c r="K1992" s="9"/>
      <c r="L1992" s="9"/>
      <c r="M1992" s="9"/>
      <c r="N1992" s="9"/>
      <c r="O1992" s="9"/>
      <c r="P1992" s="9"/>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c r="AS1992" s="9"/>
      <c r="AT1992" s="9"/>
      <c r="AU1992" s="9"/>
      <c r="AV1992" s="9"/>
      <c r="AW1992" s="9"/>
      <c r="AX1992" s="9"/>
      <c r="AY1992" s="9"/>
      <c r="AZ1992" s="9"/>
      <c r="BA1992" s="9"/>
      <c r="BB1992" s="9"/>
      <c r="BC1992" s="9"/>
      <c r="BD1992" s="9"/>
      <c r="BE1992" s="9"/>
      <c r="BF1992" s="9"/>
      <c r="BG1992" s="9"/>
      <c r="BH1992" s="9"/>
      <c r="BI1992" s="9"/>
      <c r="BJ1992" s="9"/>
      <c r="BK1992" s="9"/>
      <c r="BL1992" s="9"/>
      <c r="BM1992" s="9"/>
      <c r="BN1992" s="9"/>
      <c r="BO1992" s="9"/>
      <c r="BP1992" s="9"/>
      <c r="BQ1992" s="9"/>
      <c r="BR1992" s="9"/>
      <c r="BS1992" s="9"/>
      <c r="BT1992" s="9"/>
      <c r="BU1992" s="9"/>
      <c r="BV1992" s="9"/>
      <c r="BW1992" s="9"/>
    </row>
    <row r="1993" spans="1:75" x14ac:dyDescent="0.25">
      <c r="A1993" s="9"/>
      <c r="B1993" s="9"/>
      <c r="C1993" s="9"/>
      <c r="D1993" s="9"/>
      <c r="E1993" s="9"/>
      <c r="F1993" s="9"/>
      <c r="G1993" s="9"/>
      <c r="H1993" s="9"/>
      <c r="I1993" s="9"/>
      <c r="J1993" s="9"/>
      <c r="K1993" s="9"/>
      <c r="L1993" s="9"/>
      <c r="M1993" s="9"/>
      <c r="N1993" s="9"/>
      <c r="O1993" s="9"/>
      <c r="P1993" s="9"/>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c r="AS1993" s="9"/>
      <c r="AT1993" s="9"/>
      <c r="AU1993" s="9"/>
      <c r="AV1993" s="9"/>
      <c r="AW1993" s="9"/>
      <c r="AX1993" s="9"/>
      <c r="AY1993" s="9"/>
      <c r="AZ1993" s="9"/>
      <c r="BA1993" s="9"/>
      <c r="BB1993" s="9"/>
      <c r="BC1993" s="9"/>
      <c r="BD1993" s="9"/>
      <c r="BE1993" s="9"/>
      <c r="BF1993" s="9"/>
      <c r="BG1993" s="9"/>
      <c r="BH1993" s="9"/>
      <c r="BI1993" s="9"/>
      <c r="BJ1993" s="9"/>
      <c r="BK1993" s="9"/>
      <c r="BL1993" s="9"/>
      <c r="BM1993" s="9"/>
      <c r="BN1993" s="9"/>
      <c r="BO1993" s="9"/>
      <c r="BP1993" s="9"/>
      <c r="BQ1993" s="9"/>
      <c r="BR1993" s="9"/>
      <c r="BS1993" s="9"/>
      <c r="BT1993" s="9"/>
      <c r="BU1993" s="9"/>
      <c r="BV1993" s="9"/>
      <c r="BW1993" s="9"/>
    </row>
    <row r="1994" spans="1:75" x14ac:dyDescent="0.25">
      <c r="A1994" s="9"/>
      <c r="B1994" s="9"/>
      <c r="C1994" s="9"/>
      <c r="D1994" s="9"/>
      <c r="E1994" s="9"/>
      <c r="F1994" s="9"/>
      <c r="G1994" s="9"/>
      <c r="H1994" s="9"/>
      <c r="I1994" s="9"/>
      <c r="J1994" s="9"/>
      <c r="K1994" s="9"/>
      <c r="L1994" s="9"/>
      <c r="M1994" s="9"/>
      <c r="N1994" s="9"/>
      <c r="O1994" s="9"/>
      <c r="P1994" s="9"/>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c r="AQ1994" s="9"/>
      <c r="AR1994" s="9"/>
      <c r="AS1994" s="9"/>
      <c r="AT1994" s="9"/>
      <c r="AU1994" s="9"/>
      <c r="AV1994" s="9"/>
      <c r="AW1994" s="9"/>
      <c r="AX1994" s="9"/>
      <c r="AY1994" s="9"/>
      <c r="AZ1994" s="9"/>
      <c r="BA1994" s="9"/>
      <c r="BB1994" s="9"/>
      <c r="BC1994" s="9"/>
      <c r="BD1994" s="9"/>
      <c r="BE1994" s="9"/>
      <c r="BF1994" s="9"/>
      <c r="BG1994" s="9"/>
      <c r="BH1994" s="9"/>
      <c r="BI1994" s="9"/>
      <c r="BJ1994" s="9"/>
      <c r="BK1994" s="9"/>
      <c r="BL1994" s="9"/>
      <c r="BM1994" s="9"/>
      <c r="BN1994" s="9"/>
      <c r="BO1994" s="9"/>
      <c r="BP1994" s="9"/>
      <c r="BQ1994" s="9"/>
      <c r="BR1994" s="9"/>
      <c r="BS1994" s="9"/>
      <c r="BT1994" s="9"/>
      <c r="BU1994" s="9"/>
      <c r="BV1994" s="9"/>
      <c r="BW1994" s="9"/>
    </row>
    <row r="1995" spans="1:75" x14ac:dyDescent="0.25">
      <c r="A1995" s="9"/>
      <c r="B1995" s="9"/>
      <c r="C1995" s="9"/>
      <c r="D1995" s="9"/>
      <c r="E1995" s="9"/>
      <c r="F1995" s="9"/>
      <c r="G1995" s="9"/>
      <c r="H1995" s="9"/>
      <c r="I1995" s="9"/>
      <c r="J1995" s="9"/>
      <c r="K1995" s="9"/>
      <c r="L1995" s="9"/>
      <c r="M1995" s="9"/>
      <c r="N1995" s="9"/>
      <c r="O1995" s="9"/>
      <c r="P1995" s="9"/>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c r="AQ1995" s="9"/>
      <c r="AR1995" s="9"/>
      <c r="AS1995" s="9"/>
      <c r="AT1995" s="9"/>
      <c r="AU1995" s="9"/>
      <c r="AV1995" s="9"/>
      <c r="AW1995" s="9"/>
      <c r="AX1995" s="9"/>
      <c r="AY1995" s="9"/>
      <c r="AZ1995" s="9"/>
      <c r="BA1995" s="9"/>
      <c r="BB1995" s="9"/>
      <c r="BC1995" s="9"/>
      <c r="BD1995" s="9"/>
      <c r="BE1995" s="9"/>
      <c r="BF1995" s="9"/>
      <c r="BG1995" s="9"/>
      <c r="BH1995" s="9"/>
      <c r="BI1995" s="9"/>
      <c r="BJ1995" s="9"/>
      <c r="BK1995" s="9"/>
      <c r="BL1995" s="9"/>
      <c r="BM1995" s="9"/>
      <c r="BN1995" s="9"/>
      <c r="BO1995" s="9"/>
      <c r="BP1995" s="9"/>
      <c r="BQ1995" s="9"/>
      <c r="BR1995" s="9"/>
      <c r="BS1995" s="9"/>
      <c r="BT1995" s="9"/>
      <c r="BU1995" s="9"/>
      <c r="BV1995" s="9"/>
      <c r="BW1995" s="9"/>
    </row>
    <row r="1996" spans="1:75" x14ac:dyDescent="0.25">
      <c r="A1996" s="9"/>
      <c r="B1996" s="9"/>
      <c r="C1996" s="9"/>
      <c r="D1996" s="9"/>
      <c r="E1996" s="9"/>
      <c r="F1996" s="9"/>
      <c r="G1996" s="9"/>
      <c r="H1996" s="9"/>
      <c r="I1996" s="9"/>
      <c r="J1996" s="9"/>
      <c r="K1996" s="9"/>
      <c r="L1996" s="9"/>
      <c r="M1996" s="9"/>
      <c r="N1996" s="9"/>
      <c r="O1996" s="9"/>
      <c r="P1996" s="9"/>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c r="AQ1996" s="9"/>
      <c r="AR1996" s="9"/>
      <c r="AS1996" s="9"/>
      <c r="AT1996" s="9"/>
      <c r="AU1996" s="9"/>
      <c r="AV1996" s="9"/>
      <c r="AW1996" s="9"/>
      <c r="AX1996" s="9"/>
      <c r="AY1996" s="9"/>
      <c r="AZ1996" s="9"/>
      <c r="BA1996" s="9"/>
      <c r="BB1996" s="9"/>
      <c r="BC1996" s="9"/>
      <c r="BD1996" s="9"/>
      <c r="BE1996" s="9"/>
      <c r="BF1996" s="9"/>
      <c r="BG1996" s="9"/>
      <c r="BH1996" s="9"/>
      <c r="BI1996" s="9"/>
      <c r="BJ1996" s="9"/>
      <c r="BK1996" s="9"/>
      <c r="BL1996" s="9"/>
      <c r="BM1996" s="9"/>
      <c r="BN1996" s="9"/>
      <c r="BO1996" s="9"/>
      <c r="BP1996" s="9"/>
      <c r="BQ1996" s="9"/>
      <c r="BR1996" s="9"/>
      <c r="BS1996" s="9"/>
      <c r="BT1996" s="9"/>
      <c r="BU1996" s="9"/>
      <c r="BV1996" s="9"/>
      <c r="BW1996" s="9"/>
    </row>
    <row r="1997" spans="1:75" x14ac:dyDescent="0.25">
      <c r="A1997" s="9"/>
      <c r="B1997" s="9"/>
      <c r="C1997" s="9"/>
      <c r="D1997" s="9"/>
      <c r="E1997" s="9"/>
      <c r="F1997" s="9"/>
      <c r="G1997" s="9"/>
      <c r="H1997" s="9"/>
      <c r="I1997" s="9"/>
      <c r="J1997" s="9"/>
      <c r="K1997" s="9"/>
      <c r="L1997" s="9"/>
      <c r="M1997" s="9"/>
      <c r="N1997" s="9"/>
      <c r="O1997" s="9"/>
      <c r="P1997" s="9"/>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c r="AQ1997" s="9"/>
      <c r="AR1997" s="9"/>
      <c r="AS1997" s="9"/>
      <c r="AT1997" s="9"/>
      <c r="AU1997" s="9"/>
      <c r="AV1997" s="9"/>
      <c r="AW1997" s="9"/>
      <c r="AX1997" s="9"/>
      <c r="AY1997" s="9"/>
      <c r="AZ1997" s="9"/>
      <c r="BA1997" s="9"/>
      <c r="BB1997" s="9"/>
      <c r="BC1997" s="9"/>
      <c r="BD1997" s="9"/>
      <c r="BE1997" s="9"/>
      <c r="BF1997" s="9"/>
      <c r="BG1997" s="9"/>
      <c r="BH1997" s="9"/>
      <c r="BI1997" s="9"/>
      <c r="BJ1997" s="9"/>
      <c r="BK1997" s="9"/>
      <c r="BL1997" s="9"/>
      <c r="BM1997" s="9"/>
      <c r="BN1997" s="9"/>
      <c r="BO1997" s="9"/>
      <c r="BP1997" s="9"/>
      <c r="BQ1997" s="9"/>
      <c r="BR1997" s="9"/>
      <c r="BS1997" s="9"/>
      <c r="BT1997" s="9"/>
      <c r="BU1997" s="9"/>
      <c r="BV1997" s="9"/>
      <c r="BW1997" s="9"/>
    </row>
    <row r="1998" spans="1:75" x14ac:dyDescent="0.25">
      <c r="A1998" s="9"/>
      <c r="B1998" s="9"/>
      <c r="C1998" s="9"/>
      <c r="D1998" s="9"/>
      <c r="E1998" s="9"/>
      <c r="F1998" s="9"/>
      <c r="G1998" s="9"/>
      <c r="H1998" s="9"/>
      <c r="I1998" s="9"/>
      <c r="J1998" s="9"/>
      <c r="K1998" s="9"/>
      <c r="L1998" s="9"/>
      <c r="M1998" s="9"/>
      <c r="N1998" s="9"/>
      <c r="O1998" s="9"/>
      <c r="P1998" s="9"/>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c r="AQ1998" s="9"/>
      <c r="AR1998" s="9"/>
      <c r="AS1998" s="9"/>
      <c r="AT1998" s="9"/>
      <c r="AU1998" s="9"/>
      <c r="AV1998" s="9"/>
      <c r="AW1998" s="9"/>
      <c r="AX1998" s="9"/>
      <c r="AY1998" s="9"/>
      <c r="AZ1998" s="9"/>
      <c r="BA1998" s="9"/>
      <c r="BB1998" s="9"/>
      <c r="BC1998" s="9"/>
      <c r="BD1998" s="9"/>
      <c r="BE1998" s="9"/>
      <c r="BF1998" s="9"/>
      <c r="BG1998" s="9"/>
      <c r="BH1998" s="9"/>
      <c r="BI1998" s="9"/>
      <c r="BJ1998" s="9"/>
      <c r="BK1998" s="9"/>
      <c r="BL1998" s="9"/>
      <c r="BM1998" s="9"/>
      <c r="BN1998" s="9"/>
      <c r="BO1998" s="9"/>
      <c r="BP1998" s="9"/>
      <c r="BQ1998" s="9"/>
      <c r="BR1998" s="9"/>
      <c r="BS1998" s="9"/>
      <c r="BT1998" s="9"/>
      <c r="BU1998" s="9"/>
      <c r="BV1998" s="9"/>
      <c r="BW1998" s="9"/>
    </row>
    <row r="1999" spans="1:75" x14ac:dyDescent="0.25">
      <c r="A1999" s="9"/>
      <c r="B1999" s="9"/>
      <c r="C1999" s="9"/>
      <c r="D1999" s="9"/>
      <c r="E1999" s="9"/>
      <c r="F1999" s="9"/>
      <c r="G1999" s="9"/>
      <c r="H1999" s="9"/>
      <c r="I1999" s="9"/>
      <c r="J1999" s="9"/>
      <c r="K1999" s="9"/>
      <c r="L1999" s="9"/>
      <c r="M1999" s="9"/>
      <c r="N1999" s="9"/>
      <c r="O1999" s="9"/>
      <c r="P1999" s="9"/>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c r="AQ1999" s="9"/>
      <c r="AR1999" s="9"/>
      <c r="AS1999" s="9"/>
      <c r="AT1999" s="9"/>
      <c r="AU1999" s="9"/>
      <c r="AV1999" s="9"/>
      <c r="AW1999" s="9"/>
      <c r="AX1999" s="9"/>
      <c r="AY1999" s="9"/>
      <c r="AZ1999" s="9"/>
      <c r="BA1999" s="9"/>
      <c r="BB1999" s="9"/>
      <c r="BC1999" s="9"/>
      <c r="BD1999" s="9"/>
      <c r="BE1999" s="9"/>
      <c r="BF1999" s="9"/>
      <c r="BG1999" s="9"/>
      <c r="BH1999" s="9"/>
      <c r="BI1999" s="9"/>
      <c r="BJ1999" s="9"/>
      <c r="BK1999" s="9"/>
      <c r="BL1999" s="9"/>
      <c r="BM1999" s="9"/>
      <c r="BN1999" s="9"/>
      <c r="BO1999" s="9"/>
      <c r="BP1999" s="9"/>
      <c r="BQ1999" s="9"/>
      <c r="BR1999" s="9"/>
      <c r="BS1999" s="9"/>
      <c r="BT1999" s="9"/>
      <c r="BU1999" s="9"/>
      <c r="BV1999" s="9"/>
      <c r="BW1999" s="9"/>
    </row>
    <row r="2000" spans="1:75" x14ac:dyDescent="0.25">
      <c r="A2000" s="9"/>
      <c r="B2000" s="9"/>
      <c r="C2000" s="9"/>
      <c r="D2000" s="9"/>
      <c r="E2000" s="9"/>
      <c r="F2000" s="9"/>
      <c r="G2000" s="9"/>
      <c r="H2000" s="9"/>
      <c r="I2000" s="9"/>
      <c r="J2000" s="9"/>
      <c r="K2000" s="9"/>
      <c r="L2000" s="9"/>
      <c r="M2000" s="9"/>
      <c r="N2000" s="9"/>
      <c r="O2000" s="9"/>
      <c r="P2000" s="9"/>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c r="AQ2000" s="9"/>
      <c r="AR2000" s="9"/>
      <c r="AS2000" s="9"/>
      <c r="AT2000" s="9"/>
      <c r="AU2000" s="9"/>
      <c r="AV2000" s="9"/>
      <c r="AW2000" s="9"/>
      <c r="AX2000" s="9"/>
      <c r="AY2000" s="9"/>
      <c r="AZ2000" s="9"/>
      <c r="BA2000" s="9"/>
      <c r="BB2000" s="9"/>
      <c r="BC2000" s="9"/>
      <c r="BD2000" s="9"/>
      <c r="BE2000" s="9"/>
      <c r="BF2000" s="9"/>
      <c r="BG2000" s="9"/>
      <c r="BH2000" s="9"/>
      <c r="BI2000" s="9"/>
      <c r="BJ2000" s="9"/>
      <c r="BK2000" s="9"/>
      <c r="BL2000" s="9"/>
      <c r="BM2000" s="9"/>
      <c r="BN2000" s="9"/>
      <c r="BO2000" s="9"/>
      <c r="BP2000" s="9"/>
      <c r="BQ2000" s="9"/>
      <c r="BR2000" s="9"/>
      <c r="BS2000" s="9"/>
      <c r="BT2000" s="9"/>
      <c r="BU2000" s="9"/>
      <c r="BV2000" s="9"/>
      <c r="BW2000" s="9"/>
    </row>
    <row r="2001" spans="1:75" x14ac:dyDescent="0.25">
      <c r="A2001" s="9"/>
      <c r="B2001" s="9"/>
      <c r="C2001" s="9"/>
      <c r="D2001" s="9"/>
      <c r="E2001" s="9"/>
      <c r="F2001" s="9"/>
      <c r="G2001" s="9"/>
      <c r="H2001" s="9"/>
      <c r="I2001" s="9"/>
      <c r="J2001" s="9"/>
      <c r="K2001" s="9"/>
      <c r="L2001" s="9"/>
      <c r="M2001" s="9"/>
      <c r="N2001" s="9"/>
      <c r="O2001" s="9"/>
      <c r="P2001" s="9"/>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c r="AQ2001" s="9"/>
      <c r="AR2001" s="9"/>
      <c r="AS2001" s="9"/>
      <c r="AT2001" s="9"/>
      <c r="AU2001" s="9"/>
      <c r="AV2001" s="9"/>
      <c r="AW2001" s="9"/>
      <c r="AX2001" s="9"/>
      <c r="AY2001" s="9"/>
      <c r="AZ2001" s="9"/>
      <c r="BA2001" s="9"/>
      <c r="BB2001" s="9"/>
      <c r="BC2001" s="9"/>
      <c r="BD2001" s="9"/>
      <c r="BE2001" s="9"/>
      <c r="BF2001" s="9"/>
      <c r="BG2001" s="9"/>
      <c r="BH2001" s="9"/>
      <c r="BI2001" s="9"/>
      <c r="BJ2001" s="9"/>
      <c r="BK2001" s="9"/>
      <c r="BL2001" s="9"/>
      <c r="BM2001" s="9"/>
      <c r="BN2001" s="9"/>
      <c r="BO2001" s="9"/>
      <c r="BP2001" s="9"/>
      <c r="BQ2001" s="9"/>
      <c r="BR2001" s="9"/>
      <c r="BS2001" s="9"/>
      <c r="BT2001" s="9"/>
      <c r="BU2001" s="9"/>
      <c r="BV2001" s="9"/>
      <c r="BW2001" s="9"/>
    </row>
    <row r="2002" spans="1:75" x14ac:dyDescent="0.25">
      <c r="A2002" s="9"/>
      <c r="B2002" s="9"/>
      <c r="C2002" s="9"/>
      <c r="D2002" s="9"/>
      <c r="E2002" s="9"/>
      <c r="F2002" s="9"/>
      <c r="G2002" s="9"/>
      <c r="H2002" s="9"/>
      <c r="I2002" s="9"/>
      <c r="J2002" s="9"/>
      <c r="K2002" s="9"/>
      <c r="L2002" s="9"/>
      <c r="M2002" s="9"/>
      <c r="N2002" s="9"/>
      <c r="O2002" s="9"/>
      <c r="P2002" s="9"/>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c r="AQ2002" s="9"/>
      <c r="AR2002" s="9"/>
      <c r="AS2002" s="9"/>
      <c r="AT2002" s="9"/>
      <c r="AU2002" s="9"/>
      <c r="AV2002" s="9"/>
      <c r="AW2002" s="9"/>
      <c r="AX2002" s="9"/>
      <c r="AY2002" s="9"/>
      <c r="AZ2002" s="9"/>
      <c r="BA2002" s="9"/>
      <c r="BB2002" s="9"/>
      <c r="BC2002" s="9"/>
      <c r="BD2002" s="9"/>
      <c r="BE2002" s="9"/>
      <c r="BF2002" s="9"/>
      <c r="BG2002" s="9"/>
      <c r="BH2002" s="9"/>
      <c r="BI2002" s="9"/>
      <c r="BJ2002" s="9"/>
      <c r="BK2002" s="9"/>
      <c r="BL2002" s="9"/>
      <c r="BM2002" s="9"/>
      <c r="BN2002" s="9"/>
      <c r="BO2002" s="9"/>
      <c r="BP2002" s="9"/>
      <c r="BQ2002" s="9"/>
      <c r="BR2002" s="9"/>
      <c r="BS2002" s="9"/>
      <c r="BT2002" s="9"/>
      <c r="BU2002" s="9"/>
      <c r="BV2002" s="9"/>
      <c r="BW2002" s="9"/>
    </row>
    <row r="2003" spans="1:75" x14ac:dyDescent="0.25">
      <c r="A2003" s="9"/>
      <c r="B2003" s="9"/>
      <c r="C2003" s="9"/>
      <c r="D2003" s="9"/>
      <c r="E2003" s="9"/>
      <c r="F2003" s="9"/>
      <c r="G2003" s="9"/>
      <c r="H2003" s="9"/>
      <c r="I2003" s="9"/>
      <c r="J2003" s="9"/>
      <c r="K2003" s="9"/>
      <c r="L2003" s="9"/>
      <c r="M2003" s="9"/>
      <c r="N2003" s="9"/>
      <c r="O2003" s="9"/>
      <c r="P2003" s="9"/>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c r="AQ2003" s="9"/>
      <c r="AR2003" s="9"/>
      <c r="AS2003" s="9"/>
      <c r="AT2003" s="9"/>
      <c r="AU2003" s="9"/>
      <c r="AV2003" s="9"/>
      <c r="AW2003" s="9"/>
      <c r="AX2003" s="9"/>
      <c r="AY2003" s="9"/>
      <c r="AZ2003" s="9"/>
      <c r="BA2003" s="9"/>
      <c r="BB2003" s="9"/>
      <c r="BC2003" s="9"/>
      <c r="BD2003" s="9"/>
      <c r="BE2003" s="9"/>
      <c r="BF2003" s="9"/>
      <c r="BG2003" s="9"/>
      <c r="BH2003" s="9"/>
      <c r="BI2003" s="9"/>
      <c r="BJ2003" s="9"/>
      <c r="BK2003" s="9"/>
      <c r="BL2003" s="9"/>
      <c r="BM2003" s="9"/>
      <c r="BN2003" s="9"/>
      <c r="BO2003" s="9"/>
      <c r="BP2003" s="9"/>
      <c r="BQ2003" s="9"/>
      <c r="BR2003" s="9"/>
      <c r="BS2003" s="9"/>
      <c r="BT2003" s="9"/>
      <c r="BU2003" s="9"/>
      <c r="BV2003" s="9"/>
      <c r="BW2003" s="9"/>
    </row>
    <row r="2004" spans="1:75" x14ac:dyDescent="0.25">
      <c r="A2004" s="9"/>
      <c r="B2004" s="9"/>
      <c r="C2004" s="9"/>
      <c r="D2004" s="9"/>
      <c r="E2004" s="9"/>
      <c r="F2004" s="9"/>
      <c r="G2004" s="9"/>
      <c r="H2004" s="9"/>
      <c r="I2004" s="9"/>
      <c r="J2004" s="9"/>
      <c r="K2004" s="9"/>
      <c r="L2004" s="9"/>
      <c r="M2004" s="9"/>
      <c r="N2004" s="9"/>
      <c r="O2004" s="9"/>
      <c r="P2004" s="9"/>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c r="AQ2004" s="9"/>
      <c r="AR2004" s="9"/>
      <c r="AS2004" s="9"/>
      <c r="AT2004" s="9"/>
      <c r="AU2004" s="9"/>
      <c r="AV2004" s="9"/>
      <c r="AW2004" s="9"/>
      <c r="AX2004" s="9"/>
      <c r="AY2004" s="9"/>
      <c r="AZ2004" s="9"/>
      <c r="BA2004" s="9"/>
      <c r="BB2004" s="9"/>
      <c r="BC2004" s="9"/>
      <c r="BD2004" s="9"/>
      <c r="BE2004" s="9"/>
      <c r="BF2004" s="9"/>
      <c r="BG2004" s="9"/>
      <c r="BH2004" s="9"/>
      <c r="BI2004" s="9"/>
      <c r="BJ2004" s="9"/>
      <c r="BK2004" s="9"/>
      <c r="BL2004" s="9"/>
      <c r="BM2004" s="9"/>
      <c r="BN2004" s="9"/>
      <c r="BO2004" s="9"/>
      <c r="BP2004" s="9"/>
      <c r="BQ2004" s="9"/>
      <c r="BR2004" s="9"/>
      <c r="BS2004" s="9"/>
      <c r="BT2004" s="9"/>
      <c r="BU2004" s="9"/>
      <c r="BV2004" s="9"/>
      <c r="BW2004" s="9"/>
    </row>
    <row r="2005" spans="1:75" x14ac:dyDescent="0.25">
      <c r="A2005" s="9"/>
      <c r="B2005" s="9"/>
      <c r="C2005" s="9"/>
      <c r="D2005" s="9"/>
      <c r="E2005" s="9"/>
      <c r="F2005" s="9"/>
      <c r="G2005" s="9"/>
      <c r="H2005" s="9"/>
      <c r="I2005" s="9"/>
      <c r="J2005" s="9"/>
      <c r="K2005" s="9"/>
      <c r="L2005" s="9"/>
      <c r="M2005" s="9"/>
      <c r="N2005" s="9"/>
      <c r="O2005" s="9"/>
      <c r="P2005" s="9"/>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c r="AS2005" s="9"/>
      <c r="AT2005" s="9"/>
      <c r="AU2005" s="9"/>
      <c r="AV2005" s="9"/>
      <c r="AW2005" s="9"/>
      <c r="AX2005" s="9"/>
      <c r="AY2005" s="9"/>
      <c r="AZ2005" s="9"/>
      <c r="BA2005" s="9"/>
      <c r="BB2005" s="9"/>
      <c r="BC2005" s="9"/>
      <c r="BD2005" s="9"/>
      <c r="BE2005" s="9"/>
      <c r="BF2005" s="9"/>
      <c r="BG2005" s="9"/>
      <c r="BH2005" s="9"/>
      <c r="BI2005" s="9"/>
      <c r="BJ2005" s="9"/>
      <c r="BK2005" s="9"/>
      <c r="BL2005" s="9"/>
      <c r="BM2005" s="9"/>
      <c r="BN2005" s="9"/>
      <c r="BO2005" s="9"/>
      <c r="BP2005" s="9"/>
      <c r="BQ2005" s="9"/>
      <c r="BR2005" s="9"/>
      <c r="BS2005" s="9"/>
      <c r="BT2005" s="9"/>
      <c r="BU2005" s="9"/>
      <c r="BV2005" s="9"/>
      <c r="BW2005" s="9"/>
    </row>
    <row r="2006" spans="1:75" x14ac:dyDescent="0.25">
      <c r="A2006" s="9"/>
      <c r="B2006" s="9"/>
      <c r="C2006" s="9"/>
      <c r="D2006" s="9"/>
      <c r="E2006" s="9"/>
      <c r="F2006" s="9"/>
      <c r="G2006" s="9"/>
      <c r="H2006" s="9"/>
      <c r="I2006" s="9"/>
      <c r="J2006" s="9"/>
      <c r="K2006" s="9"/>
      <c r="L2006" s="9"/>
      <c r="M2006" s="9"/>
      <c r="N2006" s="9"/>
      <c r="O2006" s="9"/>
      <c r="P2006" s="9"/>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c r="AS2006" s="9"/>
      <c r="AT2006" s="9"/>
      <c r="AU2006" s="9"/>
      <c r="AV2006" s="9"/>
      <c r="AW2006" s="9"/>
      <c r="AX2006" s="9"/>
      <c r="AY2006" s="9"/>
      <c r="AZ2006" s="9"/>
      <c r="BA2006" s="9"/>
      <c r="BB2006" s="9"/>
      <c r="BC2006" s="9"/>
      <c r="BD2006" s="9"/>
      <c r="BE2006" s="9"/>
      <c r="BF2006" s="9"/>
      <c r="BG2006" s="9"/>
      <c r="BH2006" s="9"/>
      <c r="BI2006" s="9"/>
      <c r="BJ2006" s="9"/>
      <c r="BK2006" s="9"/>
      <c r="BL2006" s="9"/>
      <c r="BM2006" s="9"/>
      <c r="BN2006" s="9"/>
      <c r="BO2006" s="9"/>
      <c r="BP2006" s="9"/>
      <c r="BQ2006" s="9"/>
      <c r="BR2006" s="9"/>
      <c r="BS2006" s="9"/>
      <c r="BT2006" s="9"/>
      <c r="BU2006" s="9"/>
      <c r="BV2006" s="9"/>
      <c r="BW2006" s="9"/>
    </row>
    <row r="2007" spans="1:75" x14ac:dyDescent="0.25">
      <c r="A2007" s="9"/>
      <c r="B2007" s="9"/>
      <c r="C2007" s="9"/>
      <c r="D2007" s="9"/>
      <c r="E2007" s="9"/>
      <c r="F2007" s="9"/>
      <c r="G2007" s="9"/>
      <c r="H2007" s="9"/>
      <c r="I2007" s="9"/>
      <c r="J2007" s="9"/>
      <c r="K2007" s="9"/>
      <c r="L2007" s="9"/>
      <c r="M2007" s="9"/>
      <c r="N2007" s="9"/>
      <c r="O2007" s="9"/>
      <c r="P2007" s="9"/>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c r="AQ2007" s="9"/>
      <c r="AR2007" s="9"/>
      <c r="AS2007" s="9"/>
      <c r="AT2007" s="9"/>
      <c r="AU2007" s="9"/>
      <c r="AV2007" s="9"/>
      <c r="AW2007" s="9"/>
      <c r="AX2007" s="9"/>
      <c r="AY2007" s="9"/>
      <c r="AZ2007" s="9"/>
      <c r="BA2007" s="9"/>
      <c r="BB2007" s="9"/>
      <c r="BC2007" s="9"/>
      <c r="BD2007" s="9"/>
      <c r="BE2007" s="9"/>
      <c r="BF2007" s="9"/>
      <c r="BG2007" s="9"/>
      <c r="BH2007" s="9"/>
      <c r="BI2007" s="9"/>
      <c r="BJ2007" s="9"/>
      <c r="BK2007" s="9"/>
      <c r="BL2007" s="9"/>
      <c r="BM2007" s="9"/>
      <c r="BN2007" s="9"/>
      <c r="BO2007" s="9"/>
      <c r="BP2007" s="9"/>
      <c r="BQ2007" s="9"/>
      <c r="BR2007" s="9"/>
      <c r="BS2007" s="9"/>
      <c r="BT2007" s="9"/>
      <c r="BU2007" s="9"/>
      <c r="BV2007" s="9"/>
      <c r="BW2007" s="9"/>
    </row>
    <row r="2008" spans="1:75" x14ac:dyDescent="0.25">
      <c r="A2008" s="9"/>
      <c r="B2008" s="9"/>
      <c r="C2008" s="9"/>
      <c r="D2008" s="9"/>
      <c r="E2008" s="9"/>
      <c r="F2008" s="9"/>
      <c r="G2008" s="9"/>
      <c r="H2008" s="9"/>
      <c r="I2008" s="9"/>
      <c r="J2008" s="9"/>
      <c r="K2008" s="9"/>
      <c r="L2008" s="9"/>
      <c r="M2008" s="9"/>
      <c r="N2008" s="9"/>
      <c r="O2008" s="9"/>
      <c r="P2008" s="9"/>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c r="AQ2008" s="9"/>
      <c r="AR2008" s="9"/>
      <c r="AS2008" s="9"/>
      <c r="AT2008" s="9"/>
      <c r="AU2008" s="9"/>
      <c r="AV2008" s="9"/>
      <c r="AW2008" s="9"/>
      <c r="AX2008" s="9"/>
      <c r="AY2008" s="9"/>
      <c r="AZ2008" s="9"/>
      <c r="BA2008" s="9"/>
      <c r="BB2008" s="9"/>
      <c r="BC2008" s="9"/>
      <c r="BD2008" s="9"/>
      <c r="BE2008" s="9"/>
      <c r="BF2008" s="9"/>
      <c r="BG2008" s="9"/>
      <c r="BH2008" s="9"/>
      <c r="BI2008" s="9"/>
      <c r="BJ2008" s="9"/>
      <c r="BK2008" s="9"/>
      <c r="BL2008" s="9"/>
      <c r="BM2008" s="9"/>
      <c r="BN2008" s="9"/>
      <c r="BO2008" s="9"/>
      <c r="BP2008" s="9"/>
      <c r="BQ2008" s="9"/>
      <c r="BR2008" s="9"/>
      <c r="BS2008" s="9"/>
      <c r="BT2008" s="9"/>
      <c r="BU2008" s="9"/>
      <c r="BV2008" s="9"/>
      <c r="BW2008" s="9"/>
    </row>
    <row r="2009" spans="1:75" x14ac:dyDescent="0.25">
      <c r="A2009" s="9"/>
      <c r="B2009" s="9"/>
      <c r="C2009" s="9"/>
      <c r="D2009" s="9"/>
      <c r="E2009" s="9"/>
      <c r="F2009" s="9"/>
      <c r="G2009" s="9"/>
      <c r="H2009" s="9"/>
      <c r="I2009" s="9"/>
      <c r="J2009" s="9"/>
      <c r="K2009" s="9"/>
      <c r="L2009" s="9"/>
      <c r="M2009" s="9"/>
      <c r="N2009" s="9"/>
      <c r="O2009" s="9"/>
      <c r="P2009" s="9"/>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c r="AQ2009" s="9"/>
      <c r="AR2009" s="9"/>
      <c r="AS2009" s="9"/>
      <c r="AT2009" s="9"/>
      <c r="AU2009" s="9"/>
      <c r="AV2009" s="9"/>
      <c r="AW2009" s="9"/>
      <c r="AX2009" s="9"/>
      <c r="AY2009" s="9"/>
      <c r="AZ2009" s="9"/>
      <c r="BA2009" s="9"/>
      <c r="BB2009" s="9"/>
      <c r="BC2009" s="9"/>
      <c r="BD2009" s="9"/>
      <c r="BE2009" s="9"/>
      <c r="BF2009" s="9"/>
      <c r="BG2009" s="9"/>
      <c r="BH2009" s="9"/>
      <c r="BI2009" s="9"/>
      <c r="BJ2009" s="9"/>
      <c r="BK2009" s="9"/>
      <c r="BL2009" s="9"/>
      <c r="BM2009" s="9"/>
      <c r="BN2009" s="9"/>
      <c r="BO2009" s="9"/>
      <c r="BP2009" s="9"/>
      <c r="BQ2009" s="9"/>
      <c r="BR2009" s="9"/>
      <c r="BS2009" s="9"/>
      <c r="BT2009" s="9"/>
      <c r="BU2009" s="9"/>
      <c r="BV2009" s="9"/>
      <c r="BW2009" s="9"/>
    </row>
    <row r="2010" spans="1:75" x14ac:dyDescent="0.25">
      <c r="A2010" s="9"/>
      <c r="B2010" s="9"/>
      <c r="C2010" s="9"/>
      <c r="D2010" s="9"/>
      <c r="E2010" s="9"/>
      <c r="F2010" s="9"/>
      <c r="G2010" s="9"/>
      <c r="H2010" s="9"/>
      <c r="I2010" s="9"/>
      <c r="J2010" s="9"/>
      <c r="K2010" s="9"/>
      <c r="L2010" s="9"/>
      <c r="M2010" s="9"/>
      <c r="N2010" s="9"/>
      <c r="O2010" s="9"/>
      <c r="P2010" s="9"/>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c r="AQ2010" s="9"/>
      <c r="AR2010" s="9"/>
      <c r="AS2010" s="9"/>
      <c r="AT2010" s="9"/>
      <c r="AU2010" s="9"/>
      <c r="AV2010" s="9"/>
      <c r="AW2010" s="9"/>
      <c r="AX2010" s="9"/>
      <c r="AY2010" s="9"/>
      <c r="AZ2010" s="9"/>
      <c r="BA2010" s="9"/>
      <c r="BB2010" s="9"/>
      <c r="BC2010" s="9"/>
      <c r="BD2010" s="9"/>
      <c r="BE2010" s="9"/>
      <c r="BF2010" s="9"/>
      <c r="BG2010" s="9"/>
      <c r="BH2010" s="9"/>
      <c r="BI2010" s="9"/>
      <c r="BJ2010" s="9"/>
      <c r="BK2010" s="9"/>
      <c r="BL2010" s="9"/>
      <c r="BM2010" s="9"/>
      <c r="BN2010" s="9"/>
      <c r="BO2010" s="9"/>
      <c r="BP2010" s="9"/>
      <c r="BQ2010" s="9"/>
      <c r="BR2010" s="9"/>
      <c r="BS2010" s="9"/>
      <c r="BT2010" s="9"/>
      <c r="BU2010" s="9"/>
      <c r="BV2010" s="9"/>
      <c r="BW2010" s="9"/>
    </row>
    <row r="2011" spans="1:75" x14ac:dyDescent="0.25">
      <c r="A2011" s="9"/>
      <c r="B2011" s="9"/>
      <c r="C2011" s="9"/>
      <c r="D2011" s="9"/>
      <c r="E2011" s="9"/>
      <c r="F2011" s="9"/>
      <c r="G2011" s="9"/>
      <c r="H2011" s="9"/>
      <c r="I2011" s="9"/>
      <c r="J2011" s="9"/>
      <c r="K2011" s="9"/>
      <c r="L2011" s="9"/>
      <c r="M2011" s="9"/>
      <c r="N2011" s="9"/>
      <c r="O2011" s="9"/>
      <c r="P2011" s="9"/>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c r="AV2011" s="9"/>
      <c r="AW2011" s="9"/>
      <c r="AX2011" s="9"/>
      <c r="AY2011" s="9"/>
      <c r="AZ2011" s="9"/>
      <c r="BA2011" s="9"/>
      <c r="BB2011" s="9"/>
      <c r="BC2011" s="9"/>
      <c r="BD2011" s="9"/>
      <c r="BE2011" s="9"/>
      <c r="BF2011" s="9"/>
      <c r="BG2011" s="9"/>
      <c r="BH2011" s="9"/>
      <c r="BI2011" s="9"/>
      <c r="BJ2011" s="9"/>
      <c r="BK2011" s="9"/>
      <c r="BL2011" s="9"/>
      <c r="BM2011" s="9"/>
      <c r="BN2011" s="9"/>
      <c r="BO2011" s="9"/>
      <c r="BP2011" s="9"/>
      <c r="BQ2011" s="9"/>
      <c r="BR2011" s="9"/>
      <c r="BS2011" s="9"/>
      <c r="BT2011" s="9"/>
      <c r="BU2011" s="9"/>
      <c r="BV2011" s="9"/>
      <c r="BW2011" s="9"/>
    </row>
    <row r="2012" spans="1:75" x14ac:dyDescent="0.25">
      <c r="A2012" s="9"/>
      <c r="B2012" s="9"/>
      <c r="C2012" s="9"/>
      <c r="D2012" s="9"/>
      <c r="E2012" s="9"/>
      <c r="F2012" s="9"/>
      <c r="G2012" s="9"/>
      <c r="H2012" s="9"/>
      <c r="I2012" s="9"/>
      <c r="J2012" s="9"/>
      <c r="K2012" s="9"/>
      <c r="L2012" s="9"/>
      <c r="M2012" s="9"/>
      <c r="N2012" s="9"/>
      <c r="O2012" s="9"/>
      <c r="P2012" s="9"/>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c r="AV2012" s="9"/>
      <c r="AW2012" s="9"/>
      <c r="AX2012" s="9"/>
      <c r="AY2012" s="9"/>
      <c r="AZ2012" s="9"/>
      <c r="BA2012" s="9"/>
      <c r="BB2012" s="9"/>
      <c r="BC2012" s="9"/>
      <c r="BD2012" s="9"/>
      <c r="BE2012" s="9"/>
      <c r="BF2012" s="9"/>
      <c r="BG2012" s="9"/>
      <c r="BH2012" s="9"/>
      <c r="BI2012" s="9"/>
      <c r="BJ2012" s="9"/>
      <c r="BK2012" s="9"/>
      <c r="BL2012" s="9"/>
      <c r="BM2012" s="9"/>
      <c r="BN2012" s="9"/>
      <c r="BO2012" s="9"/>
      <c r="BP2012" s="9"/>
      <c r="BQ2012" s="9"/>
      <c r="BR2012" s="9"/>
      <c r="BS2012" s="9"/>
      <c r="BT2012" s="9"/>
      <c r="BU2012" s="9"/>
      <c r="BV2012" s="9"/>
      <c r="BW2012" s="9"/>
    </row>
    <row r="2013" spans="1:75" x14ac:dyDescent="0.25">
      <c r="A2013" s="9"/>
      <c r="B2013" s="9"/>
      <c r="C2013" s="9"/>
      <c r="D2013" s="9"/>
      <c r="E2013" s="9"/>
      <c r="F2013" s="9"/>
      <c r="G2013" s="9"/>
      <c r="H2013" s="9"/>
      <c r="I2013" s="9"/>
      <c r="J2013" s="9"/>
      <c r="K2013" s="9"/>
      <c r="L2013" s="9"/>
      <c r="M2013" s="9"/>
      <c r="N2013" s="9"/>
      <c r="O2013" s="9"/>
      <c r="P2013" s="9"/>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c r="AV2013" s="9"/>
      <c r="AW2013" s="9"/>
      <c r="AX2013" s="9"/>
      <c r="AY2013" s="9"/>
      <c r="AZ2013" s="9"/>
      <c r="BA2013" s="9"/>
      <c r="BB2013" s="9"/>
      <c r="BC2013" s="9"/>
      <c r="BD2013" s="9"/>
      <c r="BE2013" s="9"/>
      <c r="BF2013" s="9"/>
      <c r="BG2013" s="9"/>
      <c r="BH2013" s="9"/>
      <c r="BI2013" s="9"/>
      <c r="BJ2013" s="9"/>
      <c r="BK2013" s="9"/>
      <c r="BL2013" s="9"/>
      <c r="BM2013" s="9"/>
      <c r="BN2013" s="9"/>
      <c r="BO2013" s="9"/>
      <c r="BP2013" s="9"/>
      <c r="BQ2013" s="9"/>
      <c r="BR2013" s="9"/>
      <c r="BS2013" s="9"/>
      <c r="BT2013" s="9"/>
      <c r="BU2013" s="9"/>
      <c r="BV2013" s="9"/>
      <c r="BW2013" s="9"/>
    </row>
    <row r="2014" spans="1:75" x14ac:dyDescent="0.25">
      <c r="A2014" s="9"/>
      <c r="B2014" s="9"/>
      <c r="C2014" s="9"/>
      <c r="D2014" s="9"/>
      <c r="E2014" s="9"/>
      <c r="F2014" s="9"/>
      <c r="G2014" s="9"/>
      <c r="H2014" s="9"/>
      <c r="I2014" s="9"/>
      <c r="J2014" s="9"/>
      <c r="K2014" s="9"/>
      <c r="L2014" s="9"/>
      <c r="M2014" s="9"/>
      <c r="N2014" s="9"/>
      <c r="O2014" s="9"/>
      <c r="P2014" s="9"/>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c r="AV2014" s="9"/>
      <c r="AW2014" s="9"/>
      <c r="AX2014" s="9"/>
      <c r="AY2014" s="9"/>
      <c r="AZ2014" s="9"/>
      <c r="BA2014" s="9"/>
      <c r="BB2014" s="9"/>
      <c r="BC2014" s="9"/>
      <c r="BD2014" s="9"/>
      <c r="BE2014" s="9"/>
      <c r="BF2014" s="9"/>
      <c r="BG2014" s="9"/>
      <c r="BH2014" s="9"/>
      <c r="BI2014" s="9"/>
      <c r="BJ2014" s="9"/>
      <c r="BK2014" s="9"/>
      <c r="BL2014" s="9"/>
      <c r="BM2014" s="9"/>
      <c r="BN2014" s="9"/>
      <c r="BO2014" s="9"/>
      <c r="BP2014" s="9"/>
      <c r="BQ2014" s="9"/>
      <c r="BR2014" s="9"/>
      <c r="BS2014" s="9"/>
      <c r="BT2014" s="9"/>
      <c r="BU2014" s="9"/>
      <c r="BV2014" s="9"/>
      <c r="BW2014" s="9"/>
    </row>
    <row r="2015" spans="1:75" x14ac:dyDescent="0.25">
      <c r="A2015" s="9"/>
      <c r="B2015" s="9"/>
      <c r="C2015" s="9"/>
      <c r="D2015" s="9"/>
      <c r="E2015" s="9"/>
      <c r="F2015" s="9"/>
      <c r="G2015" s="9"/>
      <c r="H2015" s="9"/>
      <c r="I2015" s="9"/>
      <c r="J2015" s="9"/>
      <c r="K2015" s="9"/>
      <c r="L2015" s="9"/>
      <c r="M2015" s="9"/>
      <c r="N2015" s="9"/>
      <c r="O2015" s="9"/>
      <c r="P2015" s="9"/>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c r="AV2015" s="9"/>
      <c r="AW2015" s="9"/>
      <c r="AX2015" s="9"/>
      <c r="AY2015" s="9"/>
      <c r="AZ2015" s="9"/>
      <c r="BA2015" s="9"/>
      <c r="BB2015" s="9"/>
      <c r="BC2015" s="9"/>
      <c r="BD2015" s="9"/>
      <c r="BE2015" s="9"/>
      <c r="BF2015" s="9"/>
      <c r="BG2015" s="9"/>
      <c r="BH2015" s="9"/>
      <c r="BI2015" s="9"/>
      <c r="BJ2015" s="9"/>
      <c r="BK2015" s="9"/>
      <c r="BL2015" s="9"/>
      <c r="BM2015" s="9"/>
      <c r="BN2015" s="9"/>
      <c r="BO2015" s="9"/>
      <c r="BP2015" s="9"/>
      <c r="BQ2015" s="9"/>
      <c r="BR2015" s="9"/>
      <c r="BS2015" s="9"/>
      <c r="BT2015" s="9"/>
      <c r="BU2015" s="9"/>
      <c r="BV2015" s="9"/>
      <c r="BW2015" s="9"/>
    </row>
    <row r="2016" spans="1:75" x14ac:dyDescent="0.25">
      <c r="A2016" s="9"/>
      <c r="B2016" s="9"/>
      <c r="C2016" s="9"/>
      <c r="D2016" s="9"/>
      <c r="E2016" s="9"/>
      <c r="F2016" s="9"/>
      <c r="G2016" s="9"/>
      <c r="H2016" s="9"/>
      <c r="I2016" s="9"/>
      <c r="J2016" s="9"/>
      <c r="K2016" s="9"/>
      <c r="L2016" s="9"/>
      <c r="M2016" s="9"/>
      <c r="N2016" s="9"/>
      <c r="O2016" s="9"/>
      <c r="P2016" s="9"/>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c r="AV2016" s="9"/>
      <c r="AW2016" s="9"/>
      <c r="AX2016" s="9"/>
      <c r="AY2016" s="9"/>
      <c r="AZ2016" s="9"/>
      <c r="BA2016" s="9"/>
      <c r="BB2016" s="9"/>
      <c r="BC2016" s="9"/>
      <c r="BD2016" s="9"/>
      <c r="BE2016" s="9"/>
      <c r="BF2016" s="9"/>
      <c r="BG2016" s="9"/>
      <c r="BH2016" s="9"/>
      <c r="BI2016" s="9"/>
      <c r="BJ2016" s="9"/>
      <c r="BK2016" s="9"/>
      <c r="BL2016" s="9"/>
      <c r="BM2016" s="9"/>
      <c r="BN2016" s="9"/>
      <c r="BO2016" s="9"/>
      <c r="BP2016" s="9"/>
      <c r="BQ2016" s="9"/>
      <c r="BR2016" s="9"/>
      <c r="BS2016" s="9"/>
      <c r="BT2016" s="9"/>
      <c r="BU2016" s="9"/>
      <c r="BV2016" s="9"/>
      <c r="BW2016" s="9"/>
    </row>
    <row r="2017" spans="1:75" x14ac:dyDescent="0.25">
      <c r="A2017" s="9"/>
      <c r="B2017" s="9"/>
      <c r="C2017" s="9"/>
      <c r="D2017" s="9"/>
      <c r="E2017" s="9"/>
      <c r="F2017" s="9"/>
      <c r="G2017" s="9"/>
      <c r="H2017" s="9"/>
      <c r="I2017" s="9"/>
      <c r="J2017" s="9"/>
      <c r="K2017" s="9"/>
      <c r="L2017" s="9"/>
      <c r="M2017" s="9"/>
      <c r="N2017" s="9"/>
      <c r="O2017" s="9"/>
      <c r="P2017" s="9"/>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c r="AV2017" s="9"/>
      <c r="AW2017" s="9"/>
      <c r="AX2017" s="9"/>
      <c r="AY2017" s="9"/>
      <c r="AZ2017" s="9"/>
      <c r="BA2017" s="9"/>
      <c r="BB2017" s="9"/>
      <c r="BC2017" s="9"/>
      <c r="BD2017" s="9"/>
      <c r="BE2017" s="9"/>
      <c r="BF2017" s="9"/>
      <c r="BG2017" s="9"/>
      <c r="BH2017" s="9"/>
      <c r="BI2017" s="9"/>
      <c r="BJ2017" s="9"/>
      <c r="BK2017" s="9"/>
      <c r="BL2017" s="9"/>
      <c r="BM2017" s="9"/>
      <c r="BN2017" s="9"/>
      <c r="BO2017" s="9"/>
      <c r="BP2017" s="9"/>
      <c r="BQ2017" s="9"/>
      <c r="BR2017" s="9"/>
      <c r="BS2017" s="9"/>
      <c r="BT2017" s="9"/>
      <c r="BU2017" s="9"/>
      <c r="BV2017" s="9"/>
      <c r="BW2017" s="9"/>
    </row>
    <row r="2018" spans="1:75" x14ac:dyDescent="0.25">
      <c r="A2018" s="9"/>
      <c r="B2018" s="9"/>
      <c r="C2018" s="9"/>
      <c r="D2018" s="9"/>
      <c r="E2018" s="9"/>
      <c r="F2018" s="9"/>
      <c r="G2018" s="9"/>
      <c r="H2018" s="9"/>
      <c r="I2018" s="9"/>
      <c r="J2018" s="9"/>
      <c r="K2018" s="9"/>
      <c r="L2018" s="9"/>
      <c r="M2018" s="9"/>
      <c r="N2018" s="9"/>
      <c r="O2018" s="9"/>
      <c r="P2018" s="9"/>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c r="AV2018" s="9"/>
      <c r="AW2018" s="9"/>
      <c r="AX2018" s="9"/>
      <c r="AY2018" s="9"/>
      <c r="AZ2018" s="9"/>
      <c r="BA2018" s="9"/>
      <c r="BB2018" s="9"/>
      <c r="BC2018" s="9"/>
      <c r="BD2018" s="9"/>
      <c r="BE2018" s="9"/>
      <c r="BF2018" s="9"/>
      <c r="BG2018" s="9"/>
      <c r="BH2018" s="9"/>
      <c r="BI2018" s="9"/>
      <c r="BJ2018" s="9"/>
      <c r="BK2018" s="9"/>
      <c r="BL2018" s="9"/>
      <c r="BM2018" s="9"/>
      <c r="BN2018" s="9"/>
      <c r="BO2018" s="9"/>
      <c r="BP2018" s="9"/>
      <c r="BQ2018" s="9"/>
      <c r="BR2018" s="9"/>
      <c r="BS2018" s="9"/>
      <c r="BT2018" s="9"/>
      <c r="BU2018" s="9"/>
      <c r="BV2018" s="9"/>
      <c r="BW2018" s="9"/>
    </row>
    <row r="2019" spans="1:75" x14ac:dyDescent="0.25">
      <c r="A2019" s="9"/>
      <c r="B2019" s="9"/>
      <c r="C2019" s="9"/>
      <c r="D2019" s="9"/>
      <c r="E2019" s="9"/>
      <c r="F2019" s="9"/>
      <c r="G2019" s="9"/>
      <c r="H2019" s="9"/>
      <c r="I2019" s="9"/>
      <c r="J2019" s="9"/>
      <c r="K2019" s="9"/>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c r="AV2019" s="9"/>
      <c r="AW2019" s="9"/>
      <c r="AX2019" s="9"/>
      <c r="AY2019" s="9"/>
      <c r="AZ2019" s="9"/>
      <c r="BA2019" s="9"/>
      <c r="BB2019" s="9"/>
      <c r="BC2019" s="9"/>
      <c r="BD2019" s="9"/>
      <c r="BE2019" s="9"/>
      <c r="BF2019" s="9"/>
      <c r="BG2019" s="9"/>
      <c r="BH2019" s="9"/>
      <c r="BI2019" s="9"/>
      <c r="BJ2019" s="9"/>
      <c r="BK2019" s="9"/>
      <c r="BL2019" s="9"/>
      <c r="BM2019" s="9"/>
      <c r="BN2019" s="9"/>
      <c r="BO2019" s="9"/>
      <c r="BP2019" s="9"/>
      <c r="BQ2019" s="9"/>
      <c r="BR2019" s="9"/>
      <c r="BS2019" s="9"/>
      <c r="BT2019" s="9"/>
      <c r="BU2019" s="9"/>
      <c r="BV2019" s="9"/>
      <c r="BW2019" s="9"/>
    </row>
    <row r="2020" spans="1:75" x14ac:dyDescent="0.25">
      <c r="A2020" s="9"/>
      <c r="B2020" s="9"/>
      <c r="C2020" s="9"/>
      <c r="D2020" s="9"/>
      <c r="E2020" s="9"/>
      <c r="F2020" s="9"/>
      <c r="G2020" s="9"/>
      <c r="H2020" s="9"/>
      <c r="I2020" s="9"/>
      <c r="J2020" s="9"/>
      <c r="K2020" s="9"/>
      <c r="L2020" s="9"/>
      <c r="M2020" s="9"/>
      <c r="N2020" s="9"/>
      <c r="O2020" s="9"/>
      <c r="P2020" s="9"/>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c r="AV2020" s="9"/>
      <c r="AW2020" s="9"/>
      <c r="AX2020" s="9"/>
      <c r="AY2020" s="9"/>
      <c r="AZ2020" s="9"/>
      <c r="BA2020" s="9"/>
      <c r="BB2020" s="9"/>
      <c r="BC2020" s="9"/>
      <c r="BD2020" s="9"/>
      <c r="BE2020" s="9"/>
      <c r="BF2020" s="9"/>
      <c r="BG2020" s="9"/>
      <c r="BH2020" s="9"/>
      <c r="BI2020" s="9"/>
      <c r="BJ2020" s="9"/>
      <c r="BK2020" s="9"/>
      <c r="BL2020" s="9"/>
      <c r="BM2020" s="9"/>
      <c r="BN2020" s="9"/>
      <c r="BO2020" s="9"/>
      <c r="BP2020" s="9"/>
      <c r="BQ2020" s="9"/>
      <c r="BR2020" s="9"/>
      <c r="BS2020" s="9"/>
      <c r="BT2020" s="9"/>
      <c r="BU2020" s="9"/>
      <c r="BV2020" s="9"/>
      <c r="BW2020" s="9"/>
    </row>
    <row r="2021" spans="1:75" x14ac:dyDescent="0.25">
      <c r="A2021" s="9"/>
      <c r="B2021" s="9"/>
      <c r="C2021" s="9"/>
      <c r="D2021" s="9"/>
      <c r="E2021" s="9"/>
      <c r="F2021" s="9"/>
      <c r="G2021" s="9"/>
      <c r="H2021" s="9"/>
      <c r="I2021" s="9"/>
      <c r="J2021" s="9"/>
      <c r="K2021" s="9"/>
      <c r="L2021" s="9"/>
      <c r="M2021" s="9"/>
      <c r="N2021" s="9"/>
      <c r="O2021" s="9"/>
      <c r="P2021" s="9"/>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c r="AV2021" s="9"/>
      <c r="AW2021" s="9"/>
      <c r="AX2021" s="9"/>
      <c r="AY2021" s="9"/>
      <c r="AZ2021" s="9"/>
      <c r="BA2021" s="9"/>
      <c r="BB2021" s="9"/>
      <c r="BC2021" s="9"/>
      <c r="BD2021" s="9"/>
      <c r="BE2021" s="9"/>
      <c r="BF2021" s="9"/>
      <c r="BG2021" s="9"/>
      <c r="BH2021" s="9"/>
      <c r="BI2021" s="9"/>
      <c r="BJ2021" s="9"/>
      <c r="BK2021" s="9"/>
      <c r="BL2021" s="9"/>
      <c r="BM2021" s="9"/>
      <c r="BN2021" s="9"/>
      <c r="BO2021" s="9"/>
      <c r="BP2021" s="9"/>
      <c r="BQ2021" s="9"/>
      <c r="BR2021" s="9"/>
      <c r="BS2021" s="9"/>
      <c r="BT2021" s="9"/>
      <c r="BU2021" s="9"/>
      <c r="BV2021" s="9"/>
      <c r="BW2021" s="9"/>
    </row>
    <row r="2022" spans="1:75" x14ac:dyDescent="0.25">
      <c r="A2022" s="9"/>
      <c r="B2022" s="9"/>
      <c r="C2022" s="9"/>
      <c r="D2022" s="9"/>
      <c r="E2022" s="9"/>
      <c r="F2022" s="9"/>
      <c r="G2022" s="9"/>
      <c r="H2022" s="9"/>
      <c r="I2022" s="9"/>
      <c r="J2022" s="9"/>
      <c r="K2022" s="9"/>
      <c r="L2022" s="9"/>
      <c r="M2022" s="9"/>
      <c r="N2022" s="9"/>
      <c r="O2022" s="9"/>
      <c r="P2022" s="9"/>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c r="AV2022" s="9"/>
      <c r="AW2022" s="9"/>
      <c r="AX2022" s="9"/>
      <c r="AY2022" s="9"/>
      <c r="AZ2022" s="9"/>
      <c r="BA2022" s="9"/>
      <c r="BB2022" s="9"/>
      <c r="BC2022" s="9"/>
      <c r="BD2022" s="9"/>
      <c r="BE2022" s="9"/>
      <c r="BF2022" s="9"/>
      <c r="BG2022" s="9"/>
      <c r="BH2022" s="9"/>
      <c r="BI2022" s="9"/>
      <c r="BJ2022" s="9"/>
      <c r="BK2022" s="9"/>
      <c r="BL2022" s="9"/>
      <c r="BM2022" s="9"/>
      <c r="BN2022" s="9"/>
      <c r="BO2022" s="9"/>
      <c r="BP2022" s="9"/>
      <c r="BQ2022" s="9"/>
      <c r="BR2022" s="9"/>
      <c r="BS2022" s="9"/>
      <c r="BT2022" s="9"/>
      <c r="BU2022" s="9"/>
      <c r="BV2022" s="9"/>
      <c r="BW2022" s="9"/>
    </row>
    <row r="2023" spans="1:75" x14ac:dyDescent="0.25">
      <c r="A2023" s="9"/>
      <c r="B2023" s="9"/>
      <c r="C2023" s="9"/>
      <c r="D2023" s="9"/>
      <c r="E2023" s="9"/>
      <c r="F2023" s="9"/>
      <c r="G2023" s="9"/>
      <c r="H2023" s="9"/>
      <c r="I2023" s="9"/>
      <c r="J2023" s="9"/>
      <c r="K2023" s="9"/>
      <c r="L2023" s="9"/>
      <c r="M2023" s="9"/>
      <c r="N2023" s="9"/>
      <c r="O2023" s="9"/>
      <c r="P2023" s="9"/>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c r="AV2023" s="9"/>
      <c r="AW2023" s="9"/>
      <c r="AX2023" s="9"/>
      <c r="AY2023" s="9"/>
      <c r="AZ2023" s="9"/>
      <c r="BA2023" s="9"/>
      <c r="BB2023" s="9"/>
      <c r="BC2023" s="9"/>
      <c r="BD2023" s="9"/>
      <c r="BE2023" s="9"/>
      <c r="BF2023" s="9"/>
      <c r="BG2023" s="9"/>
      <c r="BH2023" s="9"/>
      <c r="BI2023" s="9"/>
      <c r="BJ2023" s="9"/>
      <c r="BK2023" s="9"/>
      <c r="BL2023" s="9"/>
      <c r="BM2023" s="9"/>
      <c r="BN2023" s="9"/>
      <c r="BO2023" s="9"/>
      <c r="BP2023" s="9"/>
      <c r="BQ2023" s="9"/>
      <c r="BR2023" s="9"/>
      <c r="BS2023" s="9"/>
      <c r="BT2023" s="9"/>
      <c r="BU2023" s="9"/>
      <c r="BV2023" s="9"/>
      <c r="BW2023" s="9"/>
    </row>
    <row r="2024" spans="1:75" x14ac:dyDescent="0.25">
      <c r="A2024" s="9"/>
      <c r="B2024" s="9"/>
      <c r="C2024" s="9"/>
      <c r="D2024" s="9"/>
      <c r="E2024" s="9"/>
      <c r="F2024" s="9"/>
      <c r="G2024" s="9"/>
      <c r="H2024" s="9"/>
      <c r="I2024" s="9"/>
      <c r="J2024" s="9"/>
      <c r="K2024" s="9"/>
      <c r="L2024" s="9"/>
      <c r="M2024" s="9"/>
      <c r="N2024" s="9"/>
      <c r="O2024" s="9"/>
      <c r="P2024" s="9"/>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c r="AV2024" s="9"/>
      <c r="AW2024" s="9"/>
      <c r="AX2024" s="9"/>
      <c r="AY2024" s="9"/>
      <c r="AZ2024" s="9"/>
      <c r="BA2024" s="9"/>
      <c r="BB2024" s="9"/>
      <c r="BC2024" s="9"/>
      <c r="BD2024" s="9"/>
      <c r="BE2024" s="9"/>
      <c r="BF2024" s="9"/>
      <c r="BG2024" s="9"/>
      <c r="BH2024" s="9"/>
      <c r="BI2024" s="9"/>
      <c r="BJ2024" s="9"/>
      <c r="BK2024" s="9"/>
      <c r="BL2024" s="9"/>
      <c r="BM2024" s="9"/>
      <c r="BN2024" s="9"/>
      <c r="BO2024" s="9"/>
      <c r="BP2024" s="9"/>
      <c r="BQ2024" s="9"/>
      <c r="BR2024" s="9"/>
      <c r="BS2024" s="9"/>
      <c r="BT2024" s="9"/>
      <c r="BU2024" s="9"/>
      <c r="BV2024" s="9"/>
      <c r="BW2024" s="9"/>
    </row>
    <row r="2025" spans="1:75" x14ac:dyDescent="0.25">
      <c r="A2025" s="9"/>
      <c r="B2025" s="9"/>
      <c r="C2025" s="9"/>
      <c r="D2025" s="9"/>
      <c r="E2025" s="9"/>
      <c r="F2025" s="9"/>
      <c r="G2025" s="9"/>
      <c r="H2025" s="9"/>
      <c r="I2025" s="9"/>
      <c r="J2025" s="9"/>
      <c r="K2025" s="9"/>
      <c r="L2025" s="9"/>
      <c r="M2025" s="9"/>
      <c r="N2025" s="9"/>
      <c r="O2025" s="9"/>
      <c r="P2025" s="9"/>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c r="AV2025" s="9"/>
      <c r="AW2025" s="9"/>
      <c r="AX2025" s="9"/>
      <c r="AY2025" s="9"/>
      <c r="AZ2025" s="9"/>
      <c r="BA2025" s="9"/>
      <c r="BB2025" s="9"/>
      <c r="BC2025" s="9"/>
      <c r="BD2025" s="9"/>
      <c r="BE2025" s="9"/>
      <c r="BF2025" s="9"/>
      <c r="BG2025" s="9"/>
      <c r="BH2025" s="9"/>
      <c r="BI2025" s="9"/>
      <c r="BJ2025" s="9"/>
      <c r="BK2025" s="9"/>
      <c r="BL2025" s="9"/>
      <c r="BM2025" s="9"/>
      <c r="BN2025" s="9"/>
      <c r="BO2025" s="9"/>
      <c r="BP2025" s="9"/>
      <c r="BQ2025" s="9"/>
      <c r="BR2025" s="9"/>
      <c r="BS2025" s="9"/>
      <c r="BT2025" s="9"/>
      <c r="BU2025" s="9"/>
      <c r="BV2025" s="9"/>
      <c r="BW2025" s="9"/>
    </row>
    <row r="2026" spans="1:75" x14ac:dyDescent="0.25">
      <c r="A2026" s="9"/>
      <c r="B2026" s="9"/>
      <c r="C2026" s="9"/>
      <c r="D2026" s="9"/>
      <c r="E2026" s="9"/>
      <c r="F2026" s="9"/>
      <c r="G2026" s="9"/>
      <c r="H2026" s="9"/>
      <c r="I2026" s="9"/>
      <c r="J2026" s="9"/>
      <c r="K2026" s="9"/>
      <c r="L2026" s="9"/>
      <c r="M2026" s="9"/>
      <c r="N2026" s="9"/>
      <c r="O2026" s="9"/>
      <c r="P2026" s="9"/>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c r="AV2026" s="9"/>
      <c r="AW2026" s="9"/>
      <c r="AX2026" s="9"/>
      <c r="AY2026" s="9"/>
      <c r="AZ2026" s="9"/>
      <c r="BA2026" s="9"/>
      <c r="BB2026" s="9"/>
      <c r="BC2026" s="9"/>
      <c r="BD2026" s="9"/>
      <c r="BE2026" s="9"/>
      <c r="BF2026" s="9"/>
      <c r="BG2026" s="9"/>
      <c r="BH2026" s="9"/>
      <c r="BI2026" s="9"/>
      <c r="BJ2026" s="9"/>
      <c r="BK2026" s="9"/>
      <c r="BL2026" s="9"/>
      <c r="BM2026" s="9"/>
      <c r="BN2026" s="9"/>
      <c r="BO2026" s="9"/>
      <c r="BP2026" s="9"/>
      <c r="BQ2026" s="9"/>
      <c r="BR2026" s="9"/>
      <c r="BS2026" s="9"/>
      <c r="BT2026" s="9"/>
      <c r="BU2026" s="9"/>
      <c r="BV2026" s="9"/>
      <c r="BW2026" s="9"/>
    </row>
    <row r="2027" spans="1:75" x14ac:dyDescent="0.25">
      <c r="A2027" s="9"/>
      <c r="B2027" s="9"/>
      <c r="C2027" s="9"/>
      <c r="D2027" s="9"/>
      <c r="E2027" s="9"/>
      <c r="F2027" s="9"/>
      <c r="G2027" s="9"/>
      <c r="H2027" s="9"/>
      <c r="I2027" s="9"/>
      <c r="J2027" s="9"/>
      <c r="K2027" s="9"/>
      <c r="L2027" s="9"/>
      <c r="M2027" s="9"/>
      <c r="N2027" s="9"/>
      <c r="O2027" s="9"/>
      <c r="P2027" s="9"/>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c r="AV2027" s="9"/>
      <c r="AW2027" s="9"/>
      <c r="AX2027" s="9"/>
      <c r="AY2027" s="9"/>
      <c r="AZ2027" s="9"/>
      <c r="BA2027" s="9"/>
      <c r="BB2027" s="9"/>
      <c r="BC2027" s="9"/>
      <c r="BD2027" s="9"/>
      <c r="BE2027" s="9"/>
      <c r="BF2027" s="9"/>
      <c r="BG2027" s="9"/>
      <c r="BH2027" s="9"/>
      <c r="BI2027" s="9"/>
      <c r="BJ2027" s="9"/>
      <c r="BK2027" s="9"/>
      <c r="BL2027" s="9"/>
      <c r="BM2027" s="9"/>
      <c r="BN2027" s="9"/>
      <c r="BO2027" s="9"/>
      <c r="BP2027" s="9"/>
      <c r="BQ2027" s="9"/>
      <c r="BR2027" s="9"/>
      <c r="BS2027" s="9"/>
      <c r="BT2027" s="9"/>
      <c r="BU2027" s="9"/>
      <c r="BV2027" s="9"/>
      <c r="BW2027" s="9"/>
    </row>
    <row r="2028" spans="1:75" x14ac:dyDescent="0.25">
      <c r="A2028" s="9"/>
      <c r="B2028" s="9"/>
      <c r="C2028" s="9"/>
      <c r="D2028" s="9"/>
      <c r="E2028" s="9"/>
      <c r="F2028" s="9"/>
      <c r="G2028" s="9"/>
      <c r="H2028" s="9"/>
      <c r="I2028" s="9"/>
      <c r="J2028" s="9"/>
      <c r="K2028" s="9"/>
      <c r="L2028" s="9"/>
      <c r="M2028" s="9"/>
      <c r="N2028" s="9"/>
      <c r="O2028" s="9"/>
      <c r="P2028" s="9"/>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c r="AV2028" s="9"/>
      <c r="AW2028" s="9"/>
      <c r="AX2028" s="9"/>
      <c r="AY2028" s="9"/>
      <c r="AZ2028" s="9"/>
      <c r="BA2028" s="9"/>
      <c r="BB2028" s="9"/>
      <c r="BC2028" s="9"/>
      <c r="BD2028" s="9"/>
      <c r="BE2028" s="9"/>
      <c r="BF2028" s="9"/>
      <c r="BG2028" s="9"/>
      <c r="BH2028" s="9"/>
      <c r="BI2028" s="9"/>
      <c r="BJ2028" s="9"/>
      <c r="BK2028" s="9"/>
      <c r="BL2028" s="9"/>
      <c r="BM2028" s="9"/>
      <c r="BN2028" s="9"/>
      <c r="BO2028" s="9"/>
      <c r="BP2028" s="9"/>
      <c r="BQ2028" s="9"/>
      <c r="BR2028" s="9"/>
      <c r="BS2028" s="9"/>
      <c r="BT2028" s="9"/>
      <c r="BU2028" s="9"/>
      <c r="BV2028" s="9"/>
      <c r="BW2028" s="9"/>
    </row>
    <row r="2029" spans="1:75" x14ac:dyDescent="0.25">
      <c r="A2029" s="9"/>
      <c r="B2029" s="9"/>
      <c r="C2029" s="9"/>
      <c r="D2029" s="9"/>
      <c r="E2029" s="9"/>
      <c r="F2029" s="9"/>
      <c r="G2029" s="9"/>
      <c r="H2029" s="9"/>
      <c r="I2029" s="9"/>
      <c r="J2029" s="9"/>
      <c r="K2029" s="9"/>
      <c r="L2029" s="9"/>
      <c r="M2029" s="9"/>
      <c r="N2029" s="9"/>
      <c r="O2029" s="9"/>
      <c r="P2029" s="9"/>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c r="AV2029" s="9"/>
      <c r="AW2029" s="9"/>
      <c r="AX2029" s="9"/>
      <c r="AY2029" s="9"/>
      <c r="AZ2029" s="9"/>
      <c r="BA2029" s="9"/>
      <c r="BB2029" s="9"/>
      <c r="BC2029" s="9"/>
      <c r="BD2029" s="9"/>
      <c r="BE2029" s="9"/>
      <c r="BF2029" s="9"/>
      <c r="BG2029" s="9"/>
      <c r="BH2029" s="9"/>
      <c r="BI2029" s="9"/>
      <c r="BJ2029" s="9"/>
      <c r="BK2029" s="9"/>
      <c r="BL2029" s="9"/>
      <c r="BM2029" s="9"/>
      <c r="BN2029" s="9"/>
      <c r="BO2029" s="9"/>
      <c r="BP2029" s="9"/>
      <c r="BQ2029" s="9"/>
      <c r="BR2029" s="9"/>
      <c r="BS2029" s="9"/>
      <c r="BT2029" s="9"/>
      <c r="BU2029" s="9"/>
      <c r="BV2029" s="9"/>
      <c r="BW2029" s="9"/>
    </row>
    <row r="2030" spans="1:75" x14ac:dyDescent="0.25">
      <c r="A2030" s="9"/>
      <c r="B2030" s="9"/>
      <c r="C2030" s="9"/>
      <c r="D2030" s="9"/>
      <c r="E2030" s="9"/>
      <c r="F2030" s="9"/>
      <c r="G2030" s="9"/>
      <c r="H2030" s="9"/>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c r="AV2030" s="9"/>
      <c r="AW2030" s="9"/>
      <c r="AX2030" s="9"/>
      <c r="AY2030" s="9"/>
      <c r="AZ2030" s="9"/>
      <c r="BA2030" s="9"/>
      <c r="BB2030" s="9"/>
      <c r="BC2030" s="9"/>
      <c r="BD2030" s="9"/>
      <c r="BE2030" s="9"/>
      <c r="BF2030" s="9"/>
      <c r="BG2030" s="9"/>
      <c r="BH2030" s="9"/>
      <c r="BI2030" s="9"/>
      <c r="BJ2030" s="9"/>
      <c r="BK2030" s="9"/>
      <c r="BL2030" s="9"/>
      <c r="BM2030" s="9"/>
      <c r="BN2030" s="9"/>
      <c r="BO2030" s="9"/>
      <c r="BP2030" s="9"/>
      <c r="BQ2030" s="9"/>
      <c r="BR2030" s="9"/>
      <c r="BS2030" s="9"/>
      <c r="BT2030" s="9"/>
      <c r="BU2030" s="9"/>
      <c r="BV2030" s="9"/>
      <c r="BW2030" s="9"/>
    </row>
    <row r="2031" spans="1:75" x14ac:dyDescent="0.25">
      <c r="A2031" s="9"/>
      <c r="B2031" s="9"/>
      <c r="C2031" s="9"/>
      <c r="D2031" s="9"/>
      <c r="E2031" s="9"/>
      <c r="F2031" s="9"/>
      <c r="G2031" s="9"/>
      <c r="H2031" s="9"/>
      <c r="I2031" s="9"/>
      <c r="J2031" s="9"/>
      <c r="K2031" s="9"/>
      <c r="L2031" s="9"/>
      <c r="M2031" s="9"/>
      <c r="N2031" s="9"/>
      <c r="O2031" s="9"/>
      <c r="P2031" s="9"/>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c r="AV2031" s="9"/>
      <c r="AW2031" s="9"/>
      <c r="AX2031" s="9"/>
      <c r="AY2031" s="9"/>
      <c r="AZ2031" s="9"/>
      <c r="BA2031" s="9"/>
      <c r="BB2031" s="9"/>
      <c r="BC2031" s="9"/>
      <c r="BD2031" s="9"/>
      <c r="BE2031" s="9"/>
      <c r="BF2031" s="9"/>
      <c r="BG2031" s="9"/>
      <c r="BH2031" s="9"/>
      <c r="BI2031" s="9"/>
      <c r="BJ2031" s="9"/>
      <c r="BK2031" s="9"/>
      <c r="BL2031" s="9"/>
      <c r="BM2031" s="9"/>
      <c r="BN2031" s="9"/>
      <c r="BO2031" s="9"/>
      <c r="BP2031" s="9"/>
      <c r="BQ2031" s="9"/>
      <c r="BR2031" s="9"/>
      <c r="BS2031" s="9"/>
      <c r="BT2031" s="9"/>
      <c r="BU2031" s="9"/>
      <c r="BV2031" s="9"/>
      <c r="BW2031" s="9"/>
    </row>
    <row r="2032" spans="1:75" x14ac:dyDescent="0.25">
      <c r="A2032" s="9"/>
      <c r="B2032" s="9"/>
      <c r="C2032" s="9"/>
      <c r="D2032" s="9"/>
      <c r="E2032" s="9"/>
      <c r="F2032" s="9"/>
      <c r="G2032" s="9"/>
      <c r="H2032" s="9"/>
      <c r="I2032" s="9"/>
      <c r="J2032" s="9"/>
      <c r="K2032" s="9"/>
      <c r="L2032" s="9"/>
      <c r="M2032" s="9"/>
      <c r="N2032" s="9"/>
      <c r="O2032" s="9"/>
      <c r="P2032" s="9"/>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c r="AV2032" s="9"/>
      <c r="AW2032" s="9"/>
      <c r="AX2032" s="9"/>
      <c r="AY2032" s="9"/>
      <c r="AZ2032" s="9"/>
      <c r="BA2032" s="9"/>
      <c r="BB2032" s="9"/>
      <c r="BC2032" s="9"/>
      <c r="BD2032" s="9"/>
      <c r="BE2032" s="9"/>
      <c r="BF2032" s="9"/>
      <c r="BG2032" s="9"/>
      <c r="BH2032" s="9"/>
      <c r="BI2032" s="9"/>
      <c r="BJ2032" s="9"/>
      <c r="BK2032" s="9"/>
      <c r="BL2032" s="9"/>
      <c r="BM2032" s="9"/>
      <c r="BN2032" s="9"/>
      <c r="BO2032" s="9"/>
      <c r="BP2032" s="9"/>
      <c r="BQ2032" s="9"/>
      <c r="BR2032" s="9"/>
      <c r="BS2032" s="9"/>
      <c r="BT2032" s="9"/>
      <c r="BU2032" s="9"/>
      <c r="BV2032" s="9"/>
      <c r="BW2032" s="9"/>
    </row>
    <row r="2033" spans="1:75" x14ac:dyDescent="0.25">
      <c r="A2033" s="9"/>
      <c r="B2033" s="9"/>
      <c r="C2033" s="9"/>
      <c r="D2033" s="9"/>
      <c r="E2033" s="9"/>
      <c r="F2033" s="9"/>
      <c r="G2033" s="9"/>
      <c r="H2033" s="9"/>
      <c r="I2033" s="9"/>
      <c r="J2033" s="9"/>
      <c r="K2033" s="9"/>
      <c r="L2033" s="9"/>
      <c r="M2033" s="9"/>
      <c r="N2033" s="9"/>
      <c r="O2033" s="9"/>
      <c r="P2033" s="9"/>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c r="AV2033" s="9"/>
      <c r="AW2033" s="9"/>
      <c r="AX2033" s="9"/>
      <c r="AY2033" s="9"/>
      <c r="AZ2033" s="9"/>
      <c r="BA2033" s="9"/>
      <c r="BB2033" s="9"/>
      <c r="BC2033" s="9"/>
      <c r="BD2033" s="9"/>
      <c r="BE2033" s="9"/>
      <c r="BF2033" s="9"/>
      <c r="BG2033" s="9"/>
      <c r="BH2033" s="9"/>
      <c r="BI2033" s="9"/>
      <c r="BJ2033" s="9"/>
      <c r="BK2033" s="9"/>
      <c r="BL2033" s="9"/>
      <c r="BM2033" s="9"/>
      <c r="BN2033" s="9"/>
      <c r="BO2033" s="9"/>
      <c r="BP2033" s="9"/>
      <c r="BQ2033" s="9"/>
      <c r="BR2033" s="9"/>
      <c r="BS2033" s="9"/>
      <c r="BT2033" s="9"/>
      <c r="BU2033" s="9"/>
      <c r="BV2033" s="9"/>
      <c r="BW2033" s="9"/>
    </row>
    <row r="2034" spans="1:75" x14ac:dyDescent="0.25">
      <c r="A2034" s="9"/>
      <c r="B2034" s="9"/>
      <c r="C2034" s="9"/>
      <c r="D2034" s="9"/>
      <c r="E2034" s="9"/>
      <c r="F2034" s="9"/>
      <c r="G2034" s="9"/>
      <c r="H2034" s="9"/>
      <c r="I2034" s="9"/>
      <c r="J2034" s="9"/>
      <c r="K2034" s="9"/>
      <c r="L2034" s="9"/>
      <c r="M2034" s="9"/>
      <c r="N2034" s="9"/>
      <c r="O2034" s="9"/>
      <c r="P2034" s="9"/>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c r="AV2034" s="9"/>
      <c r="AW2034" s="9"/>
      <c r="AX2034" s="9"/>
      <c r="AY2034" s="9"/>
      <c r="AZ2034" s="9"/>
      <c r="BA2034" s="9"/>
      <c r="BB2034" s="9"/>
      <c r="BC2034" s="9"/>
      <c r="BD2034" s="9"/>
      <c r="BE2034" s="9"/>
      <c r="BF2034" s="9"/>
      <c r="BG2034" s="9"/>
      <c r="BH2034" s="9"/>
      <c r="BI2034" s="9"/>
      <c r="BJ2034" s="9"/>
      <c r="BK2034" s="9"/>
      <c r="BL2034" s="9"/>
      <c r="BM2034" s="9"/>
      <c r="BN2034" s="9"/>
      <c r="BO2034" s="9"/>
      <c r="BP2034" s="9"/>
      <c r="BQ2034" s="9"/>
      <c r="BR2034" s="9"/>
      <c r="BS2034" s="9"/>
      <c r="BT2034" s="9"/>
      <c r="BU2034" s="9"/>
      <c r="BV2034" s="9"/>
      <c r="BW2034" s="9"/>
    </row>
    <row r="2035" spans="1:75" x14ac:dyDescent="0.25">
      <c r="A2035" s="9"/>
      <c r="B2035" s="9"/>
      <c r="C2035" s="9"/>
      <c r="D2035" s="9"/>
      <c r="E2035" s="9"/>
      <c r="F2035" s="9"/>
      <c r="G2035" s="9"/>
      <c r="H2035" s="9"/>
      <c r="I2035" s="9"/>
      <c r="J2035" s="9"/>
      <c r="K2035" s="9"/>
      <c r="L2035" s="9"/>
      <c r="M2035" s="9"/>
      <c r="N2035" s="9"/>
      <c r="O2035" s="9"/>
      <c r="P2035" s="9"/>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c r="AV2035" s="9"/>
      <c r="AW2035" s="9"/>
      <c r="AX2035" s="9"/>
      <c r="AY2035" s="9"/>
      <c r="AZ2035" s="9"/>
      <c r="BA2035" s="9"/>
      <c r="BB2035" s="9"/>
      <c r="BC2035" s="9"/>
      <c r="BD2035" s="9"/>
      <c r="BE2035" s="9"/>
      <c r="BF2035" s="9"/>
      <c r="BG2035" s="9"/>
      <c r="BH2035" s="9"/>
      <c r="BI2035" s="9"/>
      <c r="BJ2035" s="9"/>
      <c r="BK2035" s="9"/>
      <c r="BL2035" s="9"/>
      <c r="BM2035" s="9"/>
      <c r="BN2035" s="9"/>
      <c r="BO2035" s="9"/>
      <c r="BP2035" s="9"/>
      <c r="BQ2035" s="9"/>
      <c r="BR2035" s="9"/>
      <c r="BS2035" s="9"/>
      <c r="BT2035" s="9"/>
      <c r="BU2035" s="9"/>
      <c r="BV2035" s="9"/>
      <c r="BW2035" s="9"/>
    </row>
    <row r="2036" spans="1:75" x14ac:dyDescent="0.25">
      <c r="A2036" s="9"/>
      <c r="B2036" s="9"/>
      <c r="C2036" s="9"/>
      <c r="D2036" s="9"/>
      <c r="E2036" s="9"/>
      <c r="F2036" s="9"/>
      <c r="G2036" s="9"/>
      <c r="H2036" s="9"/>
      <c r="I2036" s="9"/>
      <c r="J2036" s="9"/>
      <c r="K2036" s="9"/>
      <c r="L2036" s="9"/>
      <c r="M2036" s="9"/>
      <c r="N2036" s="9"/>
      <c r="O2036" s="9"/>
      <c r="P2036" s="9"/>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c r="AV2036" s="9"/>
      <c r="AW2036" s="9"/>
      <c r="AX2036" s="9"/>
      <c r="AY2036" s="9"/>
      <c r="AZ2036" s="9"/>
      <c r="BA2036" s="9"/>
      <c r="BB2036" s="9"/>
      <c r="BC2036" s="9"/>
      <c r="BD2036" s="9"/>
      <c r="BE2036" s="9"/>
      <c r="BF2036" s="9"/>
      <c r="BG2036" s="9"/>
      <c r="BH2036" s="9"/>
      <c r="BI2036" s="9"/>
      <c r="BJ2036" s="9"/>
      <c r="BK2036" s="9"/>
      <c r="BL2036" s="9"/>
      <c r="BM2036" s="9"/>
      <c r="BN2036" s="9"/>
      <c r="BO2036" s="9"/>
      <c r="BP2036" s="9"/>
      <c r="BQ2036" s="9"/>
      <c r="BR2036" s="9"/>
      <c r="BS2036" s="9"/>
      <c r="BT2036" s="9"/>
      <c r="BU2036" s="9"/>
      <c r="BV2036" s="9"/>
      <c r="BW2036" s="9"/>
    </row>
    <row r="2037" spans="1:75" x14ac:dyDescent="0.25">
      <c r="A2037" s="9"/>
      <c r="B2037" s="9"/>
      <c r="C2037" s="9"/>
      <c r="D2037" s="9"/>
      <c r="E2037" s="9"/>
      <c r="F2037" s="9"/>
      <c r="G2037" s="9"/>
      <c r="H2037" s="9"/>
      <c r="I2037" s="9"/>
      <c r="J2037" s="9"/>
      <c r="K2037" s="9"/>
      <c r="L2037" s="9"/>
      <c r="M2037" s="9"/>
      <c r="N2037" s="9"/>
      <c r="O2037" s="9"/>
      <c r="P2037" s="9"/>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c r="AV2037" s="9"/>
      <c r="AW2037" s="9"/>
      <c r="AX2037" s="9"/>
      <c r="AY2037" s="9"/>
      <c r="AZ2037" s="9"/>
      <c r="BA2037" s="9"/>
      <c r="BB2037" s="9"/>
      <c r="BC2037" s="9"/>
      <c r="BD2037" s="9"/>
      <c r="BE2037" s="9"/>
      <c r="BF2037" s="9"/>
      <c r="BG2037" s="9"/>
      <c r="BH2037" s="9"/>
      <c r="BI2037" s="9"/>
      <c r="BJ2037" s="9"/>
      <c r="BK2037" s="9"/>
      <c r="BL2037" s="9"/>
      <c r="BM2037" s="9"/>
      <c r="BN2037" s="9"/>
      <c r="BO2037" s="9"/>
      <c r="BP2037" s="9"/>
      <c r="BQ2037" s="9"/>
      <c r="BR2037" s="9"/>
      <c r="BS2037" s="9"/>
      <c r="BT2037" s="9"/>
      <c r="BU2037" s="9"/>
      <c r="BV2037" s="9"/>
      <c r="BW2037" s="9"/>
    </row>
    <row r="2038" spans="1:75" x14ac:dyDescent="0.25">
      <c r="A2038" s="9"/>
      <c r="B2038" s="9"/>
      <c r="C2038" s="9"/>
      <c r="D2038" s="9"/>
      <c r="E2038" s="9"/>
      <c r="F2038" s="9"/>
      <c r="G2038" s="9"/>
      <c r="H2038" s="9"/>
      <c r="I2038" s="9"/>
      <c r="J2038" s="9"/>
      <c r="K2038" s="9"/>
      <c r="L2038" s="9"/>
      <c r="M2038" s="9"/>
      <c r="N2038" s="9"/>
      <c r="O2038" s="9"/>
      <c r="P2038" s="9"/>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c r="AV2038" s="9"/>
      <c r="AW2038" s="9"/>
      <c r="AX2038" s="9"/>
      <c r="AY2038" s="9"/>
      <c r="AZ2038" s="9"/>
      <c r="BA2038" s="9"/>
      <c r="BB2038" s="9"/>
      <c r="BC2038" s="9"/>
      <c r="BD2038" s="9"/>
      <c r="BE2038" s="9"/>
      <c r="BF2038" s="9"/>
      <c r="BG2038" s="9"/>
      <c r="BH2038" s="9"/>
      <c r="BI2038" s="9"/>
      <c r="BJ2038" s="9"/>
      <c r="BK2038" s="9"/>
      <c r="BL2038" s="9"/>
      <c r="BM2038" s="9"/>
      <c r="BN2038" s="9"/>
      <c r="BO2038" s="9"/>
      <c r="BP2038" s="9"/>
      <c r="BQ2038" s="9"/>
      <c r="BR2038" s="9"/>
      <c r="BS2038" s="9"/>
      <c r="BT2038" s="9"/>
      <c r="BU2038" s="9"/>
      <c r="BV2038" s="9"/>
      <c r="BW2038" s="9"/>
    </row>
    <row r="2039" spans="1:75" x14ac:dyDescent="0.25">
      <c r="A2039" s="9"/>
      <c r="B2039" s="9"/>
      <c r="C2039" s="9"/>
      <c r="D2039" s="9"/>
      <c r="E2039" s="9"/>
      <c r="F2039" s="9"/>
      <c r="G2039" s="9"/>
      <c r="H2039" s="9"/>
      <c r="I2039" s="9"/>
      <c r="J2039" s="9"/>
      <c r="K2039" s="9"/>
      <c r="L2039" s="9"/>
      <c r="M2039" s="9"/>
      <c r="N2039" s="9"/>
      <c r="O2039" s="9"/>
      <c r="P2039" s="9"/>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c r="AV2039" s="9"/>
      <c r="AW2039" s="9"/>
      <c r="AX2039" s="9"/>
      <c r="AY2039" s="9"/>
      <c r="AZ2039" s="9"/>
      <c r="BA2039" s="9"/>
      <c r="BB2039" s="9"/>
      <c r="BC2039" s="9"/>
      <c r="BD2039" s="9"/>
      <c r="BE2039" s="9"/>
      <c r="BF2039" s="9"/>
      <c r="BG2039" s="9"/>
      <c r="BH2039" s="9"/>
      <c r="BI2039" s="9"/>
      <c r="BJ2039" s="9"/>
      <c r="BK2039" s="9"/>
      <c r="BL2039" s="9"/>
      <c r="BM2039" s="9"/>
      <c r="BN2039" s="9"/>
      <c r="BO2039" s="9"/>
      <c r="BP2039" s="9"/>
      <c r="BQ2039" s="9"/>
      <c r="BR2039" s="9"/>
      <c r="BS2039" s="9"/>
      <c r="BT2039" s="9"/>
      <c r="BU2039" s="9"/>
      <c r="BV2039" s="9"/>
      <c r="BW2039" s="9"/>
    </row>
    <row r="2040" spans="1:75" x14ac:dyDescent="0.25">
      <c r="A2040" s="9"/>
      <c r="B2040" s="9"/>
      <c r="C2040" s="9"/>
      <c r="D2040" s="9"/>
      <c r="E2040" s="9"/>
      <c r="F2040" s="9"/>
      <c r="G2040" s="9"/>
      <c r="H2040" s="9"/>
      <c r="I2040" s="9"/>
      <c r="J2040" s="9"/>
      <c r="K2040" s="9"/>
      <c r="L2040" s="9"/>
      <c r="M2040" s="9"/>
      <c r="N2040" s="9"/>
      <c r="O2040" s="9"/>
      <c r="P2040" s="9"/>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c r="AV2040" s="9"/>
      <c r="AW2040" s="9"/>
      <c r="AX2040" s="9"/>
      <c r="AY2040" s="9"/>
      <c r="AZ2040" s="9"/>
      <c r="BA2040" s="9"/>
      <c r="BB2040" s="9"/>
      <c r="BC2040" s="9"/>
      <c r="BD2040" s="9"/>
      <c r="BE2040" s="9"/>
      <c r="BF2040" s="9"/>
      <c r="BG2040" s="9"/>
      <c r="BH2040" s="9"/>
      <c r="BI2040" s="9"/>
      <c r="BJ2040" s="9"/>
      <c r="BK2040" s="9"/>
      <c r="BL2040" s="9"/>
      <c r="BM2040" s="9"/>
      <c r="BN2040" s="9"/>
      <c r="BO2040" s="9"/>
      <c r="BP2040" s="9"/>
      <c r="BQ2040" s="9"/>
      <c r="BR2040" s="9"/>
      <c r="BS2040" s="9"/>
      <c r="BT2040" s="9"/>
      <c r="BU2040" s="9"/>
      <c r="BV2040" s="9"/>
      <c r="BW2040" s="9"/>
    </row>
    <row r="2041" spans="1:75" x14ac:dyDescent="0.25">
      <c r="A2041" s="9"/>
      <c r="B2041" s="9"/>
      <c r="C2041" s="9"/>
      <c r="D2041" s="9"/>
      <c r="E2041" s="9"/>
      <c r="F2041" s="9"/>
      <c r="G2041" s="9"/>
      <c r="H2041" s="9"/>
      <c r="I2041" s="9"/>
      <c r="J2041" s="9"/>
      <c r="K2041" s="9"/>
      <c r="L2041" s="9"/>
      <c r="M2041" s="9"/>
      <c r="N2041" s="9"/>
      <c r="O2041" s="9"/>
      <c r="P2041" s="9"/>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c r="AV2041" s="9"/>
      <c r="AW2041" s="9"/>
      <c r="AX2041" s="9"/>
      <c r="AY2041" s="9"/>
      <c r="AZ2041" s="9"/>
      <c r="BA2041" s="9"/>
      <c r="BB2041" s="9"/>
      <c r="BC2041" s="9"/>
      <c r="BD2041" s="9"/>
      <c r="BE2041" s="9"/>
      <c r="BF2041" s="9"/>
      <c r="BG2041" s="9"/>
      <c r="BH2041" s="9"/>
      <c r="BI2041" s="9"/>
      <c r="BJ2041" s="9"/>
      <c r="BK2041" s="9"/>
      <c r="BL2041" s="9"/>
      <c r="BM2041" s="9"/>
      <c r="BN2041" s="9"/>
      <c r="BO2041" s="9"/>
      <c r="BP2041" s="9"/>
      <c r="BQ2041" s="9"/>
      <c r="BR2041" s="9"/>
      <c r="BS2041" s="9"/>
      <c r="BT2041" s="9"/>
      <c r="BU2041" s="9"/>
      <c r="BV2041" s="9"/>
      <c r="BW2041" s="9"/>
    </row>
    <row r="2042" spans="1:75" x14ac:dyDescent="0.25">
      <c r="A2042" s="9"/>
      <c r="B2042" s="9"/>
      <c r="C2042" s="9"/>
      <c r="D2042" s="9"/>
      <c r="E2042" s="9"/>
      <c r="F2042" s="9"/>
      <c r="G2042" s="9"/>
      <c r="H2042" s="9"/>
      <c r="I2042" s="9"/>
      <c r="J2042" s="9"/>
      <c r="K2042" s="9"/>
      <c r="L2042" s="9"/>
      <c r="M2042" s="9"/>
      <c r="N2042" s="9"/>
      <c r="O2042" s="9"/>
      <c r="P2042" s="9"/>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c r="AV2042" s="9"/>
      <c r="AW2042" s="9"/>
      <c r="AX2042" s="9"/>
      <c r="AY2042" s="9"/>
      <c r="AZ2042" s="9"/>
      <c r="BA2042" s="9"/>
      <c r="BB2042" s="9"/>
      <c r="BC2042" s="9"/>
      <c r="BD2042" s="9"/>
      <c r="BE2042" s="9"/>
      <c r="BF2042" s="9"/>
      <c r="BG2042" s="9"/>
      <c r="BH2042" s="9"/>
      <c r="BI2042" s="9"/>
      <c r="BJ2042" s="9"/>
      <c r="BK2042" s="9"/>
      <c r="BL2042" s="9"/>
      <c r="BM2042" s="9"/>
      <c r="BN2042" s="9"/>
      <c r="BO2042" s="9"/>
      <c r="BP2042" s="9"/>
      <c r="BQ2042" s="9"/>
      <c r="BR2042" s="9"/>
      <c r="BS2042" s="9"/>
      <c r="BT2042" s="9"/>
      <c r="BU2042" s="9"/>
      <c r="BV2042" s="9"/>
      <c r="BW2042" s="9"/>
    </row>
    <row r="2043" spans="1:75" x14ac:dyDescent="0.25">
      <c r="A2043" s="9"/>
      <c r="B2043" s="9"/>
      <c r="C2043" s="9"/>
      <c r="D2043" s="9"/>
      <c r="E2043" s="9"/>
      <c r="F2043" s="9"/>
      <c r="G2043" s="9"/>
      <c r="H2043" s="9"/>
      <c r="I2043" s="9"/>
      <c r="J2043" s="9"/>
      <c r="K2043" s="9"/>
      <c r="L2043" s="9"/>
      <c r="M2043" s="9"/>
      <c r="N2043" s="9"/>
      <c r="O2043" s="9"/>
      <c r="P2043" s="9"/>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c r="AV2043" s="9"/>
      <c r="AW2043" s="9"/>
      <c r="AX2043" s="9"/>
      <c r="AY2043" s="9"/>
      <c r="AZ2043" s="9"/>
      <c r="BA2043" s="9"/>
      <c r="BB2043" s="9"/>
      <c r="BC2043" s="9"/>
      <c r="BD2043" s="9"/>
      <c r="BE2043" s="9"/>
      <c r="BF2043" s="9"/>
      <c r="BG2043" s="9"/>
      <c r="BH2043" s="9"/>
      <c r="BI2043" s="9"/>
      <c r="BJ2043" s="9"/>
      <c r="BK2043" s="9"/>
      <c r="BL2043" s="9"/>
      <c r="BM2043" s="9"/>
      <c r="BN2043" s="9"/>
      <c r="BO2043" s="9"/>
      <c r="BP2043" s="9"/>
      <c r="BQ2043" s="9"/>
      <c r="BR2043" s="9"/>
      <c r="BS2043" s="9"/>
      <c r="BT2043" s="9"/>
      <c r="BU2043" s="9"/>
      <c r="BV2043" s="9"/>
      <c r="BW2043" s="9"/>
    </row>
    <row r="2044" spans="1:75" x14ac:dyDescent="0.25">
      <c r="A2044" s="9"/>
      <c r="B2044" s="9"/>
      <c r="C2044" s="9"/>
      <c r="D2044" s="9"/>
      <c r="E2044" s="9"/>
      <c r="F2044" s="9"/>
      <c r="G2044" s="9"/>
      <c r="H2044" s="9"/>
      <c r="I2044" s="9"/>
      <c r="J2044" s="9"/>
      <c r="K2044" s="9"/>
      <c r="L2044" s="9"/>
      <c r="M2044" s="9"/>
      <c r="N2044" s="9"/>
      <c r="O2044" s="9"/>
      <c r="P2044" s="9"/>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c r="AV2044" s="9"/>
      <c r="AW2044" s="9"/>
      <c r="AX2044" s="9"/>
      <c r="AY2044" s="9"/>
      <c r="AZ2044" s="9"/>
      <c r="BA2044" s="9"/>
      <c r="BB2044" s="9"/>
      <c r="BC2044" s="9"/>
      <c r="BD2044" s="9"/>
      <c r="BE2044" s="9"/>
      <c r="BF2044" s="9"/>
      <c r="BG2044" s="9"/>
      <c r="BH2044" s="9"/>
      <c r="BI2044" s="9"/>
      <c r="BJ2044" s="9"/>
      <c r="BK2044" s="9"/>
      <c r="BL2044" s="9"/>
      <c r="BM2044" s="9"/>
      <c r="BN2044" s="9"/>
      <c r="BO2044" s="9"/>
      <c r="BP2044" s="9"/>
      <c r="BQ2044" s="9"/>
      <c r="BR2044" s="9"/>
      <c r="BS2044" s="9"/>
      <c r="BT2044" s="9"/>
      <c r="BU2044" s="9"/>
      <c r="BV2044" s="9"/>
      <c r="BW2044" s="9"/>
    </row>
    <row r="2045" spans="1:75" x14ac:dyDescent="0.25">
      <c r="A2045" s="9"/>
      <c r="B2045" s="9"/>
      <c r="C2045" s="9"/>
      <c r="D2045" s="9"/>
      <c r="E2045" s="9"/>
      <c r="F2045" s="9"/>
      <c r="G2045" s="9"/>
      <c r="H2045" s="9"/>
      <c r="I2045" s="9"/>
      <c r="J2045" s="9"/>
      <c r="K2045" s="9"/>
      <c r="L2045" s="9"/>
      <c r="M2045" s="9"/>
      <c r="N2045" s="9"/>
      <c r="O2045" s="9"/>
      <c r="P2045" s="9"/>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c r="AV2045" s="9"/>
      <c r="AW2045" s="9"/>
      <c r="AX2045" s="9"/>
      <c r="AY2045" s="9"/>
      <c r="AZ2045" s="9"/>
      <c r="BA2045" s="9"/>
      <c r="BB2045" s="9"/>
      <c r="BC2045" s="9"/>
      <c r="BD2045" s="9"/>
      <c r="BE2045" s="9"/>
      <c r="BF2045" s="9"/>
      <c r="BG2045" s="9"/>
      <c r="BH2045" s="9"/>
      <c r="BI2045" s="9"/>
      <c r="BJ2045" s="9"/>
      <c r="BK2045" s="9"/>
      <c r="BL2045" s="9"/>
      <c r="BM2045" s="9"/>
      <c r="BN2045" s="9"/>
      <c r="BO2045" s="9"/>
      <c r="BP2045" s="9"/>
      <c r="BQ2045" s="9"/>
      <c r="BR2045" s="9"/>
      <c r="BS2045" s="9"/>
      <c r="BT2045" s="9"/>
      <c r="BU2045" s="9"/>
      <c r="BV2045" s="9"/>
      <c r="BW2045" s="9"/>
    </row>
    <row r="2046" spans="1:75" x14ac:dyDescent="0.25">
      <c r="A2046" s="9"/>
      <c r="B2046" s="9"/>
      <c r="C2046" s="9"/>
      <c r="D2046" s="9"/>
      <c r="E2046" s="9"/>
      <c r="F2046" s="9"/>
      <c r="G2046" s="9"/>
      <c r="H2046" s="9"/>
      <c r="I2046" s="9"/>
      <c r="J2046" s="9"/>
      <c r="K2046" s="9"/>
      <c r="L2046" s="9"/>
      <c r="M2046" s="9"/>
      <c r="N2046" s="9"/>
      <c r="O2046" s="9"/>
      <c r="P2046" s="9"/>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c r="AV2046" s="9"/>
      <c r="AW2046" s="9"/>
      <c r="AX2046" s="9"/>
      <c r="AY2046" s="9"/>
      <c r="AZ2046" s="9"/>
      <c r="BA2046" s="9"/>
      <c r="BB2046" s="9"/>
      <c r="BC2046" s="9"/>
      <c r="BD2046" s="9"/>
      <c r="BE2046" s="9"/>
      <c r="BF2046" s="9"/>
      <c r="BG2046" s="9"/>
      <c r="BH2046" s="9"/>
      <c r="BI2046" s="9"/>
      <c r="BJ2046" s="9"/>
      <c r="BK2046" s="9"/>
      <c r="BL2046" s="9"/>
      <c r="BM2046" s="9"/>
      <c r="BN2046" s="9"/>
      <c r="BO2046" s="9"/>
      <c r="BP2046" s="9"/>
      <c r="BQ2046" s="9"/>
      <c r="BR2046" s="9"/>
      <c r="BS2046" s="9"/>
      <c r="BT2046" s="9"/>
      <c r="BU2046" s="9"/>
      <c r="BV2046" s="9"/>
      <c r="BW2046" s="9"/>
    </row>
    <row r="2047" spans="1:75" x14ac:dyDescent="0.25">
      <c r="A2047" s="9"/>
      <c r="B2047" s="9"/>
      <c r="C2047" s="9"/>
      <c r="D2047" s="9"/>
      <c r="E2047" s="9"/>
      <c r="F2047" s="9"/>
      <c r="G2047" s="9"/>
      <c r="H2047" s="9"/>
      <c r="I2047" s="9"/>
      <c r="J2047" s="9"/>
      <c r="K2047" s="9"/>
      <c r="L2047" s="9"/>
      <c r="M2047" s="9"/>
      <c r="N2047" s="9"/>
      <c r="O2047" s="9"/>
      <c r="P2047" s="9"/>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c r="AV2047" s="9"/>
      <c r="AW2047" s="9"/>
      <c r="AX2047" s="9"/>
      <c r="AY2047" s="9"/>
      <c r="AZ2047" s="9"/>
      <c r="BA2047" s="9"/>
      <c r="BB2047" s="9"/>
      <c r="BC2047" s="9"/>
      <c r="BD2047" s="9"/>
      <c r="BE2047" s="9"/>
      <c r="BF2047" s="9"/>
      <c r="BG2047" s="9"/>
      <c r="BH2047" s="9"/>
      <c r="BI2047" s="9"/>
      <c r="BJ2047" s="9"/>
      <c r="BK2047" s="9"/>
      <c r="BL2047" s="9"/>
      <c r="BM2047" s="9"/>
      <c r="BN2047" s="9"/>
      <c r="BO2047" s="9"/>
      <c r="BP2047" s="9"/>
      <c r="BQ2047" s="9"/>
      <c r="BR2047" s="9"/>
      <c r="BS2047" s="9"/>
      <c r="BT2047" s="9"/>
      <c r="BU2047" s="9"/>
      <c r="BV2047" s="9"/>
      <c r="BW2047" s="9"/>
    </row>
    <row r="2048" spans="1:75" x14ac:dyDescent="0.25">
      <c r="A2048" s="9"/>
      <c r="B2048" s="9"/>
      <c r="C2048" s="9"/>
      <c r="D2048" s="9"/>
      <c r="E2048" s="9"/>
      <c r="F2048" s="9"/>
      <c r="G2048" s="9"/>
      <c r="H2048" s="9"/>
      <c r="I2048" s="9"/>
      <c r="J2048" s="9"/>
      <c r="K2048" s="9"/>
      <c r="L2048" s="9"/>
      <c r="M2048" s="9"/>
      <c r="N2048" s="9"/>
      <c r="O2048" s="9"/>
      <c r="P2048" s="9"/>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c r="AV2048" s="9"/>
      <c r="AW2048" s="9"/>
      <c r="AX2048" s="9"/>
      <c r="AY2048" s="9"/>
      <c r="AZ2048" s="9"/>
      <c r="BA2048" s="9"/>
      <c r="BB2048" s="9"/>
      <c r="BC2048" s="9"/>
      <c r="BD2048" s="9"/>
      <c r="BE2048" s="9"/>
      <c r="BF2048" s="9"/>
      <c r="BG2048" s="9"/>
      <c r="BH2048" s="9"/>
      <c r="BI2048" s="9"/>
      <c r="BJ2048" s="9"/>
      <c r="BK2048" s="9"/>
      <c r="BL2048" s="9"/>
      <c r="BM2048" s="9"/>
      <c r="BN2048" s="9"/>
      <c r="BO2048" s="9"/>
      <c r="BP2048" s="9"/>
      <c r="BQ2048" s="9"/>
      <c r="BR2048" s="9"/>
      <c r="BS2048" s="9"/>
      <c r="BT2048" s="9"/>
      <c r="BU2048" s="9"/>
      <c r="BV2048" s="9"/>
      <c r="BW2048" s="9"/>
    </row>
    <row r="2049" spans="1:75" x14ac:dyDescent="0.25">
      <c r="A2049" s="9"/>
      <c r="B2049" s="9"/>
      <c r="C2049" s="9"/>
      <c r="D2049" s="9"/>
      <c r="E2049" s="9"/>
      <c r="F2049" s="9"/>
      <c r="G2049" s="9"/>
      <c r="H2049" s="9"/>
      <c r="I2049" s="9"/>
      <c r="J2049" s="9"/>
      <c r="K2049" s="9"/>
      <c r="L2049" s="9"/>
      <c r="M2049" s="9"/>
      <c r="N2049" s="9"/>
      <c r="O2049" s="9"/>
      <c r="P2049" s="9"/>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c r="AV2049" s="9"/>
      <c r="AW2049" s="9"/>
      <c r="AX2049" s="9"/>
      <c r="AY2049" s="9"/>
      <c r="AZ2049" s="9"/>
      <c r="BA2049" s="9"/>
      <c r="BB2049" s="9"/>
      <c r="BC2049" s="9"/>
      <c r="BD2049" s="9"/>
      <c r="BE2049" s="9"/>
      <c r="BF2049" s="9"/>
      <c r="BG2049" s="9"/>
      <c r="BH2049" s="9"/>
      <c r="BI2049" s="9"/>
      <c r="BJ2049" s="9"/>
      <c r="BK2049" s="9"/>
      <c r="BL2049" s="9"/>
      <c r="BM2049" s="9"/>
      <c r="BN2049" s="9"/>
      <c r="BO2049" s="9"/>
      <c r="BP2049" s="9"/>
      <c r="BQ2049" s="9"/>
      <c r="BR2049" s="9"/>
      <c r="BS2049" s="9"/>
      <c r="BT2049" s="9"/>
      <c r="BU2049" s="9"/>
      <c r="BV2049" s="9"/>
      <c r="BW2049" s="9"/>
    </row>
    <row r="2050" spans="1:75" x14ac:dyDescent="0.25">
      <c r="A2050" s="9"/>
      <c r="B2050" s="9"/>
      <c r="C2050" s="9"/>
      <c r="D2050" s="9"/>
      <c r="E2050" s="9"/>
      <c r="F2050" s="9"/>
      <c r="G2050" s="9"/>
      <c r="H2050" s="9"/>
      <c r="I2050" s="9"/>
      <c r="J2050" s="9"/>
      <c r="K2050" s="9"/>
      <c r="L2050" s="9"/>
      <c r="M2050" s="9"/>
      <c r="N2050" s="9"/>
      <c r="O2050" s="9"/>
      <c r="P2050" s="9"/>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c r="AV2050" s="9"/>
      <c r="AW2050" s="9"/>
      <c r="AX2050" s="9"/>
      <c r="AY2050" s="9"/>
      <c r="AZ2050" s="9"/>
      <c r="BA2050" s="9"/>
      <c r="BB2050" s="9"/>
      <c r="BC2050" s="9"/>
      <c r="BD2050" s="9"/>
      <c r="BE2050" s="9"/>
      <c r="BF2050" s="9"/>
      <c r="BG2050" s="9"/>
      <c r="BH2050" s="9"/>
      <c r="BI2050" s="9"/>
      <c r="BJ2050" s="9"/>
      <c r="BK2050" s="9"/>
      <c r="BL2050" s="9"/>
      <c r="BM2050" s="9"/>
      <c r="BN2050" s="9"/>
      <c r="BO2050" s="9"/>
      <c r="BP2050" s="9"/>
      <c r="BQ2050" s="9"/>
      <c r="BR2050" s="9"/>
      <c r="BS2050" s="9"/>
      <c r="BT2050" s="9"/>
      <c r="BU2050" s="9"/>
      <c r="BV2050" s="9"/>
      <c r="BW2050" s="9"/>
    </row>
    <row r="2051" spans="1:75" x14ac:dyDescent="0.25">
      <c r="A2051" s="9"/>
      <c r="B2051" s="9"/>
      <c r="C2051" s="9"/>
      <c r="D2051" s="9"/>
      <c r="E2051" s="9"/>
      <c r="F2051" s="9"/>
      <c r="G2051" s="9"/>
      <c r="H2051" s="9"/>
      <c r="I2051" s="9"/>
      <c r="J2051" s="9"/>
      <c r="K2051" s="9"/>
      <c r="L2051" s="9"/>
      <c r="M2051" s="9"/>
      <c r="N2051" s="9"/>
      <c r="O2051" s="9"/>
      <c r="P2051" s="9"/>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c r="AV2051" s="9"/>
      <c r="AW2051" s="9"/>
      <c r="AX2051" s="9"/>
      <c r="AY2051" s="9"/>
      <c r="AZ2051" s="9"/>
      <c r="BA2051" s="9"/>
      <c r="BB2051" s="9"/>
      <c r="BC2051" s="9"/>
      <c r="BD2051" s="9"/>
      <c r="BE2051" s="9"/>
      <c r="BF2051" s="9"/>
      <c r="BG2051" s="9"/>
      <c r="BH2051" s="9"/>
      <c r="BI2051" s="9"/>
      <c r="BJ2051" s="9"/>
      <c r="BK2051" s="9"/>
      <c r="BL2051" s="9"/>
      <c r="BM2051" s="9"/>
      <c r="BN2051" s="9"/>
      <c r="BO2051" s="9"/>
      <c r="BP2051" s="9"/>
      <c r="BQ2051" s="9"/>
      <c r="BR2051" s="9"/>
      <c r="BS2051" s="9"/>
      <c r="BT2051" s="9"/>
      <c r="BU2051" s="9"/>
      <c r="BV2051" s="9"/>
      <c r="BW2051" s="9"/>
    </row>
    <row r="2052" spans="1:75" x14ac:dyDescent="0.25">
      <c r="A2052" s="9"/>
      <c r="B2052" s="9"/>
      <c r="C2052" s="9"/>
      <c r="D2052" s="9"/>
      <c r="E2052" s="9"/>
      <c r="F2052" s="9"/>
      <c r="G2052" s="9"/>
      <c r="H2052" s="9"/>
      <c r="I2052" s="9"/>
      <c r="J2052" s="9"/>
      <c r="K2052" s="9"/>
      <c r="L2052" s="9"/>
      <c r="M2052" s="9"/>
      <c r="N2052" s="9"/>
      <c r="O2052" s="9"/>
      <c r="P2052" s="9"/>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c r="AV2052" s="9"/>
      <c r="AW2052" s="9"/>
      <c r="AX2052" s="9"/>
      <c r="AY2052" s="9"/>
      <c r="AZ2052" s="9"/>
      <c r="BA2052" s="9"/>
      <c r="BB2052" s="9"/>
      <c r="BC2052" s="9"/>
      <c r="BD2052" s="9"/>
      <c r="BE2052" s="9"/>
      <c r="BF2052" s="9"/>
      <c r="BG2052" s="9"/>
      <c r="BH2052" s="9"/>
      <c r="BI2052" s="9"/>
      <c r="BJ2052" s="9"/>
      <c r="BK2052" s="9"/>
      <c r="BL2052" s="9"/>
      <c r="BM2052" s="9"/>
      <c r="BN2052" s="9"/>
      <c r="BO2052" s="9"/>
      <c r="BP2052" s="9"/>
      <c r="BQ2052" s="9"/>
      <c r="BR2052" s="9"/>
      <c r="BS2052" s="9"/>
      <c r="BT2052" s="9"/>
      <c r="BU2052" s="9"/>
      <c r="BV2052" s="9"/>
      <c r="BW2052" s="9"/>
    </row>
    <row r="2053" spans="1:75" x14ac:dyDescent="0.25">
      <c r="A2053" s="9"/>
      <c r="B2053" s="9"/>
      <c r="C2053" s="9"/>
      <c r="D2053" s="9"/>
      <c r="E2053" s="9"/>
      <c r="F2053" s="9"/>
      <c r="G2053" s="9"/>
      <c r="H2053" s="9"/>
      <c r="I2053" s="9"/>
      <c r="J2053" s="9"/>
      <c r="K2053" s="9"/>
      <c r="L2053" s="9"/>
      <c r="M2053" s="9"/>
      <c r="N2053" s="9"/>
      <c r="O2053" s="9"/>
      <c r="P2053" s="9"/>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c r="AV2053" s="9"/>
      <c r="AW2053" s="9"/>
      <c r="AX2053" s="9"/>
      <c r="AY2053" s="9"/>
      <c r="AZ2053" s="9"/>
      <c r="BA2053" s="9"/>
      <c r="BB2053" s="9"/>
      <c r="BC2053" s="9"/>
      <c r="BD2053" s="9"/>
      <c r="BE2053" s="9"/>
      <c r="BF2053" s="9"/>
      <c r="BG2053" s="9"/>
      <c r="BH2053" s="9"/>
      <c r="BI2053" s="9"/>
      <c r="BJ2053" s="9"/>
      <c r="BK2053" s="9"/>
      <c r="BL2053" s="9"/>
      <c r="BM2053" s="9"/>
      <c r="BN2053" s="9"/>
      <c r="BO2053" s="9"/>
      <c r="BP2053" s="9"/>
      <c r="BQ2053" s="9"/>
      <c r="BR2053" s="9"/>
      <c r="BS2053" s="9"/>
      <c r="BT2053" s="9"/>
      <c r="BU2053" s="9"/>
      <c r="BV2053" s="9"/>
      <c r="BW2053" s="9"/>
    </row>
    <row r="2054" spans="1:75" x14ac:dyDescent="0.25">
      <c r="A2054" s="9"/>
      <c r="B2054" s="9"/>
      <c r="C2054" s="9"/>
      <c r="D2054" s="9"/>
      <c r="E2054" s="9"/>
      <c r="F2054" s="9"/>
      <c r="G2054" s="9"/>
      <c r="H2054" s="9"/>
      <c r="I2054" s="9"/>
      <c r="J2054" s="9"/>
      <c r="K2054" s="9"/>
      <c r="L2054" s="9"/>
      <c r="M2054" s="9"/>
      <c r="N2054" s="9"/>
      <c r="O2054" s="9"/>
      <c r="P2054" s="9"/>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c r="AV2054" s="9"/>
      <c r="AW2054" s="9"/>
      <c r="AX2054" s="9"/>
      <c r="AY2054" s="9"/>
      <c r="AZ2054" s="9"/>
      <c r="BA2054" s="9"/>
      <c r="BB2054" s="9"/>
      <c r="BC2054" s="9"/>
      <c r="BD2054" s="9"/>
      <c r="BE2054" s="9"/>
      <c r="BF2054" s="9"/>
      <c r="BG2054" s="9"/>
      <c r="BH2054" s="9"/>
      <c r="BI2054" s="9"/>
      <c r="BJ2054" s="9"/>
      <c r="BK2054" s="9"/>
      <c r="BL2054" s="9"/>
      <c r="BM2054" s="9"/>
      <c r="BN2054" s="9"/>
      <c r="BO2054" s="9"/>
      <c r="BP2054" s="9"/>
      <c r="BQ2054" s="9"/>
      <c r="BR2054" s="9"/>
      <c r="BS2054" s="9"/>
      <c r="BT2054" s="9"/>
      <c r="BU2054" s="9"/>
      <c r="BV2054" s="9"/>
      <c r="BW2054" s="9"/>
    </row>
    <row r="2055" spans="1:75" x14ac:dyDescent="0.25">
      <c r="A2055" s="9"/>
      <c r="B2055" s="9"/>
      <c r="C2055" s="9"/>
      <c r="D2055" s="9"/>
      <c r="E2055" s="9"/>
      <c r="F2055" s="9"/>
      <c r="G2055" s="9"/>
      <c r="H2055" s="9"/>
      <c r="I2055" s="9"/>
      <c r="J2055" s="9"/>
      <c r="K2055" s="9"/>
      <c r="L2055" s="9"/>
      <c r="M2055" s="9"/>
      <c r="N2055" s="9"/>
      <c r="O2055" s="9"/>
      <c r="P2055" s="9"/>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c r="AV2055" s="9"/>
      <c r="AW2055" s="9"/>
      <c r="AX2055" s="9"/>
      <c r="AY2055" s="9"/>
      <c r="AZ2055" s="9"/>
      <c r="BA2055" s="9"/>
      <c r="BB2055" s="9"/>
      <c r="BC2055" s="9"/>
      <c r="BD2055" s="9"/>
      <c r="BE2055" s="9"/>
      <c r="BF2055" s="9"/>
      <c r="BG2055" s="9"/>
      <c r="BH2055" s="9"/>
      <c r="BI2055" s="9"/>
      <c r="BJ2055" s="9"/>
      <c r="BK2055" s="9"/>
      <c r="BL2055" s="9"/>
      <c r="BM2055" s="9"/>
      <c r="BN2055" s="9"/>
      <c r="BO2055" s="9"/>
      <c r="BP2055" s="9"/>
      <c r="BQ2055" s="9"/>
      <c r="BR2055" s="9"/>
      <c r="BS2055" s="9"/>
      <c r="BT2055" s="9"/>
      <c r="BU2055" s="9"/>
      <c r="BV2055" s="9"/>
      <c r="BW2055" s="9"/>
    </row>
    <row r="2056" spans="1:75" x14ac:dyDescent="0.25">
      <c r="A2056" s="9"/>
      <c r="B2056" s="9"/>
      <c r="C2056" s="9"/>
      <c r="D2056" s="9"/>
      <c r="E2056" s="9"/>
      <c r="F2056" s="9"/>
      <c r="G2056" s="9"/>
      <c r="H2056" s="9"/>
      <c r="I2056" s="9"/>
      <c r="J2056" s="9"/>
      <c r="K2056" s="9"/>
      <c r="L2056" s="9"/>
      <c r="M2056" s="9"/>
      <c r="N2056" s="9"/>
      <c r="O2056" s="9"/>
      <c r="P2056" s="9"/>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c r="AV2056" s="9"/>
      <c r="AW2056" s="9"/>
      <c r="AX2056" s="9"/>
      <c r="AY2056" s="9"/>
      <c r="AZ2056" s="9"/>
      <c r="BA2056" s="9"/>
      <c r="BB2056" s="9"/>
      <c r="BC2056" s="9"/>
      <c r="BD2056" s="9"/>
      <c r="BE2056" s="9"/>
      <c r="BF2056" s="9"/>
      <c r="BG2056" s="9"/>
      <c r="BH2056" s="9"/>
      <c r="BI2056" s="9"/>
      <c r="BJ2056" s="9"/>
      <c r="BK2056" s="9"/>
      <c r="BL2056" s="9"/>
      <c r="BM2056" s="9"/>
      <c r="BN2056" s="9"/>
      <c r="BO2056" s="9"/>
      <c r="BP2056" s="9"/>
      <c r="BQ2056" s="9"/>
      <c r="BR2056" s="9"/>
      <c r="BS2056" s="9"/>
      <c r="BT2056" s="9"/>
      <c r="BU2056" s="9"/>
      <c r="BV2056" s="9"/>
      <c r="BW2056" s="9"/>
    </row>
    <row r="2057" spans="1:75" x14ac:dyDescent="0.25">
      <c r="A2057" s="9"/>
      <c r="B2057" s="9"/>
      <c r="C2057" s="9"/>
      <c r="D2057" s="9"/>
      <c r="E2057" s="9"/>
      <c r="F2057" s="9"/>
      <c r="G2057" s="9"/>
      <c r="H2057" s="9"/>
      <c r="I2057" s="9"/>
      <c r="J2057" s="9"/>
      <c r="K2057" s="9"/>
      <c r="L2057" s="9"/>
      <c r="M2057" s="9"/>
      <c r="N2057" s="9"/>
      <c r="O2057" s="9"/>
      <c r="P2057" s="9"/>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c r="AV2057" s="9"/>
      <c r="AW2057" s="9"/>
      <c r="AX2057" s="9"/>
      <c r="AY2057" s="9"/>
      <c r="AZ2057" s="9"/>
      <c r="BA2057" s="9"/>
      <c r="BB2057" s="9"/>
      <c r="BC2057" s="9"/>
      <c r="BD2057" s="9"/>
      <c r="BE2057" s="9"/>
      <c r="BF2057" s="9"/>
      <c r="BG2057" s="9"/>
      <c r="BH2057" s="9"/>
      <c r="BI2057" s="9"/>
      <c r="BJ2057" s="9"/>
      <c r="BK2057" s="9"/>
      <c r="BL2057" s="9"/>
      <c r="BM2057" s="9"/>
      <c r="BN2057" s="9"/>
      <c r="BO2057" s="9"/>
      <c r="BP2057" s="9"/>
      <c r="BQ2057" s="9"/>
      <c r="BR2057" s="9"/>
      <c r="BS2057" s="9"/>
      <c r="BT2057" s="9"/>
      <c r="BU2057" s="9"/>
      <c r="BV2057" s="9"/>
      <c r="BW2057" s="9"/>
    </row>
    <row r="2058" spans="1:75" x14ac:dyDescent="0.25">
      <c r="A2058" s="9"/>
      <c r="B2058" s="9"/>
      <c r="C2058" s="9"/>
      <c r="D2058" s="9"/>
      <c r="E2058" s="9"/>
      <c r="F2058" s="9"/>
      <c r="G2058" s="9"/>
      <c r="H2058" s="9"/>
      <c r="I2058" s="9"/>
      <c r="J2058" s="9"/>
      <c r="K2058" s="9"/>
      <c r="L2058" s="9"/>
      <c r="M2058" s="9"/>
      <c r="N2058" s="9"/>
      <c r="O2058" s="9"/>
      <c r="P2058" s="9"/>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c r="AV2058" s="9"/>
      <c r="AW2058" s="9"/>
      <c r="AX2058" s="9"/>
      <c r="AY2058" s="9"/>
      <c r="AZ2058" s="9"/>
      <c r="BA2058" s="9"/>
      <c r="BB2058" s="9"/>
      <c r="BC2058" s="9"/>
      <c r="BD2058" s="9"/>
      <c r="BE2058" s="9"/>
      <c r="BF2058" s="9"/>
      <c r="BG2058" s="9"/>
      <c r="BH2058" s="9"/>
      <c r="BI2058" s="9"/>
      <c r="BJ2058" s="9"/>
      <c r="BK2058" s="9"/>
      <c r="BL2058" s="9"/>
      <c r="BM2058" s="9"/>
      <c r="BN2058" s="9"/>
      <c r="BO2058" s="9"/>
      <c r="BP2058" s="9"/>
      <c r="BQ2058" s="9"/>
      <c r="BR2058" s="9"/>
      <c r="BS2058" s="9"/>
      <c r="BT2058" s="9"/>
      <c r="BU2058" s="9"/>
      <c r="BV2058" s="9"/>
      <c r="BW2058" s="9"/>
    </row>
    <row r="2059" spans="1:75" x14ac:dyDescent="0.25">
      <c r="A2059" s="9"/>
      <c r="B2059" s="9"/>
      <c r="C2059" s="9"/>
      <c r="D2059" s="9"/>
      <c r="E2059" s="9"/>
      <c r="F2059" s="9"/>
      <c r="G2059" s="9"/>
      <c r="H2059" s="9"/>
      <c r="I2059" s="9"/>
      <c r="J2059" s="9"/>
      <c r="K2059" s="9"/>
      <c r="L2059" s="9"/>
      <c r="M2059" s="9"/>
      <c r="N2059" s="9"/>
      <c r="O2059" s="9"/>
      <c r="P2059" s="9"/>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c r="AV2059" s="9"/>
      <c r="AW2059" s="9"/>
      <c r="AX2059" s="9"/>
      <c r="AY2059" s="9"/>
      <c r="AZ2059" s="9"/>
      <c r="BA2059" s="9"/>
      <c r="BB2059" s="9"/>
      <c r="BC2059" s="9"/>
      <c r="BD2059" s="9"/>
      <c r="BE2059" s="9"/>
      <c r="BF2059" s="9"/>
      <c r="BG2059" s="9"/>
      <c r="BH2059" s="9"/>
      <c r="BI2059" s="9"/>
      <c r="BJ2059" s="9"/>
      <c r="BK2059" s="9"/>
      <c r="BL2059" s="9"/>
      <c r="BM2059" s="9"/>
      <c r="BN2059" s="9"/>
      <c r="BO2059" s="9"/>
      <c r="BP2059" s="9"/>
      <c r="BQ2059" s="9"/>
      <c r="BR2059" s="9"/>
      <c r="BS2059" s="9"/>
      <c r="BT2059" s="9"/>
      <c r="BU2059" s="9"/>
      <c r="BV2059" s="9"/>
      <c r="BW2059" s="9"/>
    </row>
    <row r="2060" spans="1:75" x14ac:dyDescent="0.25">
      <c r="A2060" s="9"/>
      <c r="B2060" s="9"/>
      <c r="C2060" s="9"/>
      <c r="D2060" s="9"/>
      <c r="E2060" s="9"/>
      <c r="F2060" s="9"/>
      <c r="G2060" s="9"/>
      <c r="H2060" s="9"/>
      <c r="I2060" s="9"/>
      <c r="J2060" s="9"/>
      <c r="K2060" s="9"/>
      <c r="L2060" s="9"/>
      <c r="M2060" s="9"/>
      <c r="N2060" s="9"/>
      <c r="O2060" s="9"/>
      <c r="P2060" s="9"/>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c r="AV2060" s="9"/>
      <c r="AW2060" s="9"/>
      <c r="AX2060" s="9"/>
      <c r="AY2060" s="9"/>
      <c r="AZ2060" s="9"/>
      <c r="BA2060" s="9"/>
      <c r="BB2060" s="9"/>
      <c r="BC2060" s="9"/>
      <c r="BD2060" s="9"/>
      <c r="BE2060" s="9"/>
      <c r="BF2060" s="9"/>
      <c r="BG2060" s="9"/>
      <c r="BH2060" s="9"/>
      <c r="BI2060" s="9"/>
      <c r="BJ2060" s="9"/>
      <c r="BK2060" s="9"/>
      <c r="BL2060" s="9"/>
      <c r="BM2060" s="9"/>
      <c r="BN2060" s="9"/>
      <c r="BO2060" s="9"/>
      <c r="BP2060" s="9"/>
      <c r="BQ2060" s="9"/>
      <c r="BR2060" s="9"/>
      <c r="BS2060" s="9"/>
      <c r="BT2060" s="9"/>
      <c r="BU2060" s="9"/>
      <c r="BV2060" s="9"/>
      <c r="BW2060" s="9"/>
    </row>
    <row r="2061" spans="1:75" x14ac:dyDescent="0.25">
      <c r="A2061" s="9"/>
      <c r="B2061" s="9"/>
      <c r="C2061" s="9"/>
      <c r="D2061" s="9"/>
      <c r="E2061" s="9"/>
      <c r="F2061" s="9"/>
      <c r="G2061" s="9"/>
      <c r="H2061" s="9"/>
      <c r="I2061" s="9"/>
      <c r="J2061" s="9"/>
      <c r="K2061" s="9"/>
      <c r="L2061" s="9"/>
      <c r="M2061" s="9"/>
      <c r="N2061" s="9"/>
      <c r="O2061" s="9"/>
      <c r="P2061" s="9"/>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c r="AV2061" s="9"/>
      <c r="AW2061" s="9"/>
      <c r="AX2061" s="9"/>
      <c r="AY2061" s="9"/>
      <c r="AZ2061" s="9"/>
      <c r="BA2061" s="9"/>
      <c r="BB2061" s="9"/>
      <c r="BC2061" s="9"/>
      <c r="BD2061" s="9"/>
      <c r="BE2061" s="9"/>
      <c r="BF2061" s="9"/>
      <c r="BG2061" s="9"/>
      <c r="BH2061" s="9"/>
      <c r="BI2061" s="9"/>
      <c r="BJ2061" s="9"/>
      <c r="BK2061" s="9"/>
      <c r="BL2061" s="9"/>
      <c r="BM2061" s="9"/>
      <c r="BN2061" s="9"/>
      <c r="BO2061" s="9"/>
      <c r="BP2061" s="9"/>
      <c r="BQ2061" s="9"/>
      <c r="BR2061" s="9"/>
      <c r="BS2061" s="9"/>
      <c r="BT2061" s="9"/>
      <c r="BU2061" s="9"/>
      <c r="BV2061" s="9"/>
      <c r="BW2061" s="9"/>
    </row>
    <row r="2062" spans="1:75" x14ac:dyDescent="0.25">
      <c r="A2062" s="9"/>
      <c r="B2062" s="9"/>
      <c r="C2062" s="9"/>
      <c r="D2062" s="9"/>
      <c r="E2062" s="9"/>
      <c r="F2062" s="9"/>
      <c r="G2062" s="9"/>
      <c r="H2062" s="9"/>
      <c r="I2062" s="9"/>
      <c r="J2062" s="9"/>
      <c r="K2062" s="9"/>
      <c r="L2062" s="9"/>
      <c r="M2062" s="9"/>
      <c r="N2062" s="9"/>
      <c r="O2062" s="9"/>
      <c r="P2062" s="9"/>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c r="AV2062" s="9"/>
      <c r="AW2062" s="9"/>
      <c r="AX2062" s="9"/>
      <c r="AY2062" s="9"/>
      <c r="AZ2062" s="9"/>
      <c r="BA2062" s="9"/>
      <c r="BB2062" s="9"/>
      <c r="BC2062" s="9"/>
      <c r="BD2062" s="9"/>
      <c r="BE2062" s="9"/>
      <c r="BF2062" s="9"/>
      <c r="BG2062" s="9"/>
      <c r="BH2062" s="9"/>
      <c r="BI2062" s="9"/>
      <c r="BJ2062" s="9"/>
      <c r="BK2062" s="9"/>
      <c r="BL2062" s="9"/>
      <c r="BM2062" s="9"/>
      <c r="BN2062" s="9"/>
      <c r="BO2062" s="9"/>
      <c r="BP2062" s="9"/>
      <c r="BQ2062" s="9"/>
      <c r="BR2062" s="9"/>
      <c r="BS2062" s="9"/>
      <c r="BT2062" s="9"/>
      <c r="BU2062" s="9"/>
      <c r="BV2062" s="9"/>
      <c r="BW2062" s="9"/>
    </row>
    <row r="2063" spans="1:75" x14ac:dyDescent="0.25">
      <c r="A2063" s="9"/>
      <c r="B2063" s="9"/>
      <c r="C2063" s="9"/>
      <c r="D2063" s="9"/>
      <c r="E2063" s="9"/>
      <c r="F2063" s="9"/>
      <c r="G2063" s="9"/>
      <c r="H2063" s="9"/>
      <c r="I2063" s="9"/>
      <c r="J2063" s="9"/>
      <c r="K2063" s="9"/>
      <c r="L2063" s="9"/>
      <c r="M2063" s="9"/>
      <c r="N2063" s="9"/>
      <c r="O2063" s="9"/>
      <c r="P2063" s="9"/>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c r="AV2063" s="9"/>
      <c r="AW2063" s="9"/>
      <c r="AX2063" s="9"/>
      <c r="AY2063" s="9"/>
      <c r="AZ2063" s="9"/>
      <c r="BA2063" s="9"/>
      <c r="BB2063" s="9"/>
      <c r="BC2063" s="9"/>
      <c r="BD2063" s="9"/>
      <c r="BE2063" s="9"/>
      <c r="BF2063" s="9"/>
      <c r="BG2063" s="9"/>
      <c r="BH2063" s="9"/>
      <c r="BI2063" s="9"/>
      <c r="BJ2063" s="9"/>
      <c r="BK2063" s="9"/>
      <c r="BL2063" s="9"/>
      <c r="BM2063" s="9"/>
      <c r="BN2063" s="9"/>
      <c r="BO2063" s="9"/>
      <c r="BP2063" s="9"/>
      <c r="BQ2063" s="9"/>
      <c r="BR2063" s="9"/>
      <c r="BS2063" s="9"/>
      <c r="BT2063" s="9"/>
      <c r="BU2063" s="9"/>
      <c r="BV2063" s="9"/>
      <c r="BW2063" s="9"/>
    </row>
    <row r="2064" spans="1:75" x14ac:dyDescent="0.25">
      <c r="A2064" s="9"/>
      <c r="B2064" s="9"/>
      <c r="C2064" s="9"/>
      <c r="D2064" s="9"/>
      <c r="E2064" s="9"/>
      <c r="F2064" s="9"/>
      <c r="G2064" s="9"/>
      <c r="H2064" s="9"/>
      <c r="I2064" s="9"/>
      <c r="J2064" s="9"/>
      <c r="K2064" s="9"/>
      <c r="L2064" s="9"/>
      <c r="M2064" s="9"/>
      <c r="N2064" s="9"/>
      <c r="O2064" s="9"/>
      <c r="P2064" s="9"/>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c r="AV2064" s="9"/>
      <c r="AW2064" s="9"/>
      <c r="AX2064" s="9"/>
      <c r="AY2064" s="9"/>
      <c r="AZ2064" s="9"/>
      <c r="BA2064" s="9"/>
      <c r="BB2064" s="9"/>
      <c r="BC2064" s="9"/>
      <c r="BD2064" s="9"/>
      <c r="BE2064" s="9"/>
      <c r="BF2064" s="9"/>
      <c r="BG2064" s="9"/>
      <c r="BH2064" s="9"/>
      <c r="BI2064" s="9"/>
      <c r="BJ2064" s="9"/>
      <c r="BK2064" s="9"/>
      <c r="BL2064" s="9"/>
      <c r="BM2064" s="9"/>
      <c r="BN2064" s="9"/>
      <c r="BO2064" s="9"/>
      <c r="BP2064" s="9"/>
      <c r="BQ2064" s="9"/>
      <c r="BR2064" s="9"/>
      <c r="BS2064" s="9"/>
      <c r="BT2064" s="9"/>
      <c r="BU2064" s="9"/>
      <c r="BV2064" s="9"/>
      <c r="BW2064" s="9"/>
    </row>
    <row r="2065" spans="1:75" x14ac:dyDescent="0.25">
      <c r="A2065" s="9"/>
      <c r="B2065" s="9"/>
      <c r="C2065" s="9"/>
      <c r="D2065" s="9"/>
      <c r="E2065" s="9"/>
      <c r="F2065" s="9"/>
      <c r="G2065" s="9"/>
      <c r="H2065" s="9"/>
      <c r="I2065" s="9"/>
      <c r="J2065" s="9"/>
      <c r="K2065" s="9"/>
      <c r="L2065" s="9"/>
      <c r="M2065" s="9"/>
      <c r="N2065" s="9"/>
      <c r="O2065" s="9"/>
      <c r="P2065" s="9"/>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c r="AV2065" s="9"/>
      <c r="AW2065" s="9"/>
      <c r="AX2065" s="9"/>
      <c r="AY2065" s="9"/>
      <c r="AZ2065" s="9"/>
      <c r="BA2065" s="9"/>
      <c r="BB2065" s="9"/>
      <c r="BC2065" s="9"/>
      <c r="BD2065" s="9"/>
      <c r="BE2065" s="9"/>
      <c r="BF2065" s="9"/>
      <c r="BG2065" s="9"/>
      <c r="BH2065" s="9"/>
      <c r="BI2065" s="9"/>
      <c r="BJ2065" s="9"/>
      <c r="BK2065" s="9"/>
      <c r="BL2065" s="9"/>
      <c r="BM2065" s="9"/>
      <c r="BN2065" s="9"/>
      <c r="BO2065" s="9"/>
      <c r="BP2065" s="9"/>
      <c r="BQ2065" s="9"/>
      <c r="BR2065" s="9"/>
      <c r="BS2065" s="9"/>
      <c r="BT2065" s="9"/>
      <c r="BU2065" s="9"/>
      <c r="BV2065" s="9"/>
      <c r="BW2065" s="9"/>
    </row>
    <row r="2066" spans="1:75" x14ac:dyDescent="0.25">
      <c r="A2066" s="9"/>
      <c r="B2066" s="9"/>
      <c r="C2066" s="9"/>
      <c r="D2066" s="9"/>
      <c r="E2066" s="9"/>
      <c r="F2066" s="9"/>
      <c r="G2066" s="9"/>
      <c r="H2066" s="9"/>
      <c r="I2066" s="9"/>
      <c r="J2066" s="9"/>
      <c r="K2066" s="9"/>
      <c r="L2066" s="9"/>
      <c r="M2066" s="9"/>
      <c r="N2066" s="9"/>
      <c r="O2066" s="9"/>
      <c r="P2066" s="9"/>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c r="AV2066" s="9"/>
      <c r="AW2066" s="9"/>
      <c r="AX2066" s="9"/>
      <c r="AY2066" s="9"/>
      <c r="AZ2066" s="9"/>
      <c r="BA2066" s="9"/>
      <c r="BB2066" s="9"/>
      <c r="BC2066" s="9"/>
      <c r="BD2066" s="9"/>
      <c r="BE2066" s="9"/>
      <c r="BF2066" s="9"/>
      <c r="BG2066" s="9"/>
      <c r="BH2066" s="9"/>
      <c r="BI2066" s="9"/>
      <c r="BJ2066" s="9"/>
      <c r="BK2066" s="9"/>
      <c r="BL2066" s="9"/>
      <c r="BM2066" s="9"/>
      <c r="BN2066" s="9"/>
      <c r="BO2066" s="9"/>
      <c r="BP2066" s="9"/>
      <c r="BQ2066" s="9"/>
      <c r="BR2066" s="9"/>
      <c r="BS2066" s="9"/>
      <c r="BT2066" s="9"/>
      <c r="BU2066" s="9"/>
      <c r="BV2066" s="9"/>
      <c r="BW2066" s="9"/>
    </row>
    <row r="2067" spans="1:75" x14ac:dyDescent="0.25">
      <c r="A2067" s="9"/>
      <c r="B2067" s="9"/>
      <c r="C2067" s="9"/>
      <c r="D2067" s="9"/>
      <c r="E2067" s="9"/>
      <c r="F2067" s="9"/>
      <c r="G2067" s="9"/>
      <c r="H2067" s="9"/>
      <c r="I2067" s="9"/>
      <c r="J2067" s="9"/>
      <c r="K2067" s="9"/>
      <c r="L2067" s="9"/>
      <c r="M2067" s="9"/>
      <c r="N2067" s="9"/>
      <c r="O2067" s="9"/>
      <c r="P2067" s="9"/>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c r="AV2067" s="9"/>
      <c r="AW2067" s="9"/>
      <c r="AX2067" s="9"/>
      <c r="AY2067" s="9"/>
      <c r="AZ2067" s="9"/>
      <c r="BA2067" s="9"/>
      <c r="BB2067" s="9"/>
      <c r="BC2067" s="9"/>
      <c r="BD2067" s="9"/>
      <c r="BE2067" s="9"/>
      <c r="BF2067" s="9"/>
      <c r="BG2067" s="9"/>
      <c r="BH2067" s="9"/>
      <c r="BI2067" s="9"/>
      <c r="BJ2067" s="9"/>
      <c r="BK2067" s="9"/>
      <c r="BL2067" s="9"/>
      <c r="BM2067" s="9"/>
      <c r="BN2067" s="9"/>
      <c r="BO2067" s="9"/>
      <c r="BP2067" s="9"/>
      <c r="BQ2067" s="9"/>
      <c r="BR2067" s="9"/>
      <c r="BS2067" s="9"/>
      <c r="BT2067" s="9"/>
      <c r="BU2067" s="9"/>
      <c r="BV2067" s="9"/>
      <c r="BW2067" s="9"/>
    </row>
    <row r="2068" spans="1:75" x14ac:dyDescent="0.25">
      <c r="A2068" s="9"/>
      <c r="B2068" s="9"/>
      <c r="C2068" s="9"/>
      <c r="D2068" s="9"/>
      <c r="E2068" s="9"/>
      <c r="F2068" s="9"/>
      <c r="G2068" s="9"/>
      <c r="H2068" s="9"/>
      <c r="I2068" s="9"/>
      <c r="J2068" s="9"/>
      <c r="K2068" s="9"/>
      <c r="L2068" s="9"/>
      <c r="M2068" s="9"/>
      <c r="N2068" s="9"/>
      <c r="O2068" s="9"/>
      <c r="P2068" s="9"/>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c r="AV2068" s="9"/>
      <c r="AW2068" s="9"/>
      <c r="AX2068" s="9"/>
      <c r="AY2068" s="9"/>
      <c r="AZ2068" s="9"/>
      <c r="BA2068" s="9"/>
      <c r="BB2068" s="9"/>
      <c r="BC2068" s="9"/>
      <c r="BD2068" s="9"/>
      <c r="BE2068" s="9"/>
      <c r="BF2068" s="9"/>
      <c r="BG2068" s="9"/>
      <c r="BH2068" s="9"/>
      <c r="BI2068" s="9"/>
      <c r="BJ2068" s="9"/>
      <c r="BK2068" s="9"/>
      <c r="BL2068" s="9"/>
      <c r="BM2068" s="9"/>
      <c r="BN2068" s="9"/>
      <c r="BO2068" s="9"/>
      <c r="BP2068" s="9"/>
      <c r="BQ2068" s="9"/>
      <c r="BR2068" s="9"/>
      <c r="BS2068" s="9"/>
      <c r="BT2068" s="9"/>
      <c r="BU2068" s="9"/>
      <c r="BV2068" s="9"/>
      <c r="BW2068" s="9"/>
    </row>
    <row r="2069" spans="1:75" x14ac:dyDescent="0.25">
      <c r="A2069" s="9"/>
      <c r="B2069" s="9"/>
      <c r="C2069" s="9"/>
      <c r="D2069" s="9"/>
      <c r="E2069" s="9"/>
      <c r="F2069" s="9"/>
      <c r="G2069" s="9"/>
      <c r="H2069" s="9"/>
      <c r="I2069" s="9"/>
      <c r="J2069" s="9"/>
      <c r="K2069" s="9"/>
      <c r="L2069" s="9"/>
      <c r="M2069" s="9"/>
      <c r="N2069" s="9"/>
      <c r="O2069" s="9"/>
      <c r="P2069" s="9"/>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c r="AV2069" s="9"/>
      <c r="AW2069" s="9"/>
      <c r="AX2069" s="9"/>
      <c r="AY2069" s="9"/>
      <c r="AZ2069" s="9"/>
      <c r="BA2069" s="9"/>
      <c r="BB2069" s="9"/>
      <c r="BC2069" s="9"/>
      <c r="BD2069" s="9"/>
      <c r="BE2069" s="9"/>
      <c r="BF2069" s="9"/>
      <c r="BG2069" s="9"/>
      <c r="BH2069" s="9"/>
      <c r="BI2069" s="9"/>
      <c r="BJ2069" s="9"/>
      <c r="BK2069" s="9"/>
      <c r="BL2069" s="9"/>
      <c r="BM2069" s="9"/>
      <c r="BN2069" s="9"/>
      <c r="BO2069" s="9"/>
      <c r="BP2069" s="9"/>
      <c r="BQ2069" s="9"/>
      <c r="BR2069" s="9"/>
      <c r="BS2069" s="9"/>
      <c r="BT2069" s="9"/>
      <c r="BU2069" s="9"/>
      <c r="BV2069" s="9"/>
      <c r="BW2069" s="9"/>
    </row>
    <row r="2070" spans="1:75" x14ac:dyDescent="0.25">
      <c r="A2070" s="9"/>
      <c r="B2070" s="9"/>
      <c r="C2070" s="9"/>
      <c r="D2070" s="9"/>
      <c r="E2070" s="9"/>
      <c r="F2070" s="9"/>
      <c r="G2070" s="9"/>
      <c r="H2070" s="9"/>
      <c r="I2070" s="9"/>
      <c r="J2070" s="9"/>
      <c r="K2070" s="9"/>
      <c r="L2070" s="9"/>
      <c r="M2070" s="9"/>
      <c r="N2070" s="9"/>
      <c r="O2070" s="9"/>
      <c r="P2070" s="9"/>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c r="AV2070" s="9"/>
      <c r="AW2070" s="9"/>
      <c r="AX2070" s="9"/>
      <c r="AY2070" s="9"/>
      <c r="AZ2070" s="9"/>
      <c r="BA2070" s="9"/>
      <c r="BB2070" s="9"/>
      <c r="BC2070" s="9"/>
      <c r="BD2070" s="9"/>
      <c r="BE2070" s="9"/>
      <c r="BF2070" s="9"/>
      <c r="BG2070" s="9"/>
      <c r="BH2070" s="9"/>
      <c r="BI2070" s="9"/>
      <c r="BJ2070" s="9"/>
      <c r="BK2070" s="9"/>
      <c r="BL2070" s="9"/>
      <c r="BM2070" s="9"/>
      <c r="BN2070" s="9"/>
      <c r="BO2070" s="9"/>
      <c r="BP2070" s="9"/>
      <c r="BQ2070" s="9"/>
      <c r="BR2070" s="9"/>
      <c r="BS2070" s="9"/>
      <c r="BT2070" s="9"/>
      <c r="BU2070" s="9"/>
      <c r="BV2070" s="9"/>
      <c r="BW2070" s="9"/>
    </row>
    <row r="2071" spans="1:75" x14ac:dyDescent="0.25">
      <c r="A2071" s="9"/>
      <c r="B2071" s="9"/>
      <c r="C2071" s="9"/>
      <c r="D2071" s="9"/>
      <c r="E2071" s="9"/>
      <c r="F2071" s="9"/>
      <c r="G2071" s="9"/>
      <c r="H2071" s="9"/>
      <c r="I2071" s="9"/>
      <c r="J2071" s="9"/>
      <c r="K2071" s="9"/>
      <c r="L2071" s="9"/>
      <c r="M2071" s="9"/>
      <c r="N2071" s="9"/>
      <c r="O2071" s="9"/>
      <c r="P2071" s="9"/>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c r="AV2071" s="9"/>
      <c r="AW2071" s="9"/>
      <c r="AX2071" s="9"/>
      <c r="AY2071" s="9"/>
      <c r="AZ2071" s="9"/>
      <c r="BA2071" s="9"/>
      <c r="BB2071" s="9"/>
      <c r="BC2071" s="9"/>
      <c r="BD2071" s="9"/>
      <c r="BE2071" s="9"/>
      <c r="BF2071" s="9"/>
      <c r="BG2071" s="9"/>
      <c r="BH2071" s="9"/>
      <c r="BI2071" s="9"/>
      <c r="BJ2071" s="9"/>
      <c r="BK2071" s="9"/>
      <c r="BL2071" s="9"/>
      <c r="BM2071" s="9"/>
      <c r="BN2071" s="9"/>
      <c r="BO2071" s="9"/>
      <c r="BP2071" s="9"/>
      <c r="BQ2071" s="9"/>
      <c r="BR2071" s="9"/>
      <c r="BS2071" s="9"/>
      <c r="BT2071" s="9"/>
      <c r="BU2071" s="9"/>
      <c r="BV2071" s="9"/>
      <c r="BW2071" s="9"/>
    </row>
    <row r="2072" spans="1:75" x14ac:dyDescent="0.25">
      <c r="A2072" s="9"/>
      <c r="B2072" s="9"/>
      <c r="C2072" s="9"/>
      <c r="D2072" s="9"/>
      <c r="E2072" s="9"/>
      <c r="F2072" s="9"/>
      <c r="G2072" s="9"/>
      <c r="H2072" s="9"/>
      <c r="I2072" s="9"/>
      <c r="J2072" s="9"/>
      <c r="K2072" s="9"/>
      <c r="L2072" s="9"/>
      <c r="M2072" s="9"/>
      <c r="N2072" s="9"/>
      <c r="O2072" s="9"/>
      <c r="P2072" s="9"/>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c r="AV2072" s="9"/>
      <c r="AW2072" s="9"/>
      <c r="AX2072" s="9"/>
      <c r="AY2072" s="9"/>
      <c r="AZ2072" s="9"/>
      <c r="BA2072" s="9"/>
      <c r="BB2072" s="9"/>
      <c r="BC2072" s="9"/>
      <c r="BD2072" s="9"/>
      <c r="BE2072" s="9"/>
      <c r="BF2072" s="9"/>
      <c r="BG2072" s="9"/>
      <c r="BH2072" s="9"/>
      <c r="BI2072" s="9"/>
      <c r="BJ2072" s="9"/>
      <c r="BK2072" s="9"/>
      <c r="BL2072" s="9"/>
      <c r="BM2072" s="9"/>
      <c r="BN2072" s="9"/>
      <c r="BO2072" s="9"/>
      <c r="BP2072" s="9"/>
      <c r="BQ2072" s="9"/>
      <c r="BR2072" s="9"/>
      <c r="BS2072" s="9"/>
      <c r="BT2072" s="9"/>
      <c r="BU2072" s="9"/>
      <c r="BV2072" s="9"/>
      <c r="BW2072" s="9"/>
    </row>
    <row r="2073" spans="1:75" x14ac:dyDescent="0.25">
      <c r="A2073" s="9"/>
      <c r="B2073" s="9"/>
      <c r="C2073" s="9"/>
      <c r="D2073" s="9"/>
      <c r="E2073" s="9"/>
      <c r="F2073" s="9"/>
      <c r="G2073" s="9"/>
      <c r="H2073" s="9"/>
      <c r="I2073" s="9"/>
      <c r="J2073" s="9"/>
      <c r="K2073" s="9"/>
      <c r="L2073" s="9"/>
      <c r="M2073" s="9"/>
      <c r="N2073" s="9"/>
      <c r="O2073" s="9"/>
      <c r="P2073" s="9"/>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c r="AV2073" s="9"/>
      <c r="AW2073" s="9"/>
      <c r="AX2073" s="9"/>
      <c r="AY2073" s="9"/>
      <c r="AZ2073" s="9"/>
      <c r="BA2073" s="9"/>
      <c r="BB2073" s="9"/>
      <c r="BC2073" s="9"/>
      <c r="BD2073" s="9"/>
      <c r="BE2073" s="9"/>
      <c r="BF2073" s="9"/>
      <c r="BG2073" s="9"/>
      <c r="BH2073" s="9"/>
      <c r="BI2073" s="9"/>
      <c r="BJ2073" s="9"/>
      <c r="BK2073" s="9"/>
      <c r="BL2073" s="9"/>
      <c r="BM2073" s="9"/>
      <c r="BN2073" s="9"/>
      <c r="BO2073" s="9"/>
      <c r="BP2073" s="9"/>
      <c r="BQ2073" s="9"/>
      <c r="BR2073" s="9"/>
      <c r="BS2073" s="9"/>
      <c r="BT2073" s="9"/>
      <c r="BU2073" s="9"/>
      <c r="BV2073" s="9"/>
      <c r="BW2073" s="9"/>
    </row>
    <row r="2074" spans="1:75" x14ac:dyDescent="0.25">
      <c r="A2074" s="9"/>
      <c r="B2074" s="9"/>
      <c r="C2074" s="9"/>
      <c r="D2074" s="9"/>
      <c r="E2074" s="9"/>
      <c r="F2074" s="9"/>
      <c r="G2074" s="9"/>
      <c r="H2074" s="9"/>
      <c r="I2074" s="9"/>
      <c r="J2074" s="9"/>
      <c r="K2074" s="9"/>
      <c r="L2074" s="9"/>
      <c r="M2074" s="9"/>
      <c r="N2074" s="9"/>
      <c r="O2074" s="9"/>
      <c r="P2074" s="9"/>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c r="AV2074" s="9"/>
      <c r="AW2074" s="9"/>
      <c r="AX2074" s="9"/>
      <c r="AY2074" s="9"/>
      <c r="AZ2074" s="9"/>
      <c r="BA2074" s="9"/>
      <c r="BB2074" s="9"/>
      <c r="BC2074" s="9"/>
      <c r="BD2074" s="9"/>
      <c r="BE2074" s="9"/>
      <c r="BF2074" s="9"/>
      <c r="BG2074" s="9"/>
      <c r="BH2074" s="9"/>
      <c r="BI2074" s="9"/>
      <c r="BJ2074" s="9"/>
      <c r="BK2074" s="9"/>
      <c r="BL2074" s="9"/>
      <c r="BM2074" s="9"/>
      <c r="BN2074" s="9"/>
      <c r="BO2074" s="9"/>
      <c r="BP2074" s="9"/>
      <c r="BQ2074" s="9"/>
      <c r="BR2074" s="9"/>
      <c r="BS2074" s="9"/>
      <c r="BT2074" s="9"/>
      <c r="BU2074" s="9"/>
      <c r="BV2074" s="9"/>
      <c r="BW2074" s="9"/>
    </row>
    <row r="2075" spans="1:75" x14ac:dyDescent="0.25">
      <c r="A2075" s="9"/>
      <c r="B2075" s="9"/>
      <c r="C2075" s="9"/>
      <c r="D2075" s="9"/>
      <c r="E2075" s="9"/>
      <c r="F2075" s="9"/>
      <c r="G2075" s="9"/>
      <c r="H2075" s="9"/>
      <c r="I2075" s="9"/>
      <c r="J2075" s="9"/>
      <c r="K2075" s="9"/>
      <c r="L2075" s="9"/>
      <c r="M2075" s="9"/>
      <c r="N2075" s="9"/>
      <c r="O2075" s="9"/>
      <c r="P2075" s="9"/>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c r="AV2075" s="9"/>
      <c r="AW2075" s="9"/>
      <c r="AX2075" s="9"/>
      <c r="AY2075" s="9"/>
      <c r="AZ2075" s="9"/>
      <c r="BA2075" s="9"/>
      <c r="BB2075" s="9"/>
      <c r="BC2075" s="9"/>
      <c r="BD2075" s="9"/>
      <c r="BE2075" s="9"/>
      <c r="BF2075" s="9"/>
      <c r="BG2075" s="9"/>
      <c r="BH2075" s="9"/>
      <c r="BI2075" s="9"/>
      <c r="BJ2075" s="9"/>
      <c r="BK2075" s="9"/>
      <c r="BL2075" s="9"/>
      <c r="BM2075" s="9"/>
      <c r="BN2075" s="9"/>
      <c r="BO2075" s="9"/>
      <c r="BP2075" s="9"/>
      <c r="BQ2075" s="9"/>
      <c r="BR2075" s="9"/>
      <c r="BS2075" s="9"/>
      <c r="BT2075" s="9"/>
      <c r="BU2075" s="9"/>
      <c r="BV2075" s="9"/>
      <c r="BW2075" s="9"/>
    </row>
    <row r="2076" spans="1:75" x14ac:dyDescent="0.25">
      <c r="A2076" s="9"/>
      <c r="B2076" s="9"/>
      <c r="C2076" s="9"/>
      <c r="D2076" s="9"/>
      <c r="E2076" s="9"/>
      <c r="F2076" s="9"/>
      <c r="G2076" s="9"/>
      <c r="H2076" s="9"/>
      <c r="I2076" s="9"/>
      <c r="J2076" s="9"/>
      <c r="K2076" s="9"/>
      <c r="L2076" s="9"/>
      <c r="M2076" s="9"/>
      <c r="N2076" s="9"/>
      <c r="O2076" s="9"/>
      <c r="P2076" s="9"/>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c r="AV2076" s="9"/>
      <c r="AW2076" s="9"/>
      <c r="AX2076" s="9"/>
      <c r="AY2076" s="9"/>
      <c r="AZ2076" s="9"/>
      <c r="BA2076" s="9"/>
      <c r="BB2076" s="9"/>
      <c r="BC2076" s="9"/>
      <c r="BD2076" s="9"/>
      <c r="BE2076" s="9"/>
      <c r="BF2076" s="9"/>
      <c r="BG2076" s="9"/>
      <c r="BH2076" s="9"/>
      <c r="BI2076" s="9"/>
      <c r="BJ2076" s="9"/>
      <c r="BK2076" s="9"/>
      <c r="BL2076" s="9"/>
      <c r="BM2076" s="9"/>
      <c r="BN2076" s="9"/>
      <c r="BO2076" s="9"/>
      <c r="BP2076" s="9"/>
      <c r="BQ2076" s="9"/>
      <c r="BR2076" s="9"/>
      <c r="BS2076" s="9"/>
      <c r="BT2076" s="9"/>
      <c r="BU2076" s="9"/>
      <c r="BV2076" s="9"/>
      <c r="BW2076" s="9"/>
    </row>
    <row r="2077" spans="1:75" x14ac:dyDescent="0.25">
      <c r="A2077" s="9"/>
      <c r="B2077" s="9"/>
      <c r="C2077" s="9"/>
      <c r="D2077" s="9"/>
      <c r="E2077" s="9"/>
      <c r="F2077" s="9"/>
      <c r="G2077" s="9"/>
      <c r="H2077" s="9"/>
      <c r="I2077" s="9"/>
      <c r="J2077" s="9"/>
      <c r="K2077" s="9"/>
      <c r="L2077" s="9"/>
      <c r="M2077" s="9"/>
      <c r="N2077" s="9"/>
      <c r="O2077" s="9"/>
      <c r="P2077" s="9"/>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c r="AV2077" s="9"/>
      <c r="AW2077" s="9"/>
      <c r="AX2077" s="9"/>
      <c r="AY2077" s="9"/>
      <c r="AZ2077" s="9"/>
      <c r="BA2077" s="9"/>
      <c r="BB2077" s="9"/>
      <c r="BC2077" s="9"/>
      <c r="BD2077" s="9"/>
      <c r="BE2077" s="9"/>
      <c r="BF2077" s="9"/>
      <c r="BG2077" s="9"/>
      <c r="BH2077" s="9"/>
      <c r="BI2077" s="9"/>
      <c r="BJ2077" s="9"/>
      <c r="BK2077" s="9"/>
      <c r="BL2077" s="9"/>
      <c r="BM2077" s="9"/>
      <c r="BN2077" s="9"/>
      <c r="BO2077" s="9"/>
      <c r="BP2077" s="9"/>
      <c r="BQ2077" s="9"/>
      <c r="BR2077" s="9"/>
      <c r="BS2077" s="9"/>
      <c r="BT2077" s="9"/>
      <c r="BU2077" s="9"/>
      <c r="BV2077" s="9"/>
      <c r="BW2077" s="9"/>
    </row>
    <row r="2078" spans="1:75" x14ac:dyDescent="0.25">
      <c r="A2078" s="9"/>
      <c r="B2078" s="9"/>
      <c r="C2078" s="9"/>
      <c r="D2078" s="9"/>
      <c r="E2078" s="9"/>
      <c r="F2078" s="9"/>
      <c r="G2078" s="9"/>
      <c r="H2078" s="9"/>
      <c r="I2078" s="9"/>
      <c r="J2078" s="9"/>
      <c r="K2078" s="9"/>
      <c r="L2078" s="9"/>
      <c r="M2078" s="9"/>
      <c r="N2078" s="9"/>
      <c r="O2078" s="9"/>
      <c r="P2078" s="9"/>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c r="AV2078" s="9"/>
      <c r="AW2078" s="9"/>
      <c r="AX2078" s="9"/>
      <c r="AY2078" s="9"/>
      <c r="AZ2078" s="9"/>
      <c r="BA2078" s="9"/>
      <c r="BB2078" s="9"/>
      <c r="BC2078" s="9"/>
      <c r="BD2078" s="9"/>
      <c r="BE2078" s="9"/>
      <c r="BF2078" s="9"/>
      <c r="BG2078" s="9"/>
      <c r="BH2078" s="9"/>
      <c r="BI2078" s="9"/>
      <c r="BJ2078" s="9"/>
      <c r="BK2078" s="9"/>
      <c r="BL2078" s="9"/>
      <c r="BM2078" s="9"/>
      <c r="BN2078" s="9"/>
      <c r="BO2078" s="9"/>
      <c r="BP2078" s="9"/>
      <c r="BQ2078" s="9"/>
      <c r="BR2078" s="9"/>
      <c r="BS2078" s="9"/>
      <c r="BT2078" s="9"/>
      <c r="BU2078" s="9"/>
      <c r="BV2078" s="9"/>
      <c r="BW2078" s="9"/>
    </row>
    <row r="2079" spans="1:75" x14ac:dyDescent="0.25">
      <c r="A2079" s="9"/>
      <c r="B2079" s="9"/>
      <c r="C2079" s="9"/>
      <c r="D2079" s="9"/>
      <c r="E2079" s="9"/>
      <c r="F2079" s="9"/>
      <c r="G2079" s="9"/>
      <c r="H2079" s="9"/>
      <c r="I2079" s="9"/>
      <c r="J2079" s="9"/>
      <c r="K2079" s="9"/>
      <c r="L2079" s="9"/>
      <c r="M2079" s="9"/>
      <c r="N2079" s="9"/>
      <c r="O2079" s="9"/>
      <c r="P2079" s="9"/>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c r="AV2079" s="9"/>
      <c r="AW2079" s="9"/>
      <c r="AX2079" s="9"/>
      <c r="AY2079" s="9"/>
      <c r="AZ2079" s="9"/>
      <c r="BA2079" s="9"/>
      <c r="BB2079" s="9"/>
      <c r="BC2079" s="9"/>
      <c r="BD2079" s="9"/>
      <c r="BE2079" s="9"/>
      <c r="BF2079" s="9"/>
      <c r="BG2079" s="9"/>
      <c r="BH2079" s="9"/>
      <c r="BI2079" s="9"/>
      <c r="BJ2079" s="9"/>
      <c r="BK2079" s="9"/>
      <c r="BL2079" s="9"/>
      <c r="BM2079" s="9"/>
      <c r="BN2079" s="9"/>
      <c r="BO2079" s="9"/>
      <c r="BP2079" s="9"/>
      <c r="BQ2079" s="9"/>
      <c r="BR2079" s="9"/>
      <c r="BS2079" s="9"/>
      <c r="BT2079" s="9"/>
      <c r="BU2079" s="9"/>
      <c r="BV2079" s="9"/>
      <c r="BW2079" s="9"/>
    </row>
    <row r="2080" spans="1:75" x14ac:dyDescent="0.25">
      <c r="A2080" s="9"/>
      <c r="B2080" s="9"/>
      <c r="C2080" s="9"/>
      <c r="D2080" s="9"/>
      <c r="E2080" s="9"/>
      <c r="F2080" s="9"/>
      <c r="G2080" s="9"/>
      <c r="H2080" s="9"/>
      <c r="I2080" s="9"/>
      <c r="J2080" s="9"/>
      <c r="K2080" s="9"/>
      <c r="L2080" s="9"/>
      <c r="M2080" s="9"/>
      <c r="N2080" s="9"/>
      <c r="O2080" s="9"/>
      <c r="P2080" s="9"/>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c r="AV2080" s="9"/>
      <c r="AW2080" s="9"/>
      <c r="AX2080" s="9"/>
      <c r="AY2080" s="9"/>
      <c r="AZ2080" s="9"/>
      <c r="BA2080" s="9"/>
      <c r="BB2080" s="9"/>
      <c r="BC2080" s="9"/>
      <c r="BD2080" s="9"/>
      <c r="BE2080" s="9"/>
      <c r="BF2080" s="9"/>
      <c r="BG2080" s="9"/>
      <c r="BH2080" s="9"/>
      <c r="BI2080" s="9"/>
      <c r="BJ2080" s="9"/>
      <c r="BK2080" s="9"/>
      <c r="BL2080" s="9"/>
      <c r="BM2080" s="9"/>
      <c r="BN2080" s="9"/>
      <c r="BO2080" s="9"/>
      <c r="BP2080" s="9"/>
      <c r="BQ2080" s="9"/>
      <c r="BR2080" s="9"/>
      <c r="BS2080" s="9"/>
      <c r="BT2080" s="9"/>
      <c r="BU2080" s="9"/>
      <c r="BV2080" s="9"/>
      <c r="BW2080" s="9"/>
    </row>
    <row r="2081" spans="1:75" x14ac:dyDescent="0.25">
      <c r="A2081" s="9"/>
      <c r="B2081" s="9"/>
      <c r="C2081" s="9"/>
      <c r="D2081" s="9"/>
      <c r="E2081" s="9"/>
      <c r="F2081" s="9"/>
      <c r="G2081" s="9"/>
      <c r="H2081" s="9"/>
      <c r="I2081" s="9"/>
      <c r="J2081" s="9"/>
      <c r="K2081" s="9"/>
      <c r="L2081" s="9"/>
      <c r="M2081" s="9"/>
      <c r="N2081" s="9"/>
      <c r="O2081" s="9"/>
      <c r="P2081" s="9"/>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c r="AV2081" s="9"/>
      <c r="AW2081" s="9"/>
      <c r="AX2081" s="9"/>
      <c r="AY2081" s="9"/>
      <c r="AZ2081" s="9"/>
      <c r="BA2081" s="9"/>
      <c r="BB2081" s="9"/>
      <c r="BC2081" s="9"/>
      <c r="BD2081" s="9"/>
      <c r="BE2081" s="9"/>
      <c r="BF2081" s="9"/>
      <c r="BG2081" s="9"/>
      <c r="BH2081" s="9"/>
      <c r="BI2081" s="9"/>
      <c r="BJ2081" s="9"/>
      <c r="BK2081" s="9"/>
      <c r="BL2081" s="9"/>
      <c r="BM2081" s="9"/>
      <c r="BN2081" s="9"/>
      <c r="BO2081" s="9"/>
      <c r="BP2081" s="9"/>
      <c r="BQ2081" s="9"/>
      <c r="BR2081" s="9"/>
      <c r="BS2081" s="9"/>
      <c r="BT2081" s="9"/>
      <c r="BU2081" s="9"/>
      <c r="BV2081" s="9"/>
      <c r="BW2081" s="9"/>
    </row>
    <row r="2082" spans="1:75" x14ac:dyDescent="0.25">
      <c r="A2082" s="9"/>
      <c r="B2082" s="9"/>
      <c r="C2082" s="9"/>
      <c r="D2082" s="9"/>
      <c r="E2082" s="9"/>
      <c r="F2082" s="9"/>
      <c r="G2082" s="9"/>
      <c r="H2082" s="9"/>
      <c r="I2082" s="9"/>
      <c r="J2082" s="9"/>
      <c r="K2082" s="9"/>
      <c r="L2082" s="9"/>
      <c r="M2082" s="9"/>
      <c r="N2082" s="9"/>
      <c r="O2082" s="9"/>
      <c r="P2082" s="9"/>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c r="AV2082" s="9"/>
      <c r="AW2082" s="9"/>
      <c r="AX2082" s="9"/>
      <c r="AY2082" s="9"/>
      <c r="AZ2082" s="9"/>
      <c r="BA2082" s="9"/>
      <c r="BB2082" s="9"/>
      <c r="BC2082" s="9"/>
      <c r="BD2082" s="9"/>
      <c r="BE2082" s="9"/>
      <c r="BF2082" s="9"/>
      <c r="BG2082" s="9"/>
      <c r="BH2082" s="9"/>
      <c r="BI2082" s="9"/>
      <c r="BJ2082" s="9"/>
      <c r="BK2082" s="9"/>
      <c r="BL2082" s="9"/>
      <c r="BM2082" s="9"/>
      <c r="BN2082" s="9"/>
      <c r="BO2082" s="9"/>
      <c r="BP2082" s="9"/>
      <c r="BQ2082" s="9"/>
      <c r="BR2082" s="9"/>
      <c r="BS2082" s="9"/>
      <c r="BT2082" s="9"/>
      <c r="BU2082" s="9"/>
      <c r="BV2082" s="9"/>
      <c r="BW2082" s="9"/>
    </row>
    <row r="2083" spans="1:75" x14ac:dyDescent="0.25">
      <c r="A2083" s="9"/>
      <c r="B2083" s="9"/>
      <c r="C2083" s="9"/>
      <c r="D2083" s="9"/>
      <c r="E2083" s="9"/>
      <c r="F2083" s="9"/>
      <c r="G2083" s="9"/>
      <c r="H2083" s="9"/>
      <c r="I2083" s="9"/>
      <c r="J2083" s="9"/>
      <c r="K2083" s="9"/>
      <c r="L2083" s="9"/>
      <c r="M2083" s="9"/>
      <c r="N2083" s="9"/>
      <c r="O2083" s="9"/>
      <c r="P2083" s="9"/>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c r="AV2083" s="9"/>
      <c r="AW2083" s="9"/>
      <c r="AX2083" s="9"/>
      <c r="AY2083" s="9"/>
      <c r="AZ2083" s="9"/>
      <c r="BA2083" s="9"/>
      <c r="BB2083" s="9"/>
      <c r="BC2083" s="9"/>
      <c r="BD2083" s="9"/>
      <c r="BE2083" s="9"/>
      <c r="BF2083" s="9"/>
      <c r="BG2083" s="9"/>
      <c r="BH2083" s="9"/>
      <c r="BI2083" s="9"/>
      <c r="BJ2083" s="9"/>
      <c r="BK2083" s="9"/>
      <c r="BL2083" s="9"/>
      <c r="BM2083" s="9"/>
      <c r="BN2083" s="9"/>
      <c r="BO2083" s="9"/>
      <c r="BP2083" s="9"/>
      <c r="BQ2083" s="9"/>
      <c r="BR2083" s="9"/>
      <c r="BS2083" s="9"/>
      <c r="BT2083" s="9"/>
      <c r="BU2083" s="9"/>
      <c r="BV2083" s="9"/>
      <c r="BW2083" s="9"/>
    </row>
    <row r="2084" spans="1:75" x14ac:dyDescent="0.25">
      <c r="A2084" s="9"/>
      <c r="B2084" s="9"/>
      <c r="C2084" s="9"/>
      <c r="D2084" s="9"/>
      <c r="E2084" s="9"/>
      <c r="F2084" s="9"/>
      <c r="G2084" s="9"/>
      <c r="H2084" s="9"/>
      <c r="I2084" s="9"/>
      <c r="J2084" s="9"/>
      <c r="K2084" s="9"/>
      <c r="L2084" s="9"/>
      <c r="M2084" s="9"/>
      <c r="N2084" s="9"/>
      <c r="O2084" s="9"/>
      <c r="P2084" s="9"/>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c r="AV2084" s="9"/>
      <c r="AW2084" s="9"/>
      <c r="AX2084" s="9"/>
      <c r="AY2084" s="9"/>
      <c r="AZ2084" s="9"/>
      <c r="BA2084" s="9"/>
      <c r="BB2084" s="9"/>
      <c r="BC2084" s="9"/>
      <c r="BD2084" s="9"/>
      <c r="BE2084" s="9"/>
      <c r="BF2084" s="9"/>
      <c r="BG2084" s="9"/>
      <c r="BH2084" s="9"/>
      <c r="BI2084" s="9"/>
      <c r="BJ2084" s="9"/>
      <c r="BK2084" s="9"/>
      <c r="BL2084" s="9"/>
      <c r="BM2084" s="9"/>
      <c r="BN2084" s="9"/>
      <c r="BO2084" s="9"/>
      <c r="BP2084" s="9"/>
      <c r="BQ2084" s="9"/>
      <c r="BR2084" s="9"/>
      <c r="BS2084" s="9"/>
      <c r="BT2084" s="9"/>
      <c r="BU2084" s="9"/>
      <c r="BV2084" s="9"/>
      <c r="BW2084" s="9"/>
    </row>
    <row r="2085" spans="1:75" x14ac:dyDescent="0.25">
      <c r="A2085" s="9"/>
      <c r="B2085" s="9"/>
      <c r="C2085" s="9"/>
      <c r="D2085" s="9"/>
      <c r="E2085" s="9"/>
      <c r="F2085" s="9"/>
      <c r="G2085" s="9"/>
      <c r="H2085" s="9"/>
      <c r="I2085" s="9"/>
      <c r="J2085" s="9"/>
      <c r="K2085" s="9"/>
      <c r="L2085" s="9"/>
      <c r="M2085" s="9"/>
      <c r="N2085" s="9"/>
      <c r="O2085" s="9"/>
      <c r="P2085" s="9"/>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c r="AV2085" s="9"/>
      <c r="AW2085" s="9"/>
      <c r="AX2085" s="9"/>
      <c r="AY2085" s="9"/>
      <c r="AZ2085" s="9"/>
      <c r="BA2085" s="9"/>
      <c r="BB2085" s="9"/>
      <c r="BC2085" s="9"/>
      <c r="BD2085" s="9"/>
      <c r="BE2085" s="9"/>
      <c r="BF2085" s="9"/>
      <c r="BG2085" s="9"/>
      <c r="BH2085" s="9"/>
      <c r="BI2085" s="9"/>
      <c r="BJ2085" s="9"/>
      <c r="BK2085" s="9"/>
      <c r="BL2085" s="9"/>
      <c r="BM2085" s="9"/>
      <c r="BN2085" s="9"/>
      <c r="BO2085" s="9"/>
      <c r="BP2085" s="9"/>
      <c r="BQ2085" s="9"/>
      <c r="BR2085" s="9"/>
      <c r="BS2085" s="9"/>
      <c r="BT2085" s="9"/>
      <c r="BU2085" s="9"/>
      <c r="BV2085" s="9"/>
      <c r="BW2085" s="9"/>
    </row>
    <row r="2086" spans="1:75" x14ac:dyDescent="0.25">
      <c r="A2086" s="9"/>
      <c r="B2086" s="9"/>
      <c r="C2086" s="9"/>
      <c r="D2086" s="9"/>
      <c r="E2086" s="9"/>
      <c r="F2086" s="9"/>
      <c r="G2086" s="9"/>
      <c r="H2086" s="9"/>
      <c r="I2086" s="9"/>
      <c r="J2086" s="9"/>
      <c r="K2086" s="9"/>
      <c r="L2086" s="9"/>
      <c r="M2086" s="9"/>
      <c r="N2086" s="9"/>
      <c r="O2086" s="9"/>
      <c r="P2086" s="9"/>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c r="AV2086" s="9"/>
      <c r="AW2086" s="9"/>
      <c r="AX2086" s="9"/>
      <c r="AY2086" s="9"/>
      <c r="AZ2086" s="9"/>
      <c r="BA2086" s="9"/>
      <c r="BB2086" s="9"/>
      <c r="BC2086" s="9"/>
      <c r="BD2086" s="9"/>
      <c r="BE2086" s="9"/>
      <c r="BF2086" s="9"/>
      <c r="BG2086" s="9"/>
      <c r="BH2086" s="9"/>
      <c r="BI2086" s="9"/>
      <c r="BJ2086" s="9"/>
      <c r="BK2086" s="9"/>
      <c r="BL2086" s="9"/>
      <c r="BM2086" s="9"/>
      <c r="BN2086" s="9"/>
      <c r="BO2086" s="9"/>
      <c r="BP2086" s="9"/>
      <c r="BQ2086" s="9"/>
      <c r="BR2086" s="9"/>
      <c r="BS2086" s="9"/>
      <c r="BT2086" s="9"/>
      <c r="BU2086" s="9"/>
      <c r="BV2086" s="9"/>
      <c r="BW2086" s="9"/>
    </row>
    <row r="2087" spans="1:75" x14ac:dyDescent="0.25">
      <c r="A2087" s="9"/>
      <c r="B2087" s="9"/>
      <c r="C2087" s="9"/>
      <c r="D2087" s="9"/>
      <c r="E2087" s="9"/>
      <c r="F2087" s="9"/>
      <c r="G2087" s="9"/>
      <c r="H2087" s="9"/>
      <c r="I2087" s="9"/>
      <c r="J2087" s="9"/>
      <c r="K2087" s="9"/>
      <c r="L2087" s="9"/>
      <c r="M2087" s="9"/>
      <c r="N2087" s="9"/>
      <c r="O2087" s="9"/>
      <c r="P2087" s="9"/>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c r="AV2087" s="9"/>
      <c r="AW2087" s="9"/>
      <c r="AX2087" s="9"/>
      <c r="AY2087" s="9"/>
      <c r="AZ2087" s="9"/>
      <c r="BA2087" s="9"/>
      <c r="BB2087" s="9"/>
      <c r="BC2087" s="9"/>
      <c r="BD2087" s="9"/>
      <c r="BE2087" s="9"/>
      <c r="BF2087" s="9"/>
      <c r="BG2087" s="9"/>
      <c r="BH2087" s="9"/>
      <c r="BI2087" s="9"/>
      <c r="BJ2087" s="9"/>
      <c r="BK2087" s="9"/>
      <c r="BL2087" s="9"/>
      <c r="BM2087" s="9"/>
      <c r="BN2087" s="9"/>
      <c r="BO2087" s="9"/>
      <c r="BP2087" s="9"/>
      <c r="BQ2087" s="9"/>
      <c r="BR2087" s="9"/>
      <c r="BS2087" s="9"/>
      <c r="BT2087" s="9"/>
      <c r="BU2087" s="9"/>
      <c r="BV2087" s="9"/>
      <c r="BW2087" s="9"/>
    </row>
    <row r="2088" spans="1:75" x14ac:dyDescent="0.25">
      <c r="A2088" s="9"/>
      <c r="B2088" s="9"/>
      <c r="C2088" s="9"/>
      <c r="D2088" s="9"/>
      <c r="E2088" s="9"/>
      <c r="F2088" s="9"/>
      <c r="G2088" s="9"/>
      <c r="H2088" s="9"/>
      <c r="I2088" s="9"/>
      <c r="J2088" s="9"/>
      <c r="K2088" s="9"/>
      <c r="L2088" s="9"/>
      <c r="M2088" s="9"/>
      <c r="N2088" s="9"/>
      <c r="O2088" s="9"/>
      <c r="P2088" s="9"/>
      <c r="Q2088" s="9"/>
      <c r="R2088" s="9"/>
      <c r="S2088" s="9"/>
      <c r="T2088" s="9"/>
      <c r="U2088" s="9"/>
      <c r="V2088" s="9"/>
      <c r="W2088" s="9"/>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c r="AV2088" s="9"/>
      <c r="AW2088" s="9"/>
      <c r="AX2088" s="9"/>
      <c r="AY2088" s="9"/>
      <c r="AZ2088" s="9"/>
      <c r="BA2088" s="9"/>
      <c r="BB2088" s="9"/>
      <c r="BC2088" s="9"/>
      <c r="BD2088" s="9"/>
      <c r="BE2088" s="9"/>
      <c r="BF2088" s="9"/>
      <c r="BG2088" s="9"/>
      <c r="BH2088" s="9"/>
      <c r="BI2088" s="9"/>
      <c r="BJ2088" s="9"/>
      <c r="BK2088" s="9"/>
      <c r="BL2088" s="9"/>
      <c r="BM2088" s="9"/>
      <c r="BN2088" s="9"/>
      <c r="BO2088" s="9"/>
      <c r="BP2088" s="9"/>
      <c r="BQ2088" s="9"/>
      <c r="BR2088" s="9"/>
      <c r="BS2088" s="9"/>
      <c r="BT2088" s="9"/>
      <c r="BU2088" s="9"/>
      <c r="BV2088" s="9"/>
      <c r="BW2088" s="9"/>
    </row>
    <row r="2089" spans="1:75" x14ac:dyDescent="0.25">
      <c r="A2089" s="9"/>
      <c r="B2089" s="9"/>
      <c r="C2089" s="9"/>
      <c r="D2089" s="9"/>
      <c r="E2089" s="9"/>
      <c r="F2089" s="9"/>
      <c r="G2089" s="9"/>
      <c r="H2089" s="9"/>
      <c r="I2089" s="9"/>
      <c r="J2089" s="9"/>
      <c r="K2089" s="9"/>
      <c r="L2089" s="9"/>
      <c r="M2089" s="9"/>
      <c r="N2089" s="9"/>
      <c r="O2089" s="9"/>
      <c r="P2089" s="9"/>
      <c r="Q2089" s="9"/>
      <c r="R2089" s="9"/>
      <c r="S2089" s="9"/>
      <c r="T2089" s="9"/>
      <c r="U2089" s="9"/>
      <c r="V2089" s="9"/>
      <c r="W2089" s="9"/>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c r="AV2089" s="9"/>
      <c r="AW2089" s="9"/>
      <c r="AX2089" s="9"/>
      <c r="AY2089" s="9"/>
      <c r="AZ2089" s="9"/>
      <c r="BA2089" s="9"/>
      <c r="BB2089" s="9"/>
      <c r="BC2089" s="9"/>
      <c r="BD2089" s="9"/>
      <c r="BE2089" s="9"/>
      <c r="BF2089" s="9"/>
      <c r="BG2089" s="9"/>
      <c r="BH2089" s="9"/>
      <c r="BI2089" s="9"/>
      <c r="BJ2089" s="9"/>
      <c r="BK2089" s="9"/>
      <c r="BL2089" s="9"/>
      <c r="BM2089" s="9"/>
      <c r="BN2089" s="9"/>
      <c r="BO2089" s="9"/>
      <c r="BP2089" s="9"/>
      <c r="BQ2089" s="9"/>
      <c r="BR2089" s="9"/>
      <c r="BS2089" s="9"/>
      <c r="BT2089" s="9"/>
      <c r="BU2089" s="9"/>
      <c r="BV2089" s="9"/>
      <c r="BW2089" s="9"/>
    </row>
    <row r="2090" spans="1:75" x14ac:dyDescent="0.25">
      <c r="A2090" s="9"/>
      <c r="B2090" s="9"/>
      <c r="C2090" s="9"/>
      <c r="D2090" s="9"/>
      <c r="E2090" s="9"/>
      <c r="F2090" s="9"/>
      <c r="G2090" s="9"/>
      <c r="H2090" s="9"/>
      <c r="I2090" s="9"/>
      <c r="J2090" s="9"/>
      <c r="K2090" s="9"/>
      <c r="L2090" s="9"/>
      <c r="M2090" s="9"/>
      <c r="N2090" s="9"/>
      <c r="O2090" s="9"/>
      <c r="P2090" s="9"/>
      <c r="Q2090" s="9"/>
      <c r="R2090" s="9"/>
      <c r="S2090" s="9"/>
      <c r="T2090" s="9"/>
      <c r="U2090" s="9"/>
      <c r="V2090" s="9"/>
      <c r="W2090" s="9"/>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c r="AV2090" s="9"/>
      <c r="AW2090" s="9"/>
      <c r="AX2090" s="9"/>
      <c r="AY2090" s="9"/>
      <c r="AZ2090" s="9"/>
      <c r="BA2090" s="9"/>
      <c r="BB2090" s="9"/>
      <c r="BC2090" s="9"/>
      <c r="BD2090" s="9"/>
      <c r="BE2090" s="9"/>
      <c r="BF2090" s="9"/>
      <c r="BG2090" s="9"/>
      <c r="BH2090" s="9"/>
      <c r="BI2090" s="9"/>
      <c r="BJ2090" s="9"/>
      <c r="BK2090" s="9"/>
      <c r="BL2090" s="9"/>
      <c r="BM2090" s="9"/>
      <c r="BN2090" s="9"/>
      <c r="BO2090" s="9"/>
      <c r="BP2090" s="9"/>
      <c r="BQ2090" s="9"/>
      <c r="BR2090" s="9"/>
      <c r="BS2090" s="9"/>
      <c r="BT2090" s="9"/>
      <c r="BU2090" s="9"/>
      <c r="BV2090" s="9"/>
      <c r="BW2090" s="9"/>
    </row>
    <row r="2091" spans="1:75" x14ac:dyDescent="0.25">
      <c r="A2091" s="9"/>
      <c r="B2091" s="9"/>
      <c r="C2091" s="9"/>
      <c r="D2091" s="9"/>
      <c r="E2091" s="9"/>
      <c r="F2091" s="9"/>
      <c r="G2091" s="9"/>
      <c r="H2091" s="9"/>
      <c r="I2091" s="9"/>
      <c r="J2091" s="9"/>
      <c r="K2091" s="9"/>
      <c r="L2091" s="9"/>
      <c r="M2091" s="9"/>
      <c r="N2091" s="9"/>
      <c r="O2091" s="9"/>
      <c r="P2091" s="9"/>
      <c r="Q2091" s="9"/>
      <c r="R2091" s="9"/>
      <c r="S2091" s="9"/>
      <c r="T2091" s="9"/>
      <c r="U2091" s="9"/>
      <c r="V2091" s="9"/>
      <c r="W2091" s="9"/>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c r="AV2091" s="9"/>
      <c r="AW2091" s="9"/>
      <c r="AX2091" s="9"/>
      <c r="AY2091" s="9"/>
      <c r="AZ2091" s="9"/>
      <c r="BA2091" s="9"/>
      <c r="BB2091" s="9"/>
      <c r="BC2091" s="9"/>
      <c r="BD2091" s="9"/>
      <c r="BE2091" s="9"/>
      <c r="BF2091" s="9"/>
      <c r="BG2091" s="9"/>
      <c r="BH2091" s="9"/>
      <c r="BI2091" s="9"/>
      <c r="BJ2091" s="9"/>
      <c r="BK2091" s="9"/>
      <c r="BL2091" s="9"/>
      <c r="BM2091" s="9"/>
      <c r="BN2091" s="9"/>
      <c r="BO2091" s="9"/>
      <c r="BP2091" s="9"/>
      <c r="BQ2091" s="9"/>
      <c r="BR2091" s="9"/>
      <c r="BS2091" s="9"/>
      <c r="BT2091" s="9"/>
      <c r="BU2091" s="9"/>
      <c r="BV2091" s="9"/>
      <c r="BW2091" s="9"/>
    </row>
    <row r="2092" spans="1:75" x14ac:dyDescent="0.25">
      <c r="A2092" s="9"/>
      <c r="B2092" s="9"/>
      <c r="C2092" s="9"/>
      <c r="D2092" s="9"/>
      <c r="E2092" s="9"/>
      <c r="F2092" s="9"/>
      <c r="G2092" s="9"/>
      <c r="H2092" s="9"/>
      <c r="I2092" s="9"/>
      <c r="J2092" s="9"/>
      <c r="K2092" s="9"/>
      <c r="L2092" s="9"/>
      <c r="M2092" s="9"/>
      <c r="N2092" s="9"/>
      <c r="O2092" s="9"/>
      <c r="P2092" s="9"/>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c r="AV2092" s="9"/>
      <c r="AW2092" s="9"/>
      <c r="AX2092" s="9"/>
      <c r="AY2092" s="9"/>
      <c r="AZ2092" s="9"/>
      <c r="BA2092" s="9"/>
      <c r="BB2092" s="9"/>
      <c r="BC2092" s="9"/>
      <c r="BD2092" s="9"/>
      <c r="BE2092" s="9"/>
      <c r="BF2092" s="9"/>
      <c r="BG2092" s="9"/>
      <c r="BH2092" s="9"/>
      <c r="BI2092" s="9"/>
      <c r="BJ2092" s="9"/>
      <c r="BK2092" s="9"/>
      <c r="BL2092" s="9"/>
      <c r="BM2092" s="9"/>
      <c r="BN2092" s="9"/>
      <c r="BO2092" s="9"/>
      <c r="BP2092" s="9"/>
      <c r="BQ2092" s="9"/>
      <c r="BR2092" s="9"/>
      <c r="BS2092" s="9"/>
      <c r="BT2092" s="9"/>
      <c r="BU2092" s="9"/>
      <c r="BV2092" s="9"/>
      <c r="BW2092" s="9"/>
    </row>
    <row r="2093" spans="1:75" x14ac:dyDescent="0.25">
      <c r="A2093" s="9"/>
      <c r="B2093" s="9"/>
      <c r="C2093" s="9"/>
      <c r="D2093" s="9"/>
      <c r="E2093" s="9"/>
      <c r="F2093" s="9"/>
      <c r="G2093" s="9"/>
      <c r="H2093" s="9"/>
      <c r="I2093" s="9"/>
      <c r="J2093" s="9"/>
      <c r="K2093" s="9"/>
      <c r="L2093" s="9"/>
      <c r="M2093" s="9"/>
      <c r="N2093" s="9"/>
      <c r="O2093" s="9"/>
      <c r="P2093" s="9"/>
      <c r="Q2093" s="9"/>
      <c r="R2093" s="9"/>
      <c r="S2093" s="9"/>
      <c r="T2093" s="9"/>
      <c r="U2093" s="9"/>
      <c r="V2093" s="9"/>
      <c r="W2093" s="9"/>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c r="AV2093" s="9"/>
      <c r="AW2093" s="9"/>
      <c r="AX2093" s="9"/>
      <c r="AY2093" s="9"/>
      <c r="AZ2093" s="9"/>
      <c r="BA2093" s="9"/>
      <c r="BB2093" s="9"/>
      <c r="BC2093" s="9"/>
      <c r="BD2093" s="9"/>
      <c r="BE2093" s="9"/>
      <c r="BF2093" s="9"/>
      <c r="BG2093" s="9"/>
      <c r="BH2093" s="9"/>
      <c r="BI2093" s="9"/>
      <c r="BJ2093" s="9"/>
      <c r="BK2093" s="9"/>
      <c r="BL2093" s="9"/>
      <c r="BM2093" s="9"/>
      <c r="BN2093" s="9"/>
      <c r="BO2093" s="9"/>
      <c r="BP2093" s="9"/>
      <c r="BQ2093" s="9"/>
      <c r="BR2093" s="9"/>
      <c r="BS2093" s="9"/>
      <c r="BT2093" s="9"/>
      <c r="BU2093" s="9"/>
      <c r="BV2093" s="9"/>
      <c r="BW2093" s="9"/>
    </row>
    <row r="2094" spans="1:75" x14ac:dyDescent="0.25">
      <c r="A2094" s="9"/>
      <c r="B2094" s="9"/>
      <c r="C2094" s="9"/>
      <c r="D2094" s="9"/>
      <c r="E2094" s="9"/>
      <c r="F2094" s="9"/>
      <c r="G2094" s="9"/>
      <c r="H2094" s="9"/>
      <c r="I2094" s="9"/>
      <c r="J2094" s="9"/>
      <c r="K2094" s="9"/>
      <c r="L2094" s="9"/>
      <c r="M2094" s="9"/>
      <c r="N2094" s="9"/>
      <c r="O2094" s="9"/>
      <c r="P2094" s="9"/>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c r="AV2094" s="9"/>
      <c r="AW2094" s="9"/>
      <c r="AX2094" s="9"/>
      <c r="AY2094" s="9"/>
      <c r="AZ2094" s="9"/>
      <c r="BA2094" s="9"/>
      <c r="BB2094" s="9"/>
      <c r="BC2094" s="9"/>
      <c r="BD2094" s="9"/>
      <c r="BE2094" s="9"/>
      <c r="BF2094" s="9"/>
      <c r="BG2094" s="9"/>
      <c r="BH2094" s="9"/>
      <c r="BI2094" s="9"/>
      <c r="BJ2094" s="9"/>
      <c r="BK2094" s="9"/>
      <c r="BL2094" s="9"/>
      <c r="BM2094" s="9"/>
      <c r="BN2094" s="9"/>
      <c r="BO2094" s="9"/>
      <c r="BP2094" s="9"/>
      <c r="BQ2094" s="9"/>
      <c r="BR2094" s="9"/>
      <c r="BS2094" s="9"/>
      <c r="BT2094" s="9"/>
      <c r="BU2094" s="9"/>
      <c r="BV2094" s="9"/>
      <c r="BW2094" s="9"/>
    </row>
    <row r="2095" spans="1:75" x14ac:dyDescent="0.25">
      <c r="A2095" s="9"/>
      <c r="B2095" s="9"/>
      <c r="C2095" s="9"/>
      <c r="D2095" s="9"/>
      <c r="E2095" s="9"/>
      <c r="F2095" s="9"/>
      <c r="G2095" s="9"/>
      <c r="H2095" s="9"/>
      <c r="I2095" s="9"/>
      <c r="J2095" s="9"/>
      <c r="K2095" s="9"/>
      <c r="L2095" s="9"/>
      <c r="M2095" s="9"/>
      <c r="N2095" s="9"/>
      <c r="O2095" s="9"/>
      <c r="P2095" s="9"/>
      <c r="Q2095" s="9"/>
      <c r="R2095" s="9"/>
      <c r="S2095" s="9"/>
      <c r="T2095" s="9"/>
      <c r="U2095" s="9"/>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c r="AV2095" s="9"/>
      <c r="AW2095" s="9"/>
      <c r="AX2095" s="9"/>
      <c r="AY2095" s="9"/>
      <c r="AZ2095" s="9"/>
      <c r="BA2095" s="9"/>
      <c r="BB2095" s="9"/>
      <c r="BC2095" s="9"/>
      <c r="BD2095" s="9"/>
      <c r="BE2095" s="9"/>
      <c r="BF2095" s="9"/>
      <c r="BG2095" s="9"/>
      <c r="BH2095" s="9"/>
      <c r="BI2095" s="9"/>
      <c r="BJ2095" s="9"/>
      <c r="BK2095" s="9"/>
      <c r="BL2095" s="9"/>
      <c r="BM2095" s="9"/>
      <c r="BN2095" s="9"/>
      <c r="BO2095" s="9"/>
      <c r="BP2095" s="9"/>
      <c r="BQ2095" s="9"/>
      <c r="BR2095" s="9"/>
      <c r="BS2095" s="9"/>
      <c r="BT2095" s="9"/>
      <c r="BU2095" s="9"/>
      <c r="BV2095" s="9"/>
      <c r="BW2095" s="9"/>
    </row>
    <row r="2096" spans="1:75" x14ac:dyDescent="0.25">
      <c r="A2096" s="9"/>
      <c r="B2096" s="9"/>
      <c r="C2096" s="9"/>
      <c r="D2096" s="9"/>
      <c r="E2096" s="9"/>
      <c r="F2096" s="9"/>
      <c r="G2096" s="9"/>
      <c r="H2096" s="9"/>
      <c r="I2096" s="9"/>
      <c r="J2096" s="9"/>
      <c r="K2096" s="9"/>
      <c r="L2096" s="9"/>
      <c r="M2096" s="9"/>
      <c r="N2096" s="9"/>
      <c r="O2096" s="9"/>
      <c r="P2096" s="9"/>
      <c r="Q2096" s="9"/>
      <c r="R2096" s="9"/>
      <c r="S2096" s="9"/>
      <c r="T2096" s="9"/>
      <c r="U2096" s="9"/>
      <c r="V2096" s="9"/>
      <c r="W2096" s="9"/>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c r="AV2096" s="9"/>
      <c r="AW2096" s="9"/>
      <c r="AX2096" s="9"/>
      <c r="AY2096" s="9"/>
      <c r="AZ2096" s="9"/>
      <c r="BA2096" s="9"/>
      <c r="BB2096" s="9"/>
      <c r="BC2096" s="9"/>
      <c r="BD2096" s="9"/>
      <c r="BE2096" s="9"/>
      <c r="BF2096" s="9"/>
      <c r="BG2096" s="9"/>
      <c r="BH2096" s="9"/>
      <c r="BI2096" s="9"/>
      <c r="BJ2096" s="9"/>
      <c r="BK2096" s="9"/>
      <c r="BL2096" s="9"/>
      <c r="BM2096" s="9"/>
      <c r="BN2096" s="9"/>
      <c r="BO2096" s="9"/>
      <c r="BP2096" s="9"/>
      <c r="BQ2096" s="9"/>
      <c r="BR2096" s="9"/>
      <c r="BS2096" s="9"/>
      <c r="BT2096" s="9"/>
      <c r="BU2096" s="9"/>
      <c r="BV2096" s="9"/>
      <c r="BW2096" s="9"/>
    </row>
    <row r="2097" spans="1:75" x14ac:dyDescent="0.25">
      <c r="A2097" s="9"/>
      <c r="B2097" s="9"/>
      <c r="C2097" s="9"/>
      <c r="D2097" s="9"/>
      <c r="E2097" s="9"/>
      <c r="F2097" s="9"/>
      <c r="G2097" s="9"/>
      <c r="H2097" s="9"/>
      <c r="I2097" s="9"/>
      <c r="J2097" s="9"/>
      <c r="K2097" s="9"/>
      <c r="L2097" s="9"/>
      <c r="M2097" s="9"/>
      <c r="N2097" s="9"/>
      <c r="O2097" s="9"/>
      <c r="P2097" s="9"/>
      <c r="Q2097" s="9"/>
      <c r="R2097" s="9"/>
      <c r="S2097" s="9"/>
      <c r="T2097" s="9"/>
      <c r="U2097" s="9"/>
      <c r="V2097" s="9"/>
      <c r="W2097" s="9"/>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c r="AV2097" s="9"/>
      <c r="AW2097" s="9"/>
      <c r="AX2097" s="9"/>
      <c r="AY2097" s="9"/>
      <c r="AZ2097" s="9"/>
      <c r="BA2097" s="9"/>
      <c r="BB2097" s="9"/>
      <c r="BC2097" s="9"/>
      <c r="BD2097" s="9"/>
      <c r="BE2097" s="9"/>
      <c r="BF2097" s="9"/>
      <c r="BG2097" s="9"/>
      <c r="BH2097" s="9"/>
      <c r="BI2097" s="9"/>
      <c r="BJ2097" s="9"/>
      <c r="BK2097" s="9"/>
      <c r="BL2097" s="9"/>
      <c r="BM2097" s="9"/>
      <c r="BN2097" s="9"/>
      <c r="BO2097" s="9"/>
      <c r="BP2097" s="9"/>
      <c r="BQ2097" s="9"/>
      <c r="BR2097" s="9"/>
      <c r="BS2097" s="9"/>
      <c r="BT2097" s="9"/>
      <c r="BU2097" s="9"/>
      <c r="BV2097" s="9"/>
      <c r="BW2097" s="9"/>
    </row>
    <row r="2098" spans="1:75" x14ac:dyDescent="0.25">
      <c r="A2098" s="9"/>
      <c r="B2098" s="9"/>
      <c r="C2098" s="9"/>
      <c r="D2098" s="9"/>
      <c r="E2098" s="9"/>
      <c r="F2098" s="9"/>
      <c r="G2098" s="9"/>
      <c r="H2098" s="9"/>
      <c r="I2098" s="9"/>
      <c r="J2098" s="9"/>
      <c r="K2098" s="9"/>
      <c r="L2098" s="9"/>
      <c r="M2098" s="9"/>
      <c r="N2098" s="9"/>
      <c r="O2098" s="9"/>
      <c r="P2098" s="9"/>
      <c r="Q2098" s="9"/>
      <c r="R2098" s="9"/>
      <c r="S2098" s="9"/>
      <c r="T2098" s="9"/>
      <c r="U2098" s="9"/>
      <c r="V2098" s="9"/>
      <c r="W2098" s="9"/>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c r="AV2098" s="9"/>
      <c r="AW2098" s="9"/>
      <c r="AX2098" s="9"/>
      <c r="AY2098" s="9"/>
      <c r="AZ2098" s="9"/>
      <c r="BA2098" s="9"/>
      <c r="BB2098" s="9"/>
      <c r="BC2098" s="9"/>
      <c r="BD2098" s="9"/>
      <c r="BE2098" s="9"/>
      <c r="BF2098" s="9"/>
      <c r="BG2098" s="9"/>
      <c r="BH2098" s="9"/>
      <c r="BI2098" s="9"/>
      <c r="BJ2098" s="9"/>
      <c r="BK2098" s="9"/>
      <c r="BL2098" s="9"/>
      <c r="BM2098" s="9"/>
      <c r="BN2098" s="9"/>
      <c r="BO2098" s="9"/>
      <c r="BP2098" s="9"/>
      <c r="BQ2098" s="9"/>
      <c r="BR2098" s="9"/>
      <c r="BS2098" s="9"/>
      <c r="BT2098" s="9"/>
      <c r="BU2098" s="9"/>
      <c r="BV2098" s="9"/>
      <c r="BW2098" s="9"/>
    </row>
    <row r="2099" spans="1:75" x14ac:dyDescent="0.25">
      <c r="A2099" s="9"/>
      <c r="B2099" s="9"/>
      <c r="C2099" s="9"/>
      <c r="D2099" s="9"/>
      <c r="E2099" s="9"/>
      <c r="F2099" s="9"/>
      <c r="G2099" s="9"/>
      <c r="H2099" s="9"/>
      <c r="I2099" s="9"/>
      <c r="J2099" s="9"/>
      <c r="K2099" s="9"/>
      <c r="L2099" s="9"/>
      <c r="M2099" s="9"/>
      <c r="N2099" s="9"/>
      <c r="O2099" s="9"/>
      <c r="P2099" s="9"/>
      <c r="Q2099" s="9"/>
      <c r="R2099" s="9"/>
      <c r="S2099" s="9"/>
      <c r="T2099" s="9"/>
      <c r="U2099" s="9"/>
      <c r="V2099" s="9"/>
      <c r="W2099" s="9"/>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c r="AV2099" s="9"/>
      <c r="AW2099" s="9"/>
      <c r="AX2099" s="9"/>
      <c r="AY2099" s="9"/>
      <c r="AZ2099" s="9"/>
      <c r="BA2099" s="9"/>
      <c r="BB2099" s="9"/>
      <c r="BC2099" s="9"/>
      <c r="BD2099" s="9"/>
      <c r="BE2099" s="9"/>
      <c r="BF2099" s="9"/>
      <c r="BG2099" s="9"/>
      <c r="BH2099" s="9"/>
      <c r="BI2099" s="9"/>
      <c r="BJ2099" s="9"/>
      <c r="BK2099" s="9"/>
      <c r="BL2099" s="9"/>
      <c r="BM2099" s="9"/>
      <c r="BN2099" s="9"/>
      <c r="BO2099" s="9"/>
      <c r="BP2099" s="9"/>
      <c r="BQ2099" s="9"/>
      <c r="BR2099" s="9"/>
      <c r="BS2099" s="9"/>
      <c r="BT2099" s="9"/>
      <c r="BU2099" s="9"/>
      <c r="BV2099" s="9"/>
      <c r="BW2099" s="9"/>
    </row>
    <row r="2100" spans="1:75" x14ac:dyDescent="0.25">
      <c r="A2100" s="9"/>
      <c r="B2100" s="9"/>
      <c r="C2100" s="9"/>
      <c r="D2100" s="9"/>
      <c r="E2100" s="9"/>
      <c r="F2100" s="9"/>
      <c r="G2100" s="9"/>
      <c r="H2100" s="9"/>
      <c r="I2100" s="9"/>
      <c r="J2100" s="9"/>
      <c r="K2100" s="9"/>
      <c r="L2100" s="9"/>
      <c r="M2100" s="9"/>
      <c r="N2100" s="9"/>
      <c r="O2100" s="9"/>
      <c r="P2100" s="9"/>
      <c r="Q2100" s="9"/>
      <c r="R2100" s="9"/>
      <c r="S2100" s="9"/>
      <c r="T2100" s="9"/>
      <c r="U2100" s="9"/>
      <c r="V2100" s="9"/>
      <c r="W2100" s="9"/>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c r="AV2100" s="9"/>
      <c r="AW2100" s="9"/>
      <c r="AX2100" s="9"/>
      <c r="AY2100" s="9"/>
      <c r="AZ2100" s="9"/>
      <c r="BA2100" s="9"/>
      <c r="BB2100" s="9"/>
      <c r="BC2100" s="9"/>
      <c r="BD2100" s="9"/>
      <c r="BE2100" s="9"/>
      <c r="BF2100" s="9"/>
      <c r="BG2100" s="9"/>
      <c r="BH2100" s="9"/>
      <c r="BI2100" s="9"/>
      <c r="BJ2100" s="9"/>
      <c r="BK2100" s="9"/>
      <c r="BL2100" s="9"/>
      <c r="BM2100" s="9"/>
      <c r="BN2100" s="9"/>
      <c r="BO2100" s="9"/>
      <c r="BP2100" s="9"/>
      <c r="BQ2100" s="9"/>
      <c r="BR2100" s="9"/>
      <c r="BS2100" s="9"/>
      <c r="BT2100" s="9"/>
      <c r="BU2100" s="9"/>
      <c r="BV2100" s="9"/>
      <c r="BW2100" s="9"/>
    </row>
    <row r="2101" spans="1:75" x14ac:dyDescent="0.25">
      <c r="A2101" s="9"/>
      <c r="B2101" s="9"/>
      <c r="C2101" s="9"/>
      <c r="D2101" s="9"/>
      <c r="E2101" s="9"/>
      <c r="F2101" s="9"/>
      <c r="G2101" s="9"/>
      <c r="H2101" s="9"/>
      <c r="I2101" s="9"/>
      <c r="J2101" s="9"/>
      <c r="K2101" s="9"/>
      <c r="L2101" s="9"/>
      <c r="M2101" s="9"/>
      <c r="N2101" s="9"/>
      <c r="O2101" s="9"/>
      <c r="P2101" s="9"/>
      <c r="Q2101" s="9"/>
      <c r="R2101" s="9"/>
      <c r="S2101" s="9"/>
      <c r="T2101" s="9"/>
      <c r="U2101" s="9"/>
      <c r="V2101" s="9"/>
      <c r="W2101" s="9"/>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c r="AV2101" s="9"/>
      <c r="AW2101" s="9"/>
      <c r="AX2101" s="9"/>
      <c r="AY2101" s="9"/>
      <c r="AZ2101" s="9"/>
      <c r="BA2101" s="9"/>
      <c r="BB2101" s="9"/>
      <c r="BC2101" s="9"/>
      <c r="BD2101" s="9"/>
      <c r="BE2101" s="9"/>
      <c r="BF2101" s="9"/>
      <c r="BG2101" s="9"/>
      <c r="BH2101" s="9"/>
      <c r="BI2101" s="9"/>
      <c r="BJ2101" s="9"/>
      <c r="BK2101" s="9"/>
      <c r="BL2101" s="9"/>
      <c r="BM2101" s="9"/>
      <c r="BN2101" s="9"/>
      <c r="BO2101" s="9"/>
      <c r="BP2101" s="9"/>
      <c r="BQ2101" s="9"/>
      <c r="BR2101" s="9"/>
      <c r="BS2101" s="9"/>
      <c r="BT2101" s="9"/>
      <c r="BU2101" s="9"/>
      <c r="BV2101" s="9"/>
      <c r="BW2101" s="9"/>
    </row>
    <row r="2102" spans="1:75" x14ac:dyDescent="0.25">
      <c r="A2102" s="9"/>
      <c r="B2102" s="9"/>
      <c r="C2102" s="9"/>
      <c r="D2102" s="9"/>
      <c r="E2102" s="9"/>
      <c r="F2102" s="9"/>
      <c r="G2102" s="9"/>
      <c r="H2102" s="9"/>
      <c r="I2102" s="9"/>
      <c r="J2102" s="9"/>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c r="AV2102" s="9"/>
      <c r="AW2102" s="9"/>
      <c r="AX2102" s="9"/>
      <c r="AY2102" s="9"/>
      <c r="AZ2102" s="9"/>
      <c r="BA2102" s="9"/>
      <c r="BB2102" s="9"/>
      <c r="BC2102" s="9"/>
      <c r="BD2102" s="9"/>
      <c r="BE2102" s="9"/>
      <c r="BF2102" s="9"/>
      <c r="BG2102" s="9"/>
      <c r="BH2102" s="9"/>
      <c r="BI2102" s="9"/>
      <c r="BJ2102" s="9"/>
      <c r="BK2102" s="9"/>
      <c r="BL2102" s="9"/>
      <c r="BM2102" s="9"/>
      <c r="BN2102" s="9"/>
      <c r="BO2102" s="9"/>
      <c r="BP2102" s="9"/>
      <c r="BQ2102" s="9"/>
      <c r="BR2102" s="9"/>
      <c r="BS2102" s="9"/>
      <c r="BT2102" s="9"/>
      <c r="BU2102" s="9"/>
      <c r="BV2102" s="9"/>
      <c r="BW2102" s="9"/>
    </row>
    <row r="2103" spans="1:75" x14ac:dyDescent="0.25">
      <c r="A2103" s="9"/>
      <c r="B2103" s="9"/>
      <c r="C2103" s="9"/>
      <c r="D2103" s="9"/>
      <c r="E2103" s="9"/>
      <c r="F2103" s="9"/>
      <c r="G2103" s="9"/>
      <c r="H2103" s="9"/>
      <c r="I2103" s="9"/>
      <c r="J2103" s="9"/>
      <c r="K2103" s="9"/>
      <c r="L2103" s="9"/>
      <c r="M2103" s="9"/>
      <c r="N2103" s="9"/>
      <c r="O2103" s="9"/>
      <c r="P2103" s="9"/>
      <c r="Q2103" s="9"/>
      <c r="R2103" s="9"/>
      <c r="S2103" s="9"/>
      <c r="T2103" s="9"/>
      <c r="U2103" s="9"/>
      <c r="V2103" s="9"/>
      <c r="W2103" s="9"/>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c r="AV2103" s="9"/>
      <c r="AW2103" s="9"/>
      <c r="AX2103" s="9"/>
      <c r="AY2103" s="9"/>
      <c r="AZ2103" s="9"/>
      <c r="BA2103" s="9"/>
      <c r="BB2103" s="9"/>
      <c r="BC2103" s="9"/>
      <c r="BD2103" s="9"/>
      <c r="BE2103" s="9"/>
      <c r="BF2103" s="9"/>
      <c r="BG2103" s="9"/>
      <c r="BH2103" s="9"/>
      <c r="BI2103" s="9"/>
      <c r="BJ2103" s="9"/>
      <c r="BK2103" s="9"/>
      <c r="BL2103" s="9"/>
      <c r="BM2103" s="9"/>
      <c r="BN2103" s="9"/>
      <c r="BO2103" s="9"/>
      <c r="BP2103" s="9"/>
      <c r="BQ2103" s="9"/>
      <c r="BR2103" s="9"/>
      <c r="BS2103" s="9"/>
      <c r="BT2103" s="9"/>
      <c r="BU2103" s="9"/>
      <c r="BV2103" s="9"/>
      <c r="BW2103" s="9"/>
    </row>
    <row r="2104" spans="1:75" x14ac:dyDescent="0.25">
      <c r="A2104" s="9"/>
      <c r="B2104" s="9"/>
      <c r="C2104" s="9"/>
      <c r="D2104" s="9"/>
      <c r="E2104" s="9"/>
      <c r="F2104" s="9"/>
      <c r="G2104" s="9"/>
      <c r="H2104" s="9"/>
      <c r="I2104" s="9"/>
      <c r="J2104" s="9"/>
      <c r="K2104" s="9"/>
      <c r="L2104" s="9"/>
      <c r="M2104" s="9"/>
      <c r="N2104" s="9"/>
      <c r="O2104" s="9"/>
      <c r="P2104" s="9"/>
      <c r="Q2104" s="9"/>
      <c r="R2104" s="9"/>
      <c r="S2104" s="9"/>
      <c r="T2104" s="9"/>
      <c r="U2104" s="9"/>
      <c r="V2104" s="9"/>
      <c r="W2104" s="9"/>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c r="AV2104" s="9"/>
      <c r="AW2104" s="9"/>
      <c r="AX2104" s="9"/>
      <c r="AY2104" s="9"/>
      <c r="AZ2104" s="9"/>
      <c r="BA2104" s="9"/>
      <c r="BB2104" s="9"/>
      <c r="BC2104" s="9"/>
      <c r="BD2104" s="9"/>
      <c r="BE2104" s="9"/>
      <c r="BF2104" s="9"/>
      <c r="BG2104" s="9"/>
      <c r="BH2104" s="9"/>
      <c r="BI2104" s="9"/>
      <c r="BJ2104" s="9"/>
      <c r="BK2104" s="9"/>
      <c r="BL2104" s="9"/>
      <c r="BM2104" s="9"/>
      <c r="BN2104" s="9"/>
      <c r="BO2104" s="9"/>
      <c r="BP2104" s="9"/>
      <c r="BQ2104" s="9"/>
      <c r="BR2104" s="9"/>
      <c r="BS2104" s="9"/>
      <c r="BT2104" s="9"/>
      <c r="BU2104" s="9"/>
      <c r="BV2104" s="9"/>
      <c r="BW2104" s="9"/>
    </row>
    <row r="2105" spans="1:75" x14ac:dyDescent="0.25">
      <c r="A2105" s="9"/>
      <c r="B2105" s="9"/>
      <c r="C2105" s="9"/>
      <c r="D2105" s="9"/>
      <c r="E2105" s="9"/>
      <c r="F2105" s="9"/>
      <c r="G2105" s="9"/>
      <c r="H2105" s="9"/>
      <c r="I2105" s="9"/>
      <c r="J2105" s="9"/>
      <c r="K2105" s="9"/>
      <c r="L2105" s="9"/>
      <c r="M2105" s="9"/>
      <c r="N2105" s="9"/>
      <c r="O2105" s="9"/>
      <c r="P2105" s="9"/>
      <c r="Q2105" s="9"/>
      <c r="R2105" s="9"/>
      <c r="S2105" s="9"/>
      <c r="T2105" s="9"/>
      <c r="U2105" s="9"/>
      <c r="V2105" s="9"/>
      <c r="W2105" s="9"/>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c r="AV2105" s="9"/>
      <c r="AW2105" s="9"/>
      <c r="AX2105" s="9"/>
      <c r="AY2105" s="9"/>
      <c r="AZ2105" s="9"/>
      <c r="BA2105" s="9"/>
      <c r="BB2105" s="9"/>
      <c r="BC2105" s="9"/>
      <c r="BD2105" s="9"/>
      <c r="BE2105" s="9"/>
      <c r="BF2105" s="9"/>
      <c r="BG2105" s="9"/>
      <c r="BH2105" s="9"/>
      <c r="BI2105" s="9"/>
      <c r="BJ2105" s="9"/>
      <c r="BK2105" s="9"/>
      <c r="BL2105" s="9"/>
      <c r="BM2105" s="9"/>
      <c r="BN2105" s="9"/>
      <c r="BO2105" s="9"/>
      <c r="BP2105" s="9"/>
      <c r="BQ2105" s="9"/>
      <c r="BR2105" s="9"/>
      <c r="BS2105" s="9"/>
      <c r="BT2105" s="9"/>
      <c r="BU2105" s="9"/>
      <c r="BV2105" s="9"/>
      <c r="BW2105" s="9"/>
    </row>
    <row r="2106" spans="1:75" x14ac:dyDescent="0.25">
      <c r="A2106" s="9"/>
      <c r="B2106" s="9"/>
      <c r="C2106" s="9"/>
      <c r="D2106" s="9"/>
      <c r="E2106" s="9"/>
      <c r="F2106" s="9"/>
      <c r="G2106" s="9"/>
      <c r="H2106" s="9"/>
      <c r="I2106" s="9"/>
      <c r="J2106" s="9"/>
      <c r="K2106" s="9"/>
      <c r="L2106" s="9"/>
      <c r="M2106" s="9"/>
      <c r="N2106" s="9"/>
      <c r="O2106" s="9"/>
      <c r="P2106" s="9"/>
      <c r="Q2106" s="9"/>
      <c r="R2106" s="9"/>
      <c r="S2106" s="9"/>
      <c r="T2106" s="9"/>
      <c r="U2106" s="9"/>
      <c r="V2106" s="9"/>
      <c r="W2106" s="9"/>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c r="AV2106" s="9"/>
      <c r="AW2106" s="9"/>
      <c r="AX2106" s="9"/>
      <c r="AY2106" s="9"/>
      <c r="AZ2106" s="9"/>
      <c r="BA2106" s="9"/>
      <c r="BB2106" s="9"/>
      <c r="BC2106" s="9"/>
      <c r="BD2106" s="9"/>
      <c r="BE2106" s="9"/>
      <c r="BF2106" s="9"/>
      <c r="BG2106" s="9"/>
      <c r="BH2106" s="9"/>
      <c r="BI2106" s="9"/>
      <c r="BJ2106" s="9"/>
      <c r="BK2106" s="9"/>
      <c r="BL2106" s="9"/>
      <c r="BM2106" s="9"/>
      <c r="BN2106" s="9"/>
      <c r="BO2106" s="9"/>
      <c r="BP2106" s="9"/>
      <c r="BQ2106" s="9"/>
      <c r="BR2106" s="9"/>
      <c r="BS2106" s="9"/>
      <c r="BT2106" s="9"/>
      <c r="BU2106" s="9"/>
      <c r="BV2106" s="9"/>
      <c r="BW2106" s="9"/>
    </row>
    <row r="2107" spans="1:75" x14ac:dyDescent="0.25">
      <c r="A2107" s="9"/>
      <c r="B2107" s="9"/>
      <c r="C2107" s="9"/>
      <c r="D2107" s="9"/>
      <c r="E2107" s="9"/>
      <c r="F2107" s="9"/>
      <c r="G2107" s="9"/>
      <c r="H2107" s="9"/>
      <c r="I2107" s="9"/>
      <c r="J2107" s="9"/>
      <c r="K2107" s="9"/>
      <c r="L2107" s="9"/>
      <c r="M2107" s="9"/>
      <c r="N2107" s="9"/>
      <c r="O2107" s="9"/>
      <c r="P2107" s="9"/>
      <c r="Q2107" s="9"/>
      <c r="R2107" s="9"/>
      <c r="S2107" s="9"/>
      <c r="T2107" s="9"/>
      <c r="U2107" s="9"/>
      <c r="V2107" s="9"/>
      <c r="W2107" s="9"/>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c r="AV2107" s="9"/>
      <c r="AW2107" s="9"/>
      <c r="AX2107" s="9"/>
      <c r="AY2107" s="9"/>
      <c r="AZ2107" s="9"/>
      <c r="BA2107" s="9"/>
      <c r="BB2107" s="9"/>
      <c r="BC2107" s="9"/>
      <c r="BD2107" s="9"/>
      <c r="BE2107" s="9"/>
      <c r="BF2107" s="9"/>
      <c r="BG2107" s="9"/>
      <c r="BH2107" s="9"/>
      <c r="BI2107" s="9"/>
      <c r="BJ2107" s="9"/>
      <c r="BK2107" s="9"/>
      <c r="BL2107" s="9"/>
      <c r="BM2107" s="9"/>
      <c r="BN2107" s="9"/>
      <c r="BO2107" s="9"/>
      <c r="BP2107" s="9"/>
      <c r="BQ2107" s="9"/>
      <c r="BR2107" s="9"/>
      <c r="BS2107" s="9"/>
      <c r="BT2107" s="9"/>
      <c r="BU2107" s="9"/>
      <c r="BV2107" s="9"/>
      <c r="BW2107" s="9"/>
    </row>
    <row r="2108" spans="1:75" x14ac:dyDescent="0.25">
      <c r="A2108" s="9"/>
      <c r="B2108" s="9"/>
      <c r="C2108" s="9"/>
      <c r="D2108" s="9"/>
      <c r="E2108" s="9"/>
      <c r="F2108" s="9"/>
      <c r="G2108" s="9"/>
      <c r="H2108" s="9"/>
      <c r="I2108" s="9"/>
      <c r="J2108" s="9"/>
      <c r="K2108" s="9"/>
      <c r="L2108" s="9"/>
      <c r="M2108" s="9"/>
      <c r="N2108" s="9"/>
      <c r="O2108" s="9"/>
      <c r="P2108" s="9"/>
      <c r="Q2108" s="9"/>
      <c r="R2108" s="9"/>
      <c r="S2108" s="9"/>
      <c r="T2108" s="9"/>
      <c r="U2108" s="9"/>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c r="AV2108" s="9"/>
      <c r="AW2108" s="9"/>
      <c r="AX2108" s="9"/>
      <c r="AY2108" s="9"/>
      <c r="AZ2108" s="9"/>
      <c r="BA2108" s="9"/>
      <c r="BB2108" s="9"/>
      <c r="BC2108" s="9"/>
      <c r="BD2108" s="9"/>
      <c r="BE2108" s="9"/>
      <c r="BF2108" s="9"/>
      <c r="BG2108" s="9"/>
      <c r="BH2108" s="9"/>
      <c r="BI2108" s="9"/>
      <c r="BJ2108" s="9"/>
      <c r="BK2108" s="9"/>
      <c r="BL2108" s="9"/>
      <c r="BM2108" s="9"/>
      <c r="BN2108" s="9"/>
      <c r="BO2108" s="9"/>
      <c r="BP2108" s="9"/>
      <c r="BQ2108" s="9"/>
      <c r="BR2108" s="9"/>
      <c r="BS2108" s="9"/>
      <c r="BT2108" s="9"/>
      <c r="BU2108" s="9"/>
      <c r="BV2108" s="9"/>
      <c r="BW2108" s="9"/>
    </row>
    <row r="2109" spans="1:75" x14ac:dyDescent="0.25">
      <c r="A2109" s="9"/>
      <c r="B2109" s="9"/>
      <c r="C2109" s="9"/>
      <c r="D2109" s="9"/>
      <c r="E2109" s="9"/>
      <c r="F2109" s="9"/>
      <c r="G2109" s="9"/>
      <c r="H2109" s="9"/>
      <c r="I2109" s="9"/>
      <c r="J2109" s="9"/>
      <c r="K2109" s="9"/>
      <c r="L2109" s="9"/>
      <c r="M2109" s="9"/>
      <c r="N2109" s="9"/>
      <c r="O2109" s="9"/>
      <c r="P2109" s="9"/>
      <c r="Q2109" s="9"/>
      <c r="R2109" s="9"/>
      <c r="S2109" s="9"/>
      <c r="T2109" s="9"/>
      <c r="U2109" s="9"/>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c r="AV2109" s="9"/>
      <c r="AW2109" s="9"/>
      <c r="AX2109" s="9"/>
      <c r="AY2109" s="9"/>
      <c r="AZ2109" s="9"/>
      <c r="BA2109" s="9"/>
      <c r="BB2109" s="9"/>
      <c r="BC2109" s="9"/>
      <c r="BD2109" s="9"/>
      <c r="BE2109" s="9"/>
      <c r="BF2109" s="9"/>
      <c r="BG2109" s="9"/>
      <c r="BH2109" s="9"/>
      <c r="BI2109" s="9"/>
      <c r="BJ2109" s="9"/>
      <c r="BK2109" s="9"/>
      <c r="BL2109" s="9"/>
      <c r="BM2109" s="9"/>
      <c r="BN2109" s="9"/>
      <c r="BO2109" s="9"/>
      <c r="BP2109" s="9"/>
      <c r="BQ2109" s="9"/>
      <c r="BR2109" s="9"/>
      <c r="BS2109" s="9"/>
      <c r="BT2109" s="9"/>
      <c r="BU2109" s="9"/>
      <c r="BV2109" s="9"/>
      <c r="BW2109" s="9"/>
    </row>
    <row r="2110" spans="1:75" x14ac:dyDescent="0.25">
      <c r="A2110" s="9"/>
      <c r="B2110" s="9"/>
      <c r="C2110" s="9"/>
      <c r="D2110" s="9"/>
      <c r="E2110" s="9"/>
      <c r="F2110" s="9"/>
      <c r="G2110" s="9"/>
      <c r="H2110" s="9"/>
      <c r="I2110" s="9"/>
      <c r="J2110" s="9"/>
      <c r="K2110" s="9"/>
      <c r="L2110" s="9"/>
      <c r="M2110" s="9"/>
      <c r="N2110" s="9"/>
      <c r="O2110" s="9"/>
      <c r="P2110" s="9"/>
      <c r="Q2110" s="9"/>
      <c r="R2110" s="9"/>
      <c r="S2110" s="9"/>
      <c r="T2110" s="9"/>
      <c r="U2110" s="9"/>
      <c r="V2110" s="9"/>
      <c r="W2110" s="9"/>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c r="AV2110" s="9"/>
      <c r="AW2110" s="9"/>
      <c r="AX2110" s="9"/>
      <c r="AY2110" s="9"/>
      <c r="AZ2110" s="9"/>
      <c r="BA2110" s="9"/>
      <c r="BB2110" s="9"/>
      <c r="BC2110" s="9"/>
      <c r="BD2110" s="9"/>
      <c r="BE2110" s="9"/>
      <c r="BF2110" s="9"/>
      <c r="BG2110" s="9"/>
      <c r="BH2110" s="9"/>
      <c r="BI2110" s="9"/>
      <c r="BJ2110" s="9"/>
      <c r="BK2110" s="9"/>
      <c r="BL2110" s="9"/>
      <c r="BM2110" s="9"/>
      <c r="BN2110" s="9"/>
      <c r="BO2110" s="9"/>
      <c r="BP2110" s="9"/>
      <c r="BQ2110" s="9"/>
      <c r="BR2110" s="9"/>
      <c r="BS2110" s="9"/>
      <c r="BT2110" s="9"/>
      <c r="BU2110" s="9"/>
      <c r="BV2110" s="9"/>
      <c r="BW2110" s="9"/>
    </row>
    <row r="2111" spans="1:75" x14ac:dyDescent="0.25">
      <c r="A2111" s="9"/>
      <c r="B2111" s="9"/>
      <c r="C2111" s="9"/>
      <c r="D2111" s="9"/>
      <c r="E2111" s="9"/>
      <c r="F2111" s="9"/>
      <c r="G2111" s="9"/>
      <c r="H2111" s="9"/>
      <c r="I2111" s="9"/>
      <c r="J2111" s="9"/>
      <c r="K2111" s="9"/>
      <c r="L2111" s="9"/>
      <c r="M2111" s="9"/>
      <c r="N2111" s="9"/>
      <c r="O2111" s="9"/>
      <c r="P2111" s="9"/>
      <c r="Q2111" s="9"/>
      <c r="R2111" s="9"/>
      <c r="S2111" s="9"/>
      <c r="T2111" s="9"/>
      <c r="U2111" s="9"/>
      <c r="V2111" s="9"/>
      <c r="W2111" s="9"/>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c r="AV2111" s="9"/>
      <c r="AW2111" s="9"/>
      <c r="AX2111" s="9"/>
      <c r="AY2111" s="9"/>
      <c r="AZ2111" s="9"/>
      <c r="BA2111" s="9"/>
      <c r="BB2111" s="9"/>
      <c r="BC2111" s="9"/>
      <c r="BD2111" s="9"/>
      <c r="BE2111" s="9"/>
      <c r="BF2111" s="9"/>
      <c r="BG2111" s="9"/>
      <c r="BH2111" s="9"/>
      <c r="BI2111" s="9"/>
      <c r="BJ2111" s="9"/>
      <c r="BK2111" s="9"/>
      <c r="BL2111" s="9"/>
      <c r="BM2111" s="9"/>
      <c r="BN2111" s="9"/>
      <c r="BO2111" s="9"/>
      <c r="BP2111" s="9"/>
      <c r="BQ2111" s="9"/>
      <c r="BR2111" s="9"/>
      <c r="BS2111" s="9"/>
      <c r="BT2111" s="9"/>
      <c r="BU2111" s="9"/>
      <c r="BV2111" s="9"/>
      <c r="BW2111" s="9"/>
    </row>
    <row r="2112" spans="1:75" x14ac:dyDescent="0.25">
      <c r="A2112" s="9"/>
      <c r="B2112" s="9"/>
      <c r="C2112" s="9"/>
      <c r="D2112" s="9"/>
      <c r="E2112" s="9"/>
      <c r="F2112" s="9"/>
      <c r="G2112" s="9"/>
      <c r="H2112" s="9"/>
      <c r="I2112" s="9"/>
      <c r="J2112" s="9"/>
      <c r="K2112" s="9"/>
      <c r="L2112" s="9"/>
      <c r="M2112" s="9"/>
      <c r="N2112" s="9"/>
      <c r="O2112" s="9"/>
      <c r="P2112" s="9"/>
      <c r="Q2112" s="9"/>
      <c r="R2112" s="9"/>
      <c r="S2112" s="9"/>
      <c r="T2112" s="9"/>
      <c r="U2112" s="9"/>
      <c r="V2112" s="9"/>
      <c r="W2112" s="9"/>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c r="AV2112" s="9"/>
      <c r="AW2112" s="9"/>
      <c r="AX2112" s="9"/>
      <c r="AY2112" s="9"/>
      <c r="AZ2112" s="9"/>
      <c r="BA2112" s="9"/>
      <c r="BB2112" s="9"/>
      <c r="BC2112" s="9"/>
      <c r="BD2112" s="9"/>
      <c r="BE2112" s="9"/>
      <c r="BF2112" s="9"/>
      <c r="BG2112" s="9"/>
      <c r="BH2112" s="9"/>
      <c r="BI2112" s="9"/>
      <c r="BJ2112" s="9"/>
      <c r="BK2112" s="9"/>
      <c r="BL2112" s="9"/>
      <c r="BM2112" s="9"/>
      <c r="BN2112" s="9"/>
      <c r="BO2112" s="9"/>
      <c r="BP2112" s="9"/>
      <c r="BQ2112" s="9"/>
      <c r="BR2112" s="9"/>
      <c r="BS2112" s="9"/>
      <c r="BT2112" s="9"/>
      <c r="BU2112" s="9"/>
      <c r="BV2112" s="9"/>
      <c r="BW2112" s="9"/>
    </row>
    <row r="2113" spans="1:75" x14ac:dyDescent="0.25">
      <c r="A2113" s="9"/>
      <c r="B2113" s="9"/>
      <c r="C2113" s="9"/>
      <c r="D2113" s="9"/>
      <c r="E2113" s="9"/>
      <c r="F2113" s="9"/>
      <c r="G2113" s="9"/>
      <c r="H2113" s="9"/>
      <c r="I2113" s="9"/>
      <c r="J2113" s="9"/>
      <c r="K2113" s="9"/>
      <c r="L2113" s="9"/>
      <c r="M2113" s="9"/>
      <c r="N2113" s="9"/>
      <c r="O2113" s="9"/>
      <c r="P2113" s="9"/>
      <c r="Q2113" s="9"/>
      <c r="R2113" s="9"/>
      <c r="S2113" s="9"/>
      <c r="T2113" s="9"/>
      <c r="U2113" s="9"/>
      <c r="V2113" s="9"/>
      <c r="W2113" s="9"/>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c r="AV2113" s="9"/>
      <c r="AW2113" s="9"/>
      <c r="AX2113" s="9"/>
      <c r="AY2113" s="9"/>
      <c r="AZ2113" s="9"/>
      <c r="BA2113" s="9"/>
      <c r="BB2113" s="9"/>
      <c r="BC2113" s="9"/>
      <c r="BD2113" s="9"/>
      <c r="BE2113" s="9"/>
      <c r="BF2113" s="9"/>
      <c r="BG2113" s="9"/>
      <c r="BH2113" s="9"/>
      <c r="BI2113" s="9"/>
      <c r="BJ2113" s="9"/>
      <c r="BK2113" s="9"/>
      <c r="BL2113" s="9"/>
      <c r="BM2113" s="9"/>
      <c r="BN2113" s="9"/>
      <c r="BO2113" s="9"/>
      <c r="BP2113" s="9"/>
      <c r="BQ2113" s="9"/>
      <c r="BR2113" s="9"/>
      <c r="BS2113" s="9"/>
      <c r="BT2113" s="9"/>
      <c r="BU2113" s="9"/>
      <c r="BV2113" s="9"/>
      <c r="BW2113" s="9"/>
    </row>
    <row r="2114" spans="1:75" x14ac:dyDescent="0.25">
      <c r="A2114" s="9"/>
      <c r="B2114" s="9"/>
      <c r="C2114" s="9"/>
      <c r="D2114" s="9"/>
      <c r="E2114" s="9"/>
      <c r="F2114" s="9"/>
      <c r="G2114" s="9"/>
      <c r="H2114" s="9"/>
      <c r="I2114" s="9"/>
      <c r="J2114" s="9"/>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c r="AV2114" s="9"/>
      <c r="AW2114" s="9"/>
      <c r="AX2114" s="9"/>
      <c r="AY2114" s="9"/>
      <c r="AZ2114" s="9"/>
      <c r="BA2114" s="9"/>
      <c r="BB2114" s="9"/>
      <c r="BC2114" s="9"/>
      <c r="BD2114" s="9"/>
      <c r="BE2114" s="9"/>
      <c r="BF2114" s="9"/>
      <c r="BG2114" s="9"/>
      <c r="BH2114" s="9"/>
      <c r="BI2114" s="9"/>
      <c r="BJ2114" s="9"/>
      <c r="BK2114" s="9"/>
      <c r="BL2114" s="9"/>
      <c r="BM2114" s="9"/>
      <c r="BN2114" s="9"/>
      <c r="BO2114" s="9"/>
      <c r="BP2114" s="9"/>
      <c r="BQ2114" s="9"/>
      <c r="BR2114" s="9"/>
      <c r="BS2114" s="9"/>
      <c r="BT2114" s="9"/>
      <c r="BU2114" s="9"/>
      <c r="BV2114" s="9"/>
      <c r="BW2114" s="9"/>
    </row>
    <row r="2115" spans="1:75" x14ac:dyDescent="0.25">
      <c r="A2115" s="9"/>
      <c r="B2115" s="9"/>
      <c r="C2115" s="9"/>
      <c r="D2115" s="9"/>
      <c r="E2115" s="9"/>
      <c r="F2115" s="9"/>
      <c r="G2115" s="9"/>
      <c r="H2115" s="9"/>
      <c r="I2115" s="9"/>
      <c r="J2115" s="9"/>
      <c r="K2115" s="9"/>
      <c r="L2115" s="9"/>
      <c r="M2115" s="9"/>
      <c r="N2115" s="9"/>
      <c r="O2115" s="9"/>
      <c r="P2115" s="9"/>
      <c r="Q2115" s="9"/>
      <c r="R2115" s="9"/>
      <c r="S2115" s="9"/>
      <c r="T2115" s="9"/>
      <c r="U2115" s="9"/>
      <c r="V2115" s="9"/>
      <c r="W2115" s="9"/>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c r="AV2115" s="9"/>
      <c r="AW2115" s="9"/>
      <c r="AX2115" s="9"/>
      <c r="AY2115" s="9"/>
      <c r="AZ2115" s="9"/>
      <c r="BA2115" s="9"/>
      <c r="BB2115" s="9"/>
      <c r="BC2115" s="9"/>
      <c r="BD2115" s="9"/>
      <c r="BE2115" s="9"/>
      <c r="BF2115" s="9"/>
      <c r="BG2115" s="9"/>
      <c r="BH2115" s="9"/>
      <c r="BI2115" s="9"/>
      <c r="BJ2115" s="9"/>
      <c r="BK2115" s="9"/>
      <c r="BL2115" s="9"/>
      <c r="BM2115" s="9"/>
      <c r="BN2115" s="9"/>
      <c r="BO2115" s="9"/>
      <c r="BP2115" s="9"/>
      <c r="BQ2115" s="9"/>
      <c r="BR2115" s="9"/>
      <c r="BS2115" s="9"/>
      <c r="BT2115" s="9"/>
      <c r="BU2115" s="9"/>
      <c r="BV2115" s="9"/>
      <c r="BW2115" s="9"/>
    </row>
    <row r="2116" spans="1:75" x14ac:dyDescent="0.25">
      <c r="A2116" s="9"/>
      <c r="B2116" s="9"/>
      <c r="C2116" s="9"/>
      <c r="D2116" s="9"/>
      <c r="E2116" s="9"/>
      <c r="F2116" s="9"/>
      <c r="G2116" s="9"/>
      <c r="H2116" s="9"/>
      <c r="I2116" s="9"/>
      <c r="J2116" s="9"/>
      <c r="K2116" s="9"/>
      <c r="L2116" s="9"/>
      <c r="M2116" s="9"/>
      <c r="N2116" s="9"/>
      <c r="O2116" s="9"/>
      <c r="P2116" s="9"/>
      <c r="Q2116" s="9"/>
      <c r="R2116" s="9"/>
      <c r="S2116" s="9"/>
      <c r="T2116" s="9"/>
      <c r="U2116" s="9"/>
      <c r="V2116" s="9"/>
      <c r="W2116" s="9"/>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c r="AV2116" s="9"/>
      <c r="AW2116" s="9"/>
      <c r="AX2116" s="9"/>
      <c r="AY2116" s="9"/>
      <c r="AZ2116" s="9"/>
      <c r="BA2116" s="9"/>
      <c r="BB2116" s="9"/>
      <c r="BC2116" s="9"/>
      <c r="BD2116" s="9"/>
      <c r="BE2116" s="9"/>
      <c r="BF2116" s="9"/>
      <c r="BG2116" s="9"/>
      <c r="BH2116" s="9"/>
      <c r="BI2116" s="9"/>
      <c r="BJ2116" s="9"/>
      <c r="BK2116" s="9"/>
      <c r="BL2116" s="9"/>
      <c r="BM2116" s="9"/>
      <c r="BN2116" s="9"/>
      <c r="BO2116" s="9"/>
      <c r="BP2116" s="9"/>
      <c r="BQ2116" s="9"/>
      <c r="BR2116" s="9"/>
      <c r="BS2116" s="9"/>
      <c r="BT2116" s="9"/>
      <c r="BU2116" s="9"/>
      <c r="BV2116" s="9"/>
      <c r="BW2116" s="9"/>
    </row>
    <row r="2117" spans="1:75" x14ac:dyDescent="0.25">
      <c r="A2117" s="9"/>
      <c r="B2117" s="9"/>
      <c r="C2117" s="9"/>
      <c r="D2117" s="9"/>
      <c r="E2117" s="9"/>
      <c r="F2117" s="9"/>
      <c r="G2117" s="9"/>
      <c r="H2117" s="9"/>
      <c r="I2117" s="9"/>
      <c r="J2117" s="9"/>
      <c r="K2117" s="9"/>
      <c r="L2117" s="9"/>
      <c r="M2117" s="9"/>
      <c r="N2117" s="9"/>
      <c r="O2117" s="9"/>
      <c r="P2117" s="9"/>
      <c r="Q2117" s="9"/>
      <c r="R2117" s="9"/>
      <c r="S2117" s="9"/>
      <c r="T2117" s="9"/>
      <c r="U2117" s="9"/>
      <c r="V2117" s="9"/>
      <c r="W2117" s="9"/>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c r="AV2117" s="9"/>
      <c r="AW2117" s="9"/>
      <c r="AX2117" s="9"/>
      <c r="AY2117" s="9"/>
      <c r="AZ2117" s="9"/>
      <c r="BA2117" s="9"/>
      <c r="BB2117" s="9"/>
      <c r="BC2117" s="9"/>
      <c r="BD2117" s="9"/>
      <c r="BE2117" s="9"/>
      <c r="BF2117" s="9"/>
      <c r="BG2117" s="9"/>
      <c r="BH2117" s="9"/>
      <c r="BI2117" s="9"/>
      <c r="BJ2117" s="9"/>
      <c r="BK2117" s="9"/>
      <c r="BL2117" s="9"/>
      <c r="BM2117" s="9"/>
      <c r="BN2117" s="9"/>
      <c r="BO2117" s="9"/>
      <c r="BP2117" s="9"/>
      <c r="BQ2117" s="9"/>
      <c r="BR2117" s="9"/>
      <c r="BS2117" s="9"/>
      <c r="BT2117" s="9"/>
      <c r="BU2117" s="9"/>
      <c r="BV2117" s="9"/>
      <c r="BW2117" s="9"/>
    </row>
    <row r="2118" spans="1:75" x14ac:dyDescent="0.25">
      <c r="A2118" s="9"/>
      <c r="B2118" s="9"/>
      <c r="C2118" s="9"/>
      <c r="D2118" s="9"/>
      <c r="E2118" s="9"/>
      <c r="F2118" s="9"/>
      <c r="G2118" s="9"/>
      <c r="H2118" s="9"/>
      <c r="I2118" s="9"/>
      <c r="J2118" s="9"/>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c r="AV2118" s="9"/>
      <c r="AW2118" s="9"/>
      <c r="AX2118" s="9"/>
      <c r="AY2118" s="9"/>
      <c r="AZ2118" s="9"/>
      <c r="BA2118" s="9"/>
      <c r="BB2118" s="9"/>
      <c r="BC2118" s="9"/>
      <c r="BD2118" s="9"/>
      <c r="BE2118" s="9"/>
      <c r="BF2118" s="9"/>
      <c r="BG2118" s="9"/>
      <c r="BH2118" s="9"/>
      <c r="BI2118" s="9"/>
      <c r="BJ2118" s="9"/>
      <c r="BK2118" s="9"/>
      <c r="BL2118" s="9"/>
      <c r="BM2118" s="9"/>
      <c r="BN2118" s="9"/>
      <c r="BO2118" s="9"/>
      <c r="BP2118" s="9"/>
      <c r="BQ2118" s="9"/>
      <c r="BR2118" s="9"/>
      <c r="BS2118" s="9"/>
      <c r="BT2118" s="9"/>
      <c r="BU2118" s="9"/>
      <c r="BV2118" s="9"/>
      <c r="BW2118" s="9"/>
    </row>
    <row r="2119" spans="1:75" x14ac:dyDescent="0.25">
      <c r="A2119" s="9"/>
      <c r="B2119" s="9"/>
      <c r="C2119" s="9"/>
      <c r="D2119" s="9"/>
      <c r="E2119" s="9"/>
      <c r="F2119" s="9"/>
      <c r="G2119" s="9"/>
      <c r="H2119" s="9"/>
      <c r="I2119" s="9"/>
      <c r="J2119" s="9"/>
      <c r="K2119" s="9"/>
      <c r="L2119" s="9"/>
      <c r="M2119" s="9"/>
      <c r="N2119" s="9"/>
      <c r="O2119" s="9"/>
      <c r="P2119" s="9"/>
      <c r="Q2119" s="9"/>
      <c r="R2119" s="9"/>
      <c r="S2119" s="9"/>
      <c r="T2119" s="9"/>
      <c r="U2119" s="9"/>
      <c r="V2119" s="9"/>
      <c r="W2119" s="9"/>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c r="AV2119" s="9"/>
      <c r="AW2119" s="9"/>
      <c r="AX2119" s="9"/>
      <c r="AY2119" s="9"/>
      <c r="AZ2119" s="9"/>
      <c r="BA2119" s="9"/>
      <c r="BB2119" s="9"/>
      <c r="BC2119" s="9"/>
      <c r="BD2119" s="9"/>
      <c r="BE2119" s="9"/>
      <c r="BF2119" s="9"/>
      <c r="BG2119" s="9"/>
      <c r="BH2119" s="9"/>
      <c r="BI2119" s="9"/>
      <c r="BJ2119" s="9"/>
      <c r="BK2119" s="9"/>
      <c r="BL2119" s="9"/>
      <c r="BM2119" s="9"/>
      <c r="BN2119" s="9"/>
      <c r="BO2119" s="9"/>
      <c r="BP2119" s="9"/>
      <c r="BQ2119" s="9"/>
      <c r="BR2119" s="9"/>
      <c r="BS2119" s="9"/>
      <c r="BT2119" s="9"/>
      <c r="BU2119" s="9"/>
      <c r="BV2119" s="9"/>
      <c r="BW2119" s="9"/>
    </row>
    <row r="2120" spans="1:75" x14ac:dyDescent="0.25">
      <c r="A2120" s="9"/>
      <c r="B2120" s="9"/>
      <c r="C2120" s="9"/>
      <c r="D2120" s="9"/>
      <c r="E2120" s="9"/>
      <c r="F2120" s="9"/>
      <c r="G2120" s="9"/>
      <c r="H2120" s="9"/>
      <c r="I2120" s="9"/>
      <c r="J2120" s="9"/>
      <c r="K2120" s="9"/>
      <c r="L2120" s="9"/>
      <c r="M2120" s="9"/>
      <c r="N2120" s="9"/>
      <c r="O2120" s="9"/>
      <c r="P2120" s="9"/>
      <c r="Q2120" s="9"/>
      <c r="R2120" s="9"/>
      <c r="S2120" s="9"/>
      <c r="T2120" s="9"/>
      <c r="U2120" s="9"/>
      <c r="V2120" s="9"/>
      <c r="W2120" s="9"/>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c r="AV2120" s="9"/>
      <c r="AW2120" s="9"/>
      <c r="AX2120" s="9"/>
      <c r="AY2120" s="9"/>
      <c r="AZ2120" s="9"/>
      <c r="BA2120" s="9"/>
      <c r="BB2120" s="9"/>
      <c r="BC2120" s="9"/>
      <c r="BD2120" s="9"/>
      <c r="BE2120" s="9"/>
      <c r="BF2120" s="9"/>
      <c r="BG2120" s="9"/>
      <c r="BH2120" s="9"/>
      <c r="BI2120" s="9"/>
      <c r="BJ2120" s="9"/>
      <c r="BK2120" s="9"/>
      <c r="BL2120" s="9"/>
      <c r="BM2120" s="9"/>
      <c r="BN2120" s="9"/>
      <c r="BO2120" s="9"/>
      <c r="BP2120" s="9"/>
      <c r="BQ2120" s="9"/>
      <c r="BR2120" s="9"/>
      <c r="BS2120" s="9"/>
      <c r="BT2120" s="9"/>
      <c r="BU2120" s="9"/>
      <c r="BV2120" s="9"/>
      <c r="BW2120" s="9"/>
    </row>
    <row r="2121" spans="1:75" x14ac:dyDescent="0.25">
      <c r="A2121" s="9"/>
      <c r="B2121" s="9"/>
      <c r="C2121" s="9"/>
      <c r="D2121" s="9"/>
      <c r="E2121" s="9"/>
      <c r="F2121" s="9"/>
      <c r="G2121" s="9"/>
      <c r="H2121" s="9"/>
      <c r="I2121" s="9"/>
      <c r="J2121" s="9"/>
      <c r="K2121" s="9"/>
      <c r="L2121" s="9"/>
      <c r="M2121" s="9"/>
      <c r="N2121" s="9"/>
      <c r="O2121" s="9"/>
      <c r="P2121" s="9"/>
      <c r="Q2121" s="9"/>
      <c r="R2121" s="9"/>
      <c r="S2121" s="9"/>
      <c r="T2121" s="9"/>
      <c r="U2121" s="9"/>
      <c r="V2121" s="9"/>
      <c r="W2121" s="9"/>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c r="AV2121" s="9"/>
      <c r="AW2121" s="9"/>
      <c r="AX2121" s="9"/>
      <c r="AY2121" s="9"/>
      <c r="AZ2121" s="9"/>
      <c r="BA2121" s="9"/>
      <c r="BB2121" s="9"/>
      <c r="BC2121" s="9"/>
      <c r="BD2121" s="9"/>
      <c r="BE2121" s="9"/>
      <c r="BF2121" s="9"/>
      <c r="BG2121" s="9"/>
      <c r="BH2121" s="9"/>
      <c r="BI2121" s="9"/>
      <c r="BJ2121" s="9"/>
      <c r="BK2121" s="9"/>
      <c r="BL2121" s="9"/>
      <c r="BM2121" s="9"/>
      <c r="BN2121" s="9"/>
      <c r="BO2121" s="9"/>
      <c r="BP2121" s="9"/>
      <c r="BQ2121" s="9"/>
      <c r="BR2121" s="9"/>
      <c r="BS2121" s="9"/>
      <c r="BT2121" s="9"/>
      <c r="BU2121" s="9"/>
      <c r="BV2121" s="9"/>
      <c r="BW2121" s="9"/>
    </row>
    <row r="2122" spans="1:75" x14ac:dyDescent="0.25">
      <c r="A2122" s="9"/>
      <c r="B2122" s="9"/>
      <c r="C2122" s="9"/>
      <c r="D2122" s="9"/>
      <c r="E2122" s="9"/>
      <c r="F2122" s="9"/>
      <c r="G2122" s="9"/>
      <c r="H2122" s="9"/>
      <c r="I2122" s="9"/>
      <c r="J2122" s="9"/>
      <c r="K2122" s="9"/>
      <c r="L2122" s="9"/>
      <c r="M2122" s="9"/>
      <c r="N2122" s="9"/>
      <c r="O2122" s="9"/>
      <c r="P2122" s="9"/>
      <c r="Q2122" s="9"/>
      <c r="R2122" s="9"/>
      <c r="S2122" s="9"/>
      <c r="T2122" s="9"/>
      <c r="U2122" s="9"/>
      <c r="V2122" s="9"/>
      <c r="W2122" s="9"/>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c r="AV2122" s="9"/>
      <c r="AW2122" s="9"/>
      <c r="AX2122" s="9"/>
      <c r="AY2122" s="9"/>
      <c r="AZ2122" s="9"/>
      <c r="BA2122" s="9"/>
      <c r="BB2122" s="9"/>
      <c r="BC2122" s="9"/>
      <c r="BD2122" s="9"/>
      <c r="BE2122" s="9"/>
      <c r="BF2122" s="9"/>
      <c r="BG2122" s="9"/>
      <c r="BH2122" s="9"/>
      <c r="BI2122" s="9"/>
      <c r="BJ2122" s="9"/>
      <c r="BK2122" s="9"/>
      <c r="BL2122" s="9"/>
      <c r="BM2122" s="9"/>
      <c r="BN2122" s="9"/>
      <c r="BO2122" s="9"/>
      <c r="BP2122" s="9"/>
      <c r="BQ2122" s="9"/>
      <c r="BR2122" s="9"/>
      <c r="BS2122" s="9"/>
      <c r="BT2122" s="9"/>
      <c r="BU2122" s="9"/>
      <c r="BV2122" s="9"/>
      <c r="BW2122" s="9"/>
    </row>
    <row r="2123" spans="1:75" x14ac:dyDescent="0.25">
      <c r="A2123" s="9"/>
      <c r="B2123" s="9"/>
      <c r="C2123" s="9"/>
      <c r="D2123" s="9"/>
      <c r="E2123" s="9"/>
      <c r="F2123" s="9"/>
      <c r="G2123" s="9"/>
      <c r="H2123" s="9"/>
      <c r="I2123" s="9"/>
      <c r="J2123" s="9"/>
      <c r="K2123" s="9"/>
      <c r="L2123" s="9"/>
      <c r="M2123" s="9"/>
      <c r="N2123" s="9"/>
      <c r="O2123" s="9"/>
      <c r="P2123" s="9"/>
      <c r="Q2123" s="9"/>
      <c r="R2123" s="9"/>
      <c r="S2123" s="9"/>
      <c r="T2123" s="9"/>
      <c r="U2123" s="9"/>
      <c r="V2123" s="9"/>
      <c r="W2123" s="9"/>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c r="AV2123" s="9"/>
      <c r="AW2123" s="9"/>
      <c r="AX2123" s="9"/>
      <c r="AY2123" s="9"/>
      <c r="AZ2123" s="9"/>
      <c r="BA2123" s="9"/>
      <c r="BB2123" s="9"/>
      <c r="BC2123" s="9"/>
      <c r="BD2123" s="9"/>
      <c r="BE2123" s="9"/>
      <c r="BF2123" s="9"/>
      <c r="BG2123" s="9"/>
      <c r="BH2123" s="9"/>
      <c r="BI2123" s="9"/>
      <c r="BJ2123" s="9"/>
      <c r="BK2123" s="9"/>
      <c r="BL2123" s="9"/>
      <c r="BM2123" s="9"/>
      <c r="BN2123" s="9"/>
      <c r="BO2123" s="9"/>
      <c r="BP2123" s="9"/>
      <c r="BQ2123" s="9"/>
      <c r="BR2123" s="9"/>
      <c r="BS2123" s="9"/>
      <c r="BT2123" s="9"/>
      <c r="BU2123" s="9"/>
      <c r="BV2123" s="9"/>
      <c r="BW2123" s="9"/>
    </row>
    <row r="2124" spans="1:75" x14ac:dyDescent="0.25">
      <c r="A2124" s="9"/>
      <c r="B2124" s="9"/>
      <c r="C2124" s="9"/>
      <c r="D2124" s="9"/>
      <c r="E2124" s="9"/>
      <c r="F2124" s="9"/>
      <c r="G2124" s="9"/>
      <c r="H2124" s="9"/>
      <c r="I2124" s="9"/>
      <c r="J2124" s="9"/>
      <c r="K2124" s="9"/>
      <c r="L2124" s="9"/>
      <c r="M2124" s="9"/>
      <c r="N2124" s="9"/>
      <c r="O2124" s="9"/>
      <c r="P2124" s="9"/>
      <c r="Q2124" s="9"/>
      <c r="R2124" s="9"/>
      <c r="S2124" s="9"/>
      <c r="T2124" s="9"/>
      <c r="U2124" s="9"/>
      <c r="V2124" s="9"/>
      <c r="W2124" s="9"/>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c r="AV2124" s="9"/>
      <c r="AW2124" s="9"/>
      <c r="AX2124" s="9"/>
      <c r="AY2124" s="9"/>
      <c r="AZ2124" s="9"/>
      <c r="BA2124" s="9"/>
      <c r="BB2124" s="9"/>
      <c r="BC2124" s="9"/>
      <c r="BD2124" s="9"/>
      <c r="BE2124" s="9"/>
      <c r="BF2124" s="9"/>
      <c r="BG2124" s="9"/>
      <c r="BH2124" s="9"/>
      <c r="BI2124" s="9"/>
      <c r="BJ2124" s="9"/>
      <c r="BK2124" s="9"/>
      <c r="BL2124" s="9"/>
      <c r="BM2124" s="9"/>
      <c r="BN2124" s="9"/>
      <c r="BO2124" s="9"/>
      <c r="BP2124" s="9"/>
      <c r="BQ2124" s="9"/>
      <c r="BR2124" s="9"/>
      <c r="BS2124" s="9"/>
      <c r="BT2124" s="9"/>
      <c r="BU2124" s="9"/>
      <c r="BV2124" s="9"/>
      <c r="BW2124" s="9"/>
    </row>
    <row r="2125" spans="1:75" x14ac:dyDescent="0.25">
      <c r="A2125" s="9"/>
      <c r="B2125" s="9"/>
      <c r="C2125" s="9"/>
      <c r="D2125" s="9"/>
      <c r="E2125" s="9"/>
      <c r="F2125" s="9"/>
      <c r="G2125" s="9"/>
      <c r="H2125" s="9"/>
      <c r="I2125" s="9"/>
      <c r="J2125" s="9"/>
      <c r="K2125" s="9"/>
      <c r="L2125" s="9"/>
      <c r="M2125" s="9"/>
      <c r="N2125" s="9"/>
      <c r="O2125" s="9"/>
      <c r="P2125" s="9"/>
      <c r="Q2125" s="9"/>
      <c r="R2125" s="9"/>
      <c r="S2125" s="9"/>
      <c r="T2125" s="9"/>
      <c r="U2125" s="9"/>
      <c r="V2125" s="9"/>
      <c r="W2125" s="9"/>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c r="AV2125" s="9"/>
      <c r="AW2125" s="9"/>
      <c r="AX2125" s="9"/>
      <c r="AY2125" s="9"/>
      <c r="AZ2125" s="9"/>
      <c r="BA2125" s="9"/>
      <c r="BB2125" s="9"/>
      <c r="BC2125" s="9"/>
      <c r="BD2125" s="9"/>
      <c r="BE2125" s="9"/>
      <c r="BF2125" s="9"/>
      <c r="BG2125" s="9"/>
      <c r="BH2125" s="9"/>
      <c r="BI2125" s="9"/>
      <c r="BJ2125" s="9"/>
      <c r="BK2125" s="9"/>
      <c r="BL2125" s="9"/>
      <c r="BM2125" s="9"/>
      <c r="BN2125" s="9"/>
      <c r="BO2125" s="9"/>
      <c r="BP2125" s="9"/>
      <c r="BQ2125" s="9"/>
      <c r="BR2125" s="9"/>
      <c r="BS2125" s="9"/>
      <c r="BT2125" s="9"/>
      <c r="BU2125" s="9"/>
      <c r="BV2125" s="9"/>
      <c r="BW2125" s="9"/>
    </row>
    <row r="2126" spans="1:75" x14ac:dyDescent="0.25">
      <c r="A2126" s="9"/>
      <c r="B2126" s="9"/>
      <c r="C2126" s="9"/>
      <c r="D2126" s="9"/>
      <c r="E2126" s="9"/>
      <c r="F2126" s="9"/>
      <c r="G2126" s="9"/>
      <c r="H2126" s="9"/>
      <c r="I2126" s="9"/>
      <c r="J2126" s="9"/>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c r="AV2126" s="9"/>
      <c r="AW2126" s="9"/>
      <c r="AX2126" s="9"/>
      <c r="AY2126" s="9"/>
      <c r="AZ2126" s="9"/>
      <c r="BA2126" s="9"/>
      <c r="BB2126" s="9"/>
      <c r="BC2126" s="9"/>
      <c r="BD2126" s="9"/>
      <c r="BE2126" s="9"/>
      <c r="BF2126" s="9"/>
      <c r="BG2126" s="9"/>
      <c r="BH2126" s="9"/>
      <c r="BI2126" s="9"/>
      <c r="BJ2126" s="9"/>
      <c r="BK2126" s="9"/>
      <c r="BL2126" s="9"/>
      <c r="BM2126" s="9"/>
      <c r="BN2126" s="9"/>
      <c r="BO2126" s="9"/>
      <c r="BP2126" s="9"/>
      <c r="BQ2126" s="9"/>
      <c r="BR2126" s="9"/>
      <c r="BS2126" s="9"/>
      <c r="BT2126" s="9"/>
      <c r="BU2126" s="9"/>
      <c r="BV2126" s="9"/>
      <c r="BW2126" s="9"/>
    </row>
    <row r="2127" spans="1:75" x14ac:dyDescent="0.25">
      <c r="A2127" s="9"/>
      <c r="B2127" s="9"/>
      <c r="C2127" s="9"/>
      <c r="D2127" s="9"/>
      <c r="E2127" s="9"/>
      <c r="F2127" s="9"/>
      <c r="G2127" s="9"/>
      <c r="H2127" s="9"/>
      <c r="I2127" s="9"/>
      <c r="J2127" s="9"/>
      <c r="K2127" s="9"/>
      <c r="L2127" s="9"/>
      <c r="M2127" s="9"/>
      <c r="N2127" s="9"/>
      <c r="O2127" s="9"/>
      <c r="P2127" s="9"/>
      <c r="Q2127" s="9"/>
      <c r="R2127" s="9"/>
      <c r="S2127" s="9"/>
      <c r="T2127" s="9"/>
      <c r="U2127" s="9"/>
      <c r="V2127" s="9"/>
      <c r="W2127" s="9"/>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c r="AV2127" s="9"/>
      <c r="AW2127" s="9"/>
      <c r="AX2127" s="9"/>
      <c r="AY2127" s="9"/>
      <c r="AZ2127" s="9"/>
      <c r="BA2127" s="9"/>
      <c r="BB2127" s="9"/>
      <c r="BC2127" s="9"/>
      <c r="BD2127" s="9"/>
      <c r="BE2127" s="9"/>
      <c r="BF2127" s="9"/>
      <c r="BG2127" s="9"/>
      <c r="BH2127" s="9"/>
      <c r="BI2127" s="9"/>
      <c r="BJ2127" s="9"/>
      <c r="BK2127" s="9"/>
      <c r="BL2127" s="9"/>
      <c r="BM2127" s="9"/>
      <c r="BN2127" s="9"/>
      <c r="BO2127" s="9"/>
      <c r="BP2127" s="9"/>
      <c r="BQ2127" s="9"/>
      <c r="BR2127" s="9"/>
      <c r="BS2127" s="9"/>
      <c r="BT2127" s="9"/>
      <c r="BU2127" s="9"/>
      <c r="BV2127" s="9"/>
      <c r="BW2127" s="9"/>
    </row>
    <row r="2128" spans="1:75" x14ac:dyDescent="0.25">
      <c r="A2128" s="9"/>
      <c r="B2128" s="9"/>
      <c r="C2128" s="9"/>
      <c r="D2128" s="9"/>
      <c r="E2128" s="9"/>
      <c r="F2128" s="9"/>
      <c r="G2128" s="9"/>
      <c r="H2128" s="9"/>
      <c r="I2128" s="9"/>
      <c r="J2128" s="9"/>
      <c r="K2128" s="9"/>
      <c r="L2128" s="9"/>
      <c r="M2128" s="9"/>
      <c r="N2128" s="9"/>
      <c r="O2128" s="9"/>
      <c r="P2128" s="9"/>
      <c r="Q2128" s="9"/>
      <c r="R2128" s="9"/>
      <c r="S2128" s="9"/>
      <c r="T2128" s="9"/>
      <c r="U2128" s="9"/>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c r="AV2128" s="9"/>
      <c r="AW2128" s="9"/>
      <c r="AX2128" s="9"/>
      <c r="AY2128" s="9"/>
      <c r="AZ2128" s="9"/>
      <c r="BA2128" s="9"/>
      <c r="BB2128" s="9"/>
      <c r="BC2128" s="9"/>
      <c r="BD2128" s="9"/>
      <c r="BE2128" s="9"/>
      <c r="BF2128" s="9"/>
      <c r="BG2128" s="9"/>
      <c r="BH2128" s="9"/>
      <c r="BI2128" s="9"/>
      <c r="BJ2128" s="9"/>
      <c r="BK2128" s="9"/>
      <c r="BL2128" s="9"/>
      <c r="BM2128" s="9"/>
      <c r="BN2128" s="9"/>
      <c r="BO2128" s="9"/>
      <c r="BP2128" s="9"/>
      <c r="BQ2128" s="9"/>
      <c r="BR2128" s="9"/>
      <c r="BS2128" s="9"/>
      <c r="BT2128" s="9"/>
      <c r="BU2128" s="9"/>
      <c r="BV2128" s="9"/>
      <c r="BW2128" s="9"/>
    </row>
    <row r="2129" spans="1:75" x14ac:dyDescent="0.25">
      <c r="A2129" s="9"/>
      <c r="B2129" s="9"/>
      <c r="C2129" s="9"/>
      <c r="D2129" s="9"/>
      <c r="E2129" s="9"/>
      <c r="F2129" s="9"/>
      <c r="G2129" s="9"/>
      <c r="H2129" s="9"/>
      <c r="I2129" s="9"/>
      <c r="J2129" s="9"/>
      <c r="K2129" s="9"/>
      <c r="L2129" s="9"/>
      <c r="M2129" s="9"/>
      <c r="N2129" s="9"/>
      <c r="O2129" s="9"/>
      <c r="P2129" s="9"/>
      <c r="Q2129" s="9"/>
      <c r="R2129" s="9"/>
      <c r="S2129" s="9"/>
      <c r="T2129" s="9"/>
      <c r="U2129" s="9"/>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c r="AV2129" s="9"/>
      <c r="AW2129" s="9"/>
      <c r="AX2129" s="9"/>
      <c r="AY2129" s="9"/>
      <c r="AZ2129" s="9"/>
      <c r="BA2129" s="9"/>
      <c r="BB2129" s="9"/>
      <c r="BC2129" s="9"/>
      <c r="BD2129" s="9"/>
      <c r="BE2129" s="9"/>
      <c r="BF2129" s="9"/>
      <c r="BG2129" s="9"/>
      <c r="BH2129" s="9"/>
      <c r="BI2129" s="9"/>
      <c r="BJ2129" s="9"/>
      <c r="BK2129" s="9"/>
      <c r="BL2129" s="9"/>
      <c r="BM2129" s="9"/>
      <c r="BN2129" s="9"/>
      <c r="BO2129" s="9"/>
      <c r="BP2129" s="9"/>
      <c r="BQ2129" s="9"/>
      <c r="BR2129" s="9"/>
      <c r="BS2129" s="9"/>
      <c r="BT2129" s="9"/>
      <c r="BU2129" s="9"/>
      <c r="BV2129" s="9"/>
      <c r="BW2129" s="9"/>
    </row>
    <row r="2130" spans="1:75" x14ac:dyDescent="0.25">
      <c r="A2130" s="9"/>
      <c r="B2130" s="9"/>
      <c r="C2130" s="9"/>
      <c r="D2130" s="9"/>
      <c r="E2130" s="9"/>
      <c r="F2130" s="9"/>
      <c r="G2130" s="9"/>
      <c r="H2130" s="9"/>
      <c r="I2130" s="9"/>
      <c r="J2130" s="9"/>
      <c r="K2130" s="9"/>
      <c r="L2130" s="9"/>
      <c r="M2130" s="9"/>
      <c r="N2130" s="9"/>
      <c r="O2130" s="9"/>
      <c r="P2130" s="9"/>
      <c r="Q2130" s="9"/>
      <c r="R2130" s="9"/>
      <c r="S2130" s="9"/>
      <c r="T2130" s="9"/>
      <c r="U2130" s="9"/>
      <c r="V2130" s="9"/>
      <c r="W2130" s="9"/>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c r="AV2130" s="9"/>
      <c r="AW2130" s="9"/>
      <c r="AX2130" s="9"/>
      <c r="AY2130" s="9"/>
      <c r="AZ2130" s="9"/>
      <c r="BA2130" s="9"/>
      <c r="BB2130" s="9"/>
      <c r="BC2130" s="9"/>
      <c r="BD2130" s="9"/>
      <c r="BE2130" s="9"/>
      <c r="BF2130" s="9"/>
      <c r="BG2130" s="9"/>
      <c r="BH2130" s="9"/>
      <c r="BI2130" s="9"/>
      <c r="BJ2130" s="9"/>
      <c r="BK2130" s="9"/>
      <c r="BL2130" s="9"/>
      <c r="BM2130" s="9"/>
      <c r="BN2130" s="9"/>
      <c r="BO2130" s="9"/>
      <c r="BP2130" s="9"/>
      <c r="BQ2130" s="9"/>
      <c r="BR2130" s="9"/>
      <c r="BS2130" s="9"/>
      <c r="BT2130" s="9"/>
      <c r="BU2130" s="9"/>
      <c r="BV2130" s="9"/>
      <c r="BW2130" s="9"/>
    </row>
    <row r="2131" spans="1:75" x14ac:dyDescent="0.25">
      <c r="A2131" s="9"/>
      <c r="B2131" s="9"/>
      <c r="C2131" s="9"/>
      <c r="D2131" s="9"/>
      <c r="E2131" s="9"/>
      <c r="F2131" s="9"/>
      <c r="G2131" s="9"/>
      <c r="H2131" s="9"/>
      <c r="I2131" s="9"/>
      <c r="J2131" s="9"/>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row>
    <row r="2132" spans="1:75" x14ac:dyDescent="0.25">
      <c r="A2132" s="9"/>
      <c r="B2132" s="9"/>
      <c r="C2132" s="9"/>
      <c r="D2132" s="9"/>
      <c r="E2132" s="9"/>
      <c r="F2132" s="9"/>
      <c r="G2132" s="9"/>
      <c r="H2132" s="9"/>
      <c r="I2132" s="9"/>
      <c r="J2132" s="9"/>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row>
    <row r="2133" spans="1:75" x14ac:dyDescent="0.25">
      <c r="A2133" s="9"/>
      <c r="B2133" s="9"/>
      <c r="C2133" s="9"/>
      <c r="D2133" s="9"/>
      <c r="E2133" s="9"/>
      <c r="F2133" s="9"/>
      <c r="G2133" s="9"/>
      <c r="H2133" s="9"/>
      <c r="I2133" s="9"/>
      <c r="J2133" s="9"/>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row>
    <row r="2134" spans="1:75" x14ac:dyDescent="0.25">
      <c r="A2134" s="9"/>
      <c r="B2134" s="9"/>
      <c r="C2134" s="9"/>
      <c r="D2134" s="9"/>
      <c r="E2134" s="9"/>
      <c r="F2134" s="9"/>
      <c r="G2134" s="9"/>
      <c r="H2134" s="9"/>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row>
    <row r="2135" spans="1:75" x14ac:dyDescent="0.25">
      <c r="A2135" s="9"/>
      <c r="B2135" s="9"/>
      <c r="C2135" s="9"/>
      <c r="D2135" s="9"/>
      <c r="E2135" s="9"/>
      <c r="F2135" s="9"/>
      <c r="G2135" s="9"/>
      <c r="H2135" s="9"/>
      <c r="I2135" s="9"/>
      <c r="J2135" s="9"/>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row>
    <row r="2136" spans="1:75" x14ac:dyDescent="0.25">
      <c r="A2136" s="9"/>
      <c r="B2136" s="9"/>
      <c r="C2136" s="9"/>
      <c r="D2136" s="9"/>
      <c r="E2136" s="9"/>
      <c r="F2136" s="9"/>
      <c r="G2136" s="9"/>
      <c r="H2136" s="9"/>
      <c r="I2136" s="9"/>
      <c r="J2136" s="9"/>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row>
    <row r="2137" spans="1:75" x14ac:dyDescent="0.25">
      <c r="A2137" s="9"/>
      <c r="B2137" s="9"/>
      <c r="C2137" s="9"/>
      <c r="D2137" s="9"/>
      <c r="E2137" s="9"/>
      <c r="F2137" s="9"/>
      <c r="G2137" s="9"/>
      <c r="H2137" s="9"/>
      <c r="I2137" s="9"/>
      <c r="J2137" s="9"/>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row>
    <row r="2138" spans="1:75" x14ac:dyDescent="0.25">
      <c r="A2138" s="9"/>
      <c r="B2138" s="9"/>
      <c r="C2138" s="9"/>
      <c r="D2138" s="9"/>
      <c r="E2138" s="9"/>
      <c r="F2138" s="9"/>
      <c r="G2138" s="9"/>
      <c r="H2138" s="9"/>
      <c r="I2138" s="9"/>
      <c r="J2138" s="9"/>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row>
    <row r="2139" spans="1:75" x14ac:dyDescent="0.25">
      <c r="A2139" s="9"/>
      <c r="B2139" s="9"/>
      <c r="C2139" s="9"/>
      <c r="D2139" s="9"/>
      <c r="E2139" s="9"/>
      <c r="F2139" s="9"/>
      <c r="G2139" s="9"/>
      <c r="H2139" s="9"/>
      <c r="I2139" s="9"/>
      <c r="J2139" s="9"/>
      <c r="K2139" s="9"/>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row>
    <row r="2140" spans="1:75" x14ac:dyDescent="0.25">
      <c r="A2140" s="9"/>
      <c r="B2140" s="9"/>
      <c r="C2140" s="9"/>
      <c r="D2140" s="9"/>
      <c r="E2140" s="9"/>
      <c r="F2140" s="9"/>
      <c r="G2140" s="9"/>
      <c r="H2140" s="9"/>
      <c r="I2140" s="9"/>
      <c r="J2140" s="9"/>
      <c r="K2140" s="9"/>
      <c r="L2140" s="9"/>
      <c r="M2140" s="9"/>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row>
    <row r="2141" spans="1:75" x14ac:dyDescent="0.25">
      <c r="A2141" s="9"/>
      <c r="B2141" s="9"/>
      <c r="C2141" s="9"/>
      <c r="D2141" s="9"/>
      <c r="E2141" s="9"/>
      <c r="F2141" s="9"/>
      <c r="G2141" s="9"/>
      <c r="H2141" s="9"/>
      <c r="I2141" s="9"/>
      <c r="J2141" s="9"/>
      <c r="K2141" s="9"/>
      <c r="L2141" s="9"/>
      <c r="M2141" s="9"/>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row>
    <row r="2142" spans="1:75" x14ac:dyDescent="0.25">
      <c r="A2142" s="9"/>
      <c r="B2142" s="9"/>
      <c r="C2142" s="9"/>
      <c r="D2142" s="9"/>
      <c r="E2142" s="9"/>
      <c r="F2142" s="9"/>
      <c r="G2142" s="9"/>
      <c r="H2142" s="9"/>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row>
    <row r="2143" spans="1:75" x14ac:dyDescent="0.25">
      <c r="A2143" s="9"/>
      <c r="B2143" s="9"/>
      <c r="C2143" s="9"/>
      <c r="D2143" s="9"/>
      <c r="E2143" s="9"/>
      <c r="F2143" s="9"/>
      <c r="G2143" s="9"/>
      <c r="H2143" s="9"/>
      <c r="I2143" s="9"/>
      <c r="J2143" s="9"/>
      <c r="K2143" s="9"/>
      <c r="L2143" s="9"/>
      <c r="M2143" s="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row>
    <row r="2144" spans="1:75" x14ac:dyDescent="0.25">
      <c r="A2144" s="9"/>
      <c r="B2144" s="9"/>
      <c r="C2144" s="9"/>
      <c r="D2144" s="9"/>
      <c r="E2144" s="9"/>
      <c r="F2144" s="9"/>
      <c r="G2144" s="9"/>
      <c r="H2144" s="9"/>
      <c r="I2144" s="9"/>
      <c r="J2144" s="9"/>
      <c r="K2144" s="9"/>
      <c r="L2144" s="9"/>
      <c r="M2144" s="9"/>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row>
    <row r="2145" spans="1:75" x14ac:dyDescent="0.25">
      <c r="A2145" s="9"/>
      <c r="B2145" s="9"/>
      <c r="C2145" s="9"/>
      <c r="D2145" s="9"/>
      <c r="E2145" s="9"/>
      <c r="F2145" s="9"/>
      <c r="G2145" s="9"/>
      <c r="H2145" s="9"/>
      <c r="I2145" s="9"/>
      <c r="J2145" s="9"/>
      <c r="K2145" s="9"/>
      <c r="L2145" s="9"/>
      <c r="M2145" s="9"/>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row>
    <row r="2146" spans="1:75" x14ac:dyDescent="0.25">
      <c r="A2146" s="9"/>
      <c r="B2146" s="9"/>
      <c r="C2146" s="9"/>
      <c r="D2146" s="9"/>
      <c r="E2146" s="9"/>
      <c r="F2146" s="9"/>
      <c r="G2146" s="9"/>
      <c r="H2146" s="9"/>
      <c r="I2146" s="9"/>
      <c r="J2146" s="9"/>
      <c r="K2146" s="9"/>
      <c r="L2146" s="9"/>
      <c r="M2146" s="9"/>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row>
    <row r="2147" spans="1:75" x14ac:dyDescent="0.25">
      <c r="A2147" s="9"/>
      <c r="B2147" s="9"/>
      <c r="C2147" s="9"/>
      <c r="D2147" s="9"/>
      <c r="E2147" s="9"/>
      <c r="F2147" s="9"/>
      <c r="G2147" s="9"/>
      <c r="H2147" s="9"/>
      <c r="I2147" s="9"/>
      <c r="J2147" s="9"/>
      <c r="K2147" s="9"/>
      <c r="L2147" s="9"/>
      <c r="M2147" s="9"/>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row>
    <row r="2148" spans="1:75" x14ac:dyDescent="0.25">
      <c r="A2148" s="9"/>
      <c r="B2148" s="9"/>
      <c r="C2148" s="9"/>
      <c r="D2148" s="9"/>
      <c r="E2148" s="9"/>
      <c r="F2148" s="9"/>
      <c r="G2148" s="9"/>
      <c r="H2148" s="9"/>
      <c r="I2148" s="9"/>
      <c r="J2148" s="9"/>
      <c r="K2148" s="9"/>
      <c r="L2148" s="9"/>
      <c r="M2148" s="9"/>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row>
    <row r="2149" spans="1:75" x14ac:dyDescent="0.25">
      <c r="A2149" s="9"/>
      <c r="B2149" s="9"/>
      <c r="C2149" s="9"/>
      <c r="D2149" s="9"/>
      <c r="E2149" s="9"/>
      <c r="F2149" s="9"/>
      <c r="G2149" s="9"/>
      <c r="H2149" s="9"/>
      <c r="I2149" s="9"/>
      <c r="J2149" s="9"/>
      <c r="K2149" s="9"/>
      <c r="L2149" s="9"/>
      <c r="M2149" s="9"/>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row>
    <row r="2150" spans="1:75" x14ac:dyDescent="0.25">
      <c r="A2150" s="9"/>
      <c r="B2150" s="9"/>
      <c r="C2150" s="9"/>
      <c r="D2150" s="9"/>
      <c r="E2150" s="9"/>
      <c r="F2150" s="9"/>
      <c r="G2150" s="9"/>
      <c r="H2150" s="9"/>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row>
    <row r="2151" spans="1:75" x14ac:dyDescent="0.25">
      <c r="A2151" s="9"/>
      <c r="B2151" s="9"/>
      <c r="C2151" s="9"/>
      <c r="D2151" s="9"/>
      <c r="E2151" s="9"/>
      <c r="F2151" s="9"/>
      <c r="G2151" s="9"/>
      <c r="H2151" s="9"/>
      <c r="I2151" s="9"/>
      <c r="J2151" s="9"/>
      <c r="K2151" s="9"/>
      <c r="L2151" s="9"/>
      <c r="M2151" s="9"/>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c r="AS2151" s="9"/>
      <c r="AT2151" s="9"/>
      <c r="AU2151" s="9"/>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row>
    <row r="2152" spans="1:75" x14ac:dyDescent="0.25">
      <c r="A2152" s="9"/>
      <c r="B2152" s="9"/>
      <c r="C2152" s="9"/>
      <c r="D2152" s="9"/>
      <c r="E2152" s="9"/>
      <c r="F2152" s="9"/>
      <c r="G2152" s="9"/>
      <c r="H2152" s="9"/>
      <c r="I2152" s="9"/>
      <c r="J2152" s="9"/>
      <c r="K2152" s="9"/>
      <c r="L2152" s="9"/>
      <c r="M2152" s="9"/>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c r="AS2152" s="9"/>
      <c r="AT2152" s="9"/>
      <c r="AU2152" s="9"/>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row>
    <row r="2153" spans="1:75" x14ac:dyDescent="0.25">
      <c r="A2153" s="9"/>
      <c r="B2153" s="9"/>
      <c r="C2153" s="9"/>
      <c r="D2153" s="9"/>
      <c r="E2153" s="9"/>
      <c r="F2153" s="9"/>
      <c r="G2153" s="9"/>
      <c r="H2153" s="9"/>
      <c r="I2153" s="9"/>
      <c r="J2153" s="9"/>
      <c r="K2153" s="9"/>
      <c r="L2153" s="9"/>
      <c r="M2153" s="9"/>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c r="AS2153" s="9"/>
      <c r="AT2153" s="9"/>
      <c r="AU2153" s="9"/>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row>
    <row r="2154" spans="1:75" x14ac:dyDescent="0.25">
      <c r="A2154" s="9"/>
      <c r="B2154" s="9"/>
      <c r="C2154" s="9"/>
      <c r="D2154" s="9"/>
      <c r="E2154" s="9"/>
      <c r="F2154" s="9"/>
      <c r="G2154" s="9"/>
      <c r="H2154" s="9"/>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c r="AS2154" s="9"/>
      <c r="AT2154" s="9"/>
      <c r="AU2154" s="9"/>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row>
    <row r="2155" spans="1:75" x14ac:dyDescent="0.25">
      <c r="A2155" s="9"/>
      <c r="B2155" s="9"/>
      <c r="C2155" s="9"/>
      <c r="D2155" s="9"/>
      <c r="E2155" s="9"/>
      <c r="F2155" s="9"/>
      <c r="G2155" s="9"/>
      <c r="H2155" s="9"/>
      <c r="I2155" s="9"/>
      <c r="J2155" s="9"/>
      <c r="K2155" s="9"/>
      <c r="L2155" s="9"/>
      <c r="M2155" s="9"/>
      <c r="N2155" s="9"/>
      <c r="O2155" s="9"/>
      <c r="P2155" s="9"/>
      <c r="Q2155" s="9"/>
      <c r="R2155" s="9"/>
      <c r="S2155" s="9"/>
      <c r="T2155" s="9"/>
      <c r="U2155" s="9"/>
      <c r="V2155" s="9"/>
      <c r="W2155" s="9"/>
      <c r="X2155" s="9"/>
      <c r="Y2155" s="9"/>
      <c r="Z2155" s="9"/>
      <c r="AA2155" s="9"/>
      <c r="AB2155" s="9"/>
      <c r="AC2155" s="9"/>
      <c r="AD2155" s="9"/>
      <c r="AE2155" s="9"/>
      <c r="AF2155" s="9"/>
      <c r="AG2155" s="9"/>
      <c r="AH2155" s="9"/>
      <c r="AI2155" s="9"/>
      <c r="AJ2155" s="9"/>
      <c r="AK2155" s="9"/>
      <c r="AL2155" s="9"/>
      <c r="AM2155" s="9"/>
      <c r="AN2155" s="9"/>
      <c r="AO2155" s="9"/>
      <c r="AP2155" s="9"/>
      <c r="AQ2155" s="9"/>
      <c r="AR2155" s="9"/>
      <c r="AS2155" s="9"/>
      <c r="AT2155" s="9"/>
      <c r="AU2155" s="9"/>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row>
    <row r="2156" spans="1:75" x14ac:dyDescent="0.25">
      <c r="A2156" s="9"/>
      <c r="B2156" s="9"/>
      <c r="C2156" s="9"/>
      <c r="D2156" s="9"/>
      <c r="E2156" s="9"/>
      <c r="F2156" s="9"/>
      <c r="G2156" s="9"/>
      <c r="H2156" s="9"/>
      <c r="I2156" s="9"/>
      <c r="J2156" s="9"/>
      <c r="K2156" s="9"/>
      <c r="L2156" s="9"/>
      <c r="M2156" s="9"/>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c r="AS2156" s="9"/>
      <c r="AT2156" s="9"/>
      <c r="AU2156" s="9"/>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row>
    <row r="2157" spans="1:75" x14ac:dyDescent="0.25">
      <c r="A2157" s="9"/>
      <c r="B2157" s="9"/>
      <c r="C2157" s="9"/>
      <c r="D2157" s="9"/>
      <c r="E2157" s="9"/>
      <c r="F2157" s="9"/>
      <c r="G2157" s="9"/>
      <c r="H2157" s="9"/>
      <c r="I2157" s="9"/>
      <c r="J2157" s="9"/>
      <c r="K2157" s="9"/>
      <c r="L2157" s="9"/>
      <c r="M2157" s="9"/>
      <c r="N2157" s="9"/>
      <c r="O2157" s="9"/>
      <c r="P2157" s="9"/>
      <c r="Q2157" s="9"/>
      <c r="R2157" s="9"/>
      <c r="S2157" s="9"/>
      <c r="T2157" s="9"/>
      <c r="U2157" s="9"/>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c r="AS2157" s="9"/>
      <c r="AT2157" s="9"/>
      <c r="AU2157" s="9"/>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row>
    <row r="2158" spans="1:75" x14ac:dyDescent="0.25">
      <c r="A2158" s="9"/>
      <c r="B2158" s="9"/>
      <c r="C2158" s="9"/>
      <c r="D2158" s="9"/>
      <c r="E2158" s="9"/>
      <c r="F2158" s="9"/>
      <c r="G2158" s="9"/>
      <c r="H2158" s="9"/>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c r="AS2158" s="9"/>
      <c r="AT2158" s="9"/>
      <c r="AU2158" s="9"/>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row>
    <row r="2159" spans="1:75" x14ac:dyDescent="0.25">
      <c r="A2159" s="9"/>
      <c r="B2159" s="9"/>
      <c r="C2159" s="9"/>
      <c r="D2159" s="9"/>
      <c r="E2159" s="9"/>
      <c r="F2159" s="9"/>
      <c r="G2159" s="9"/>
      <c r="H2159" s="9"/>
      <c r="I2159" s="9"/>
      <c r="J2159" s="9"/>
      <c r="K2159" s="9"/>
      <c r="L2159" s="9"/>
      <c r="M2159" s="9"/>
      <c r="N2159" s="9"/>
      <c r="O2159" s="9"/>
      <c r="P2159" s="9"/>
      <c r="Q2159" s="9"/>
      <c r="R2159" s="9"/>
      <c r="S2159" s="9"/>
      <c r="T2159" s="9"/>
      <c r="U2159" s="9"/>
      <c r="V2159" s="9"/>
      <c r="W2159" s="9"/>
      <c r="X2159" s="9"/>
      <c r="Y2159" s="9"/>
      <c r="Z2159" s="9"/>
      <c r="AA2159" s="9"/>
      <c r="AB2159" s="9"/>
      <c r="AC2159" s="9"/>
      <c r="AD2159" s="9"/>
      <c r="AE2159" s="9"/>
      <c r="AF2159" s="9"/>
      <c r="AG2159" s="9"/>
      <c r="AH2159" s="9"/>
      <c r="AI2159" s="9"/>
      <c r="AJ2159" s="9"/>
      <c r="AK2159" s="9"/>
      <c r="AL2159" s="9"/>
      <c r="AM2159" s="9"/>
      <c r="AN2159" s="9"/>
      <c r="AO2159" s="9"/>
      <c r="AP2159" s="9"/>
      <c r="AQ2159" s="9"/>
      <c r="AR2159" s="9"/>
      <c r="AS2159" s="9"/>
      <c r="AT2159" s="9"/>
      <c r="AU2159" s="9"/>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row>
    <row r="2160" spans="1:75" x14ac:dyDescent="0.25">
      <c r="A2160" s="9"/>
      <c r="B2160" s="9"/>
      <c r="C2160" s="9"/>
      <c r="D2160" s="9"/>
      <c r="E2160" s="9"/>
      <c r="F2160" s="9"/>
      <c r="G2160" s="9"/>
      <c r="H2160" s="9"/>
      <c r="I2160" s="9"/>
      <c r="J2160" s="9"/>
      <c r="K2160" s="9"/>
      <c r="L2160" s="9"/>
      <c r="M2160" s="9"/>
      <c r="N2160" s="9"/>
      <c r="O2160" s="9"/>
      <c r="P2160" s="9"/>
      <c r="Q2160" s="9"/>
      <c r="R2160" s="9"/>
      <c r="S2160" s="9"/>
      <c r="T2160" s="9"/>
      <c r="U2160" s="9"/>
      <c r="V2160" s="9"/>
      <c r="W2160" s="9"/>
      <c r="X2160" s="9"/>
      <c r="Y2160" s="9"/>
      <c r="Z2160" s="9"/>
      <c r="AA2160" s="9"/>
      <c r="AB2160" s="9"/>
      <c r="AC2160" s="9"/>
      <c r="AD2160" s="9"/>
      <c r="AE2160" s="9"/>
      <c r="AF2160" s="9"/>
      <c r="AG2160" s="9"/>
      <c r="AH2160" s="9"/>
      <c r="AI2160" s="9"/>
      <c r="AJ2160" s="9"/>
      <c r="AK2160" s="9"/>
      <c r="AL2160" s="9"/>
      <c r="AM2160" s="9"/>
      <c r="AN2160" s="9"/>
      <c r="AO2160" s="9"/>
      <c r="AP2160" s="9"/>
      <c r="AQ2160" s="9"/>
      <c r="AR2160" s="9"/>
      <c r="AS2160" s="9"/>
      <c r="AT2160" s="9"/>
      <c r="AU2160" s="9"/>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row>
    <row r="2161" spans="1:75" x14ac:dyDescent="0.25">
      <c r="A2161" s="9"/>
      <c r="B2161" s="9"/>
      <c r="C2161" s="9"/>
      <c r="D2161" s="9"/>
      <c r="E2161" s="9"/>
      <c r="F2161" s="9"/>
      <c r="G2161" s="9"/>
      <c r="H2161" s="9"/>
      <c r="I2161" s="9"/>
      <c r="J2161" s="9"/>
      <c r="K2161" s="9"/>
      <c r="L2161" s="9"/>
      <c r="M2161" s="9"/>
      <c r="N2161" s="9"/>
      <c r="O2161" s="9"/>
      <c r="P2161" s="9"/>
      <c r="Q2161" s="9"/>
      <c r="R2161" s="9"/>
      <c r="S2161" s="9"/>
      <c r="T2161" s="9"/>
      <c r="U2161" s="9"/>
      <c r="V2161" s="9"/>
      <c r="W2161" s="9"/>
      <c r="X2161" s="9"/>
      <c r="Y2161" s="9"/>
      <c r="Z2161" s="9"/>
      <c r="AA2161" s="9"/>
      <c r="AB2161" s="9"/>
      <c r="AC2161" s="9"/>
      <c r="AD2161" s="9"/>
      <c r="AE2161" s="9"/>
      <c r="AF2161" s="9"/>
      <c r="AG2161" s="9"/>
      <c r="AH2161" s="9"/>
      <c r="AI2161" s="9"/>
      <c r="AJ2161" s="9"/>
      <c r="AK2161" s="9"/>
      <c r="AL2161" s="9"/>
      <c r="AM2161" s="9"/>
      <c r="AN2161" s="9"/>
      <c r="AO2161" s="9"/>
      <c r="AP2161" s="9"/>
      <c r="AQ2161" s="9"/>
      <c r="AR2161" s="9"/>
      <c r="AS2161" s="9"/>
      <c r="AT2161" s="9"/>
      <c r="AU2161" s="9"/>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row>
    <row r="2162" spans="1:75" x14ac:dyDescent="0.25">
      <c r="A2162" s="9"/>
      <c r="B2162" s="9"/>
      <c r="C2162" s="9"/>
      <c r="D2162" s="9"/>
      <c r="E2162" s="9"/>
      <c r="F2162" s="9"/>
      <c r="G2162" s="9"/>
      <c r="H2162" s="9"/>
      <c r="I2162" s="9"/>
      <c r="J2162" s="9"/>
      <c r="K2162" s="9"/>
      <c r="L2162" s="9"/>
      <c r="M2162" s="9"/>
      <c r="N2162" s="9"/>
      <c r="O2162" s="9"/>
      <c r="P2162" s="9"/>
      <c r="Q2162" s="9"/>
      <c r="R2162" s="9"/>
      <c r="S2162" s="9"/>
      <c r="T2162" s="9"/>
      <c r="U2162" s="9"/>
      <c r="V2162" s="9"/>
      <c r="W2162" s="9"/>
      <c r="X2162" s="9"/>
      <c r="Y2162" s="9"/>
      <c r="Z2162" s="9"/>
      <c r="AA2162" s="9"/>
      <c r="AB2162" s="9"/>
      <c r="AC2162" s="9"/>
      <c r="AD2162" s="9"/>
      <c r="AE2162" s="9"/>
      <c r="AF2162" s="9"/>
      <c r="AG2162" s="9"/>
      <c r="AH2162" s="9"/>
      <c r="AI2162" s="9"/>
      <c r="AJ2162" s="9"/>
      <c r="AK2162" s="9"/>
      <c r="AL2162" s="9"/>
      <c r="AM2162" s="9"/>
      <c r="AN2162" s="9"/>
      <c r="AO2162" s="9"/>
      <c r="AP2162" s="9"/>
      <c r="AQ2162" s="9"/>
      <c r="AR2162" s="9"/>
      <c r="AS2162" s="9"/>
      <c r="AT2162" s="9"/>
      <c r="AU2162" s="9"/>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row>
    <row r="2163" spans="1:75" x14ac:dyDescent="0.25">
      <c r="A2163" s="9"/>
      <c r="B2163" s="9"/>
      <c r="C2163" s="9"/>
      <c r="D2163" s="9"/>
      <c r="E2163" s="9"/>
      <c r="F2163" s="9"/>
      <c r="G2163" s="9"/>
      <c r="H2163" s="9"/>
      <c r="I2163" s="9"/>
      <c r="J2163" s="9"/>
      <c r="K2163" s="9"/>
      <c r="L2163" s="9"/>
      <c r="M2163" s="9"/>
      <c r="N2163" s="9"/>
      <c r="O2163" s="9"/>
      <c r="P2163" s="9"/>
      <c r="Q2163" s="9"/>
      <c r="R2163" s="9"/>
      <c r="S2163" s="9"/>
      <c r="T2163" s="9"/>
      <c r="U2163" s="9"/>
      <c r="V2163" s="9"/>
      <c r="W2163" s="9"/>
      <c r="X2163" s="9"/>
      <c r="Y2163" s="9"/>
      <c r="Z2163" s="9"/>
      <c r="AA2163" s="9"/>
      <c r="AB2163" s="9"/>
      <c r="AC2163" s="9"/>
      <c r="AD2163" s="9"/>
      <c r="AE2163" s="9"/>
      <c r="AF2163" s="9"/>
      <c r="AG2163" s="9"/>
      <c r="AH2163" s="9"/>
      <c r="AI2163" s="9"/>
      <c r="AJ2163" s="9"/>
      <c r="AK2163" s="9"/>
      <c r="AL2163" s="9"/>
      <c r="AM2163" s="9"/>
      <c r="AN2163" s="9"/>
      <c r="AO2163" s="9"/>
      <c r="AP2163" s="9"/>
      <c r="AQ2163" s="9"/>
      <c r="AR2163" s="9"/>
      <c r="AS2163" s="9"/>
      <c r="AT2163" s="9"/>
      <c r="AU2163" s="9"/>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row>
    <row r="2164" spans="1:75" x14ac:dyDescent="0.25">
      <c r="A2164" s="9"/>
      <c r="B2164" s="9"/>
      <c r="C2164" s="9"/>
      <c r="D2164" s="9"/>
      <c r="E2164" s="9"/>
      <c r="F2164" s="9"/>
      <c r="G2164" s="9"/>
      <c r="H2164" s="9"/>
      <c r="I2164" s="9"/>
      <c r="J2164" s="9"/>
      <c r="K2164" s="9"/>
      <c r="L2164" s="9"/>
      <c r="M2164" s="9"/>
      <c r="N2164" s="9"/>
      <c r="O2164" s="9"/>
      <c r="P2164" s="9"/>
      <c r="Q2164" s="9"/>
      <c r="R2164" s="9"/>
      <c r="S2164" s="9"/>
      <c r="T2164" s="9"/>
      <c r="U2164" s="9"/>
      <c r="V2164" s="9"/>
      <c r="W2164" s="9"/>
      <c r="X2164" s="9"/>
      <c r="Y2164" s="9"/>
      <c r="Z2164" s="9"/>
      <c r="AA2164" s="9"/>
      <c r="AB2164" s="9"/>
      <c r="AC2164" s="9"/>
      <c r="AD2164" s="9"/>
      <c r="AE2164" s="9"/>
      <c r="AF2164" s="9"/>
      <c r="AG2164" s="9"/>
      <c r="AH2164" s="9"/>
      <c r="AI2164" s="9"/>
      <c r="AJ2164" s="9"/>
      <c r="AK2164" s="9"/>
      <c r="AL2164" s="9"/>
      <c r="AM2164" s="9"/>
      <c r="AN2164" s="9"/>
      <c r="AO2164" s="9"/>
      <c r="AP2164" s="9"/>
      <c r="AQ2164" s="9"/>
      <c r="AR2164" s="9"/>
      <c r="AS2164" s="9"/>
      <c r="AT2164" s="9"/>
      <c r="AU2164" s="9"/>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row>
    <row r="2165" spans="1:75" x14ac:dyDescent="0.25">
      <c r="A2165" s="9"/>
      <c r="B2165" s="9"/>
      <c r="C2165" s="9"/>
      <c r="D2165" s="9"/>
      <c r="E2165" s="9"/>
      <c r="F2165" s="9"/>
      <c r="G2165" s="9"/>
      <c r="H2165" s="9"/>
      <c r="I2165" s="9"/>
      <c r="J2165" s="9"/>
      <c r="K2165" s="9"/>
      <c r="L2165" s="9"/>
      <c r="M2165" s="9"/>
      <c r="N2165" s="9"/>
      <c r="O2165" s="9"/>
      <c r="P2165" s="9"/>
      <c r="Q2165" s="9"/>
      <c r="R2165" s="9"/>
      <c r="S2165" s="9"/>
      <c r="T2165" s="9"/>
      <c r="U2165" s="9"/>
      <c r="V2165" s="9"/>
      <c r="W2165" s="9"/>
      <c r="X2165" s="9"/>
      <c r="Y2165" s="9"/>
      <c r="Z2165" s="9"/>
      <c r="AA2165" s="9"/>
      <c r="AB2165" s="9"/>
      <c r="AC2165" s="9"/>
      <c r="AD2165" s="9"/>
      <c r="AE2165" s="9"/>
      <c r="AF2165" s="9"/>
      <c r="AG2165" s="9"/>
      <c r="AH2165" s="9"/>
      <c r="AI2165" s="9"/>
      <c r="AJ2165" s="9"/>
      <c r="AK2165" s="9"/>
      <c r="AL2165" s="9"/>
      <c r="AM2165" s="9"/>
      <c r="AN2165" s="9"/>
      <c r="AO2165" s="9"/>
      <c r="AP2165" s="9"/>
      <c r="AQ2165" s="9"/>
      <c r="AR2165" s="9"/>
      <c r="AS2165" s="9"/>
      <c r="AT2165" s="9"/>
      <c r="AU2165" s="9"/>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row>
    <row r="2166" spans="1:75" x14ac:dyDescent="0.25">
      <c r="A2166" s="9"/>
      <c r="B2166" s="9"/>
      <c r="C2166" s="9"/>
      <c r="D2166" s="9"/>
      <c r="E2166" s="9"/>
      <c r="F2166" s="9"/>
      <c r="G2166" s="9"/>
      <c r="H2166" s="9"/>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c r="AS2166" s="9"/>
      <c r="AT2166" s="9"/>
      <c r="AU2166" s="9"/>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row>
    <row r="2167" spans="1:75" x14ac:dyDescent="0.25">
      <c r="A2167" s="9"/>
      <c r="B2167" s="9"/>
      <c r="C2167" s="9"/>
      <c r="D2167" s="9"/>
      <c r="E2167" s="9"/>
      <c r="F2167" s="9"/>
      <c r="G2167" s="9"/>
      <c r="H2167" s="9"/>
      <c r="I2167" s="9"/>
      <c r="J2167" s="9"/>
      <c r="K2167" s="9"/>
      <c r="L2167" s="9"/>
      <c r="M2167" s="9"/>
      <c r="N2167" s="9"/>
      <c r="O2167" s="9"/>
      <c r="P2167" s="9"/>
      <c r="Q2167" s="9"/>
      <c r="R2167" s="9"/>
      <c r="S2167" s="9"/>
      <c r="T2167" s="9"/>
      <c r="U2167" s="9"/>
      <c r="V2167" s="9"/>
      <c r="W2167" s="9"/>
      <c r="X2167" s="9"/>
      <c r="Y2167" s="9"/>
      <c r="Z2167" s="9"/>
      <c r="AA2167" s="9"/>
      <c r="AB2167" s="9"/>
      <c r="AC2167" s="9"/>
      <c r="AD2167" s="9"/>
      <c r="AE2167" s="9"/>
      <c r="AF2167" s="9"/>
      <c r="AG2167" s="9"/>
      <c r="AH2167" s="9"/>
      <c r="AI2167" s="9"/>
      <c r="AJ2167" s="9"/>
      <c r="AK2167" s="9"/>
      <c r="AL2167" s="9"/>
      <c r="AM2167" s="9"/>
      <c r="AN2167" s="9"/>
      <c r="AO2167" s="9"/>
      <c r="AP2167" s="9"/>
      <c r="AQ2167" s="9"/>
      <c r="AR2167" s="9"/>
      <c r="AS2167" s="9"/>
      <c r="AT2167" s="9"/>
      <c r="AU2167" s="9"/>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row>
    <row r="2168" spans="1:75" x14ac:dyDescent="0.25">
      <c r="A2168" s="9"/>
      <c r="B2168" s="9"/>
      <c r="C2168" s="9"/>
      <c r="D2168" s="9"/>
      <c r="E2168" s="9"/>
      <c r="F2168" s="9"/>
      <c r="G2168" s="9"/>
      <c r="H2168" s="9"/>
      <c r="I2168" s="9"/>
      <c r="J2168" s="9"/>
      <c r="K2168" s="9"/>
      <c r="L2168" s="9"/>
      <c r="M2168" s="9"/>
      <c r="N2168" s="9"/>
      <c r="O2168" s="9"/>
      <c r="P2168" s="9"/>
      <c r="Q2168" s="9"/>
      <c r="R2168" s="9"/>
      <c r="S2168" s="9"/>
      <c r="T2168" s="9"/>
      <c r="U2168" s="9"/>
      <c r="V2168" s="9"/>
      <c r="W2168" s="9"/>
      <c r="X2168" s="9"/>
      <c r="Y2168" s="9"/>
      <c r="Z2168" s="9"/>
      <c r="AA2168" s="9"/>
      <c r="AB2168" s="9"/>
      <c r="AC2168" s="9"/>
      <c r="AD2168" s="9"/>
      <c r="AE2168" s="9"/>
      <c r="AF2168" s="9"/>
      <c r="AG2168" s="9"/>
      <c r="AH2168" s="9"/>
      <c r="AI2168" s="9"/>
      <c r="AJ2168" s="9"/>
      <c r="AK2168" s="9"/>
      <c r="AL2168" s="9"/>
      <c r="AM2168" s="9"/>
      <c r="AN2168" s="9"/>
      <c r="AO2168" s="9"/>
      <c r="AP2168" s="9"/>
      <c r="AQ2168" s="9"/>
      <c r="AR2168" s="9"/>
      <c r="AS2168" s="9"/>
      <c r="AT2168" s="9"/>
      <c r="AU2168" s="9"/>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row>
    <row r="2169" spans="1:75" x14ac:dyDescent="0.25">
      <c r="A2169" s="9"/>
      <c r="B2169" s="9"/>
      <c r="C2169" s="9"/>
      <c r="D2169" s="9"/>
      <c r="E2169" s="9"/>
      <c r="F2169" s="9"/>
      <c r="G2169" s="9"/>
      <c r="H2169" s="9"/>
      <c r="I2169" s="9"/>
      <c r="J2169" s="9"/>
      <c r="K2169" s="9"/>
      <c r="L2169" s="9"/>
      <c r="M2169" s="9"/>
      <c r="N2169" s="9"/>
      <c r="O2169" s="9"/>
      <c r="P2169" s="9"/>
      <c r="Q2169" s="9"/>
      <c r="R2169" s="9"/>
      <c r="S2169" s="9"/>
      <c r="T2169" s="9"/>
      <c r="U2169" s="9"/>
      <c r="V2169" s="9"/>
      <c r="W2169" s="9"/>
      <c r="X2169" s="9"/>
      <c r="Y2169" s="9"/>
      <c r="Z2169" s="9"/>
      <c r="AA2169" s="9"/>
      <c r="AB2169" s="9"/>
      <c r="AC2169" s="9"/>
      <c r="AD2169" s="9"/>
      <c r="AE2169" s="9"/>
      <c r="AF2169" s="9"/>
      <c r="AG2169" s="9"/>
      <c r="AH2169" s="9"/>
      <c r="AI2169" s="9"/>
      <c r="AJ2169" s="9"/>
      <c r="AK2169" s="9"/>
      <c r="AL2169" s="9"/>
      <c r="AM2169" s="9"/>
      <c r="AN2169" s="9"/>
      <c r="AO2169" s="9"/>
      <c r="AP2169" s="9"/>
      <c r="AQ2169" s="9"/>
      <c r="AR2169" s="9"/>
      <c r="AS2169" s="9"/>
      <c r="AT2169" s="9"/>
      <c r="AU2169" s="9"/>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row>
    <row r="2170" spans="1:75" x14ac:dyDescent="0.25">
      <c r="A2170" s="9"/>
      <c r="B2170" s="9"/>
      <c r="C2170" s="9"/>
      <c r="D2170" s="9"/>
      <c r="E2170" s="9"/>
      <c r="F2170" s="9"/>
      <c r="G2170" s="9"/>
      <c r="H2170" s="9"/>
      <c r="I2170" s="9"/>
      <c r="J2170" s="9"/>
      <c r="K2170" s="9"/>
      <c r="L2170" s="9"/>
      <c r="M2170" s="9"/>
      <c r="N2170" s="9"/>
      <c r="O2170" s="9"/>
      <c r="P2170" s="9"/>
      <c r="Q2170" s="9"/>
      <c r="R2170" s="9"/>
      <c r="S2170" s="9"/>
      <c r="T2170" s="9"/>
      <c r="U2170" s="9"/>
      <c r="V2170" s="9"/>
      <c r="W2170" s="9"/>
      <c r="X2170" s="9"/>
      <c r="Y2170" s="9"/>
      <c r="Z2170" s="9"/>
      <c r="AA2170" s="9"/>
      <c r="AB2170" s="9"/>
      <c r="AC2170" s="9"/>
      <c r="AD2170" s="9"/>
      <c r="AE2170" s="9"/>
      <c r="AF2170" s="9"/>
      <c r="AG2170" s="9"/>
      <c r="AH2170" s="9"/>
      <c r="AI2170" s="9"/>
      <c r="AJ2170" s="9"/>
      <c r="AK2170" s="9"/>
      <c r="AL2170" s="9"/>
      <c r="AM2170" s="9"/>
      <c r="AN2170" s="9"/>
      <c r="AO2170" s="9"/>
      <c r="AP2170" s="9"/>
      <c r="AQ2170" s="9"/>
      <c r="AR2170" s="9"/>
      <c r="AS2170" s="9"/>
      <c r="AT2170" s="9"/>
      <c r="AU2170" s="9"/>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row>
    <row r="2171" spans="1:75" x14ac:dyDescent="0.25">
      <c r="A2171" s="9"/>
      <c r="B2171" s="9"/>
      <c r="C2171" s="9"/>
      <c r="D2171" s="9"/>
      <c r="E2171" s="9"/>
      <c r="F2171" s="9"/>
      <c r="G2171" s="9"/>
      <c r="H2171" s="9"/>
      <c r="I2171" s="9"/>
      <c r="J2171" s="9"/>
      <c r="K2171" s="9"/>
      <c r="L2171" s="9"/>
      <c r="M2171" s="9"/>
      <c r="N2171" s="9"/>
      <c r="O2171" s="9"/>
      <c r="P2171" s="9"/>
      <c r="Q2171" s="9"/>
      <c r="R2171" s="9"/>
      <c r="S2171" s="9"/>
      <c r="T2171" s="9"/>
      <c r="U2171" s="9"/>
      <c r="V2171" s="9"/>
      <c r="W2171" s="9"/>
      <c r="X2171" s="9"/>
      <c r="Y2171" s="9"/>
      <c r="Z2171" s="9"/>
      <c r="AA2171" s="9"/>
      <c r="AB2171" s="9"/>
      <c r="AC2171" s="9"/>
      <c r="AD2171" s="9"/>
      <c r="AE2171" s="9"/>
      <c r="AF2171" s="9"/>
      <c r="AG2171" s="9"/>
      <c r="AH2171" s="9"/>
      <c r="AI2171" s="9"/>
      <c r="AJ2171" s="9"/>
      <c r="AK2171" s="9"/>
      <c r="AL2171" s="9"/>
      <c r="AM2171" s="9"/>
      <c r="AN2171" s="9"/>
      <c r="AO2171" s="9"/>
      <c r="AP2171" s="9"/>
      <c r="AQ2171" s="9"/>
      <c r="AR2171" s="9"/>
      <c r="AS2171" s="9"/>
      <c r="AT2171" s="9"/>
      <c r="AU2171" s="9"/>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row>
    <row r="2172" spans="1:75" x14ac:dyDescent="0.25">
      <c r="A2172" s="9"/>
      <c r="B2172" s="9"/>
      <c r="C2172" s="9"/>
      <c r="D2172" s="9"/>
      <c r="E2172" s="9"/>
      <c r="F2172" s="9"/>
      <c r="G2172" s="9"/>
      <c r="H2172" s="9"/>
      <c r="I2172" s="9"/>
      <c r="J2172" s="9"/>
      <c r="K2172" s="9"/>
      <c r="L2172" s="9"/>
      <c r="M2172" s="9"/>
      <c r="N2172" s="9"/>
      <c r="O2172" s="9"/>
      <c r="P2172" s="9"/>
      <c r="Q2172" s="9"/>
      <c r="R2172" s="9"/>
      <c r="S2172" s="9"/>
      <c r="T2172" s="9"/>
      <c r="U2172" s="9"/>
      <c r="V2172" s="9"/>
      <c r="W2172" s="9"/>
      <c r="X2172" s="9"/>
      <c r="Y2172" s="9"/>
      <c r="Z2172" s="9"/>
      <c r="AA2172" s="9"/>
      <c r="AB2172" s="9"/>
      <c r="AC2172" s="9"/>
      <c r="AD2172" s="9"/>
      <c r="AE2172" s="9"/>
      <c r="AF2172" s="9"/>
      <c r="AG2172" s="9"/>
      <c r="AH2172" s="9"/>
      <c r="AI2172" s="9"/>
      <c r="AJ2172" s="9"/>
      <c r="AK2172" s="9"/>
      <c r="AL2172" s="9"/>
      <c r="AM2172" s="9"/>
      <c r="AN2172" s="9"/>
      <c r="AO2172" s="9"/>
      <c r="AP2172" s="9"/>
      <c r="AQ2172" s="9"/>
      <c r="AR2172" s="9"/>
      <c r="AS2172" s="9"/>
      <c r="AT2172" s="9"/>
      <c r="AU2172" s="9"/>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row>
    <row r="2173" spans="1:75" x14ac:dyDescent="0.25">
      <c r="A2173" s="9"/>
      <c r="B2173" s="9"/>
      <c r="C2173" s="9"/>
      <c r="D2173" s="9"/>
      <c r="E2173" s="9"/>
      <c r="F2173" s="9"/>
      <c r="G2173" s="9"/>
      <c r="H2173" s="9"/>
      <c r="I2173" s="9"/>
      <c r="J2173" s="9"/>
      <c r="K2173" s="9"/>
      <c r="L2173" s="9"/>
      <c r="M2173" s="9"/>
      <c r="N2173" s="9"/>
      <c r="O2173" s="9"/>
      <c r="P2173" s="9"/>
      <c r="Q2173" s="9"/>
      <c r="R2173" s="9"/>
      <c r="S2173" s="9"/>
      <c r="T2173" s="9"/>
      <c r="U2173" s="9"/>
      <c r="V2173" s="9"/>
      <c r="W2173" s="9"/>
      <c r="X2173" s="9"/>
      <c r="Y2173" s="9"/>
      <c r="Z2173" s="9"/>
      <c r="AA2173" s="9"/>
      <c r="AB2173" s="9"/>
      <c r="AC2173" s="9"/>
      <c r="AD2173" s="9"/>
      <c r="AE2173" s="9"/>
      <c r="AF2173" s="9"/>
      <c r="AG2173" s="9"/>
      <c r="AH2173" s="9"/>
      <c r="AI2173" s="9"/>
      <c r="AJ2173" s="9"/>
      <c r="AK2173" s="9"/>
      <c r="AL2173" s="9"/>
      <c r="AM2173" s="9"/>
      <c r="AN2173" s="9"/>
      <c r="AO2173" s="9"/>
      <c r="AP2173" s="9"/>
      <c r="AQ2173" s="9"/>
      <c r="AR2173" s="9"/>
      <c r="AS2173" s="9"/>
      <c r="AT2173" s="9"/>
      <c r="AU2173" s="9"/>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row>
    <row r="2174" spans="1:75" x14ac:dyDescent="0.25">
      <c r="A2174" s="9"/>
      <c r="B2174" s="9"/>
      <c r="C2174" s="9"/>
      <c r="D2174" s="9"/>
      <c r="E2174" s="9"/>
      <c r="F2174" s="9"/>
      <c r="G2174" s="9"/>
      <c r="H2174" s="9"/>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row>
    <row r="2175" spans="1:75" x14ac:dyDescent="0.25">
      <c r="A2175" s="9"/>
      <c r="B2175" s="9"/>
      <c r="C2175" s="9"/>
      <c r="D2175" s="9"/>
      <c r="E2175" s="9"/>
      <c r="F2175" s="9"/>
      <c r="G2175" s="9"/>
      <c r="H2175" s="9"/>
      <c r="I2175" s="9"/>
      <c r="J2175" s="9"/>
      <c r="K2175" s="9"/>
      <c r="L2175" s="9"/>
      <c r="M2175" s="9"/>
      <c r="N2175" s="9"/>
      <c r="O2175" s="9"/>
      <c r="P2175" s="9"/>
      <c r="Q2175" s="9"/>
      <c r="R2175" s="9"/>
      <c r="S2175" s="9"/>
      <c r="T2175" s="9"/>
      <c r="U2175" s="9"/>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c r="AS2175" s="9"/>
      <c r="AT2175" s="9"/>
      <c r="AU2175" s="9"/>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row>
    <row r="2176" spans="1:75" x14ac:dyDescent="0.25">
      <c r="A2176" s="9"/>
      <c r="B2176" s="9"/>
      <c r="C2176" s="9"/>
      <c r="D2176" s="9"/>
      <c r="E2176" s="9"/>
      <c r="F2176" s="9"/>
      <c r="G2176" s="9"/>
      <c r="H2176" s="9"/>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c r="AS2176" s="9"/>
      <c r="AT2176" s="9"/>
      <c r="AU2176" s="9"/>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row>
    <row r="2177" spans="1:75" x14ac:dyDescent="0.25">
      <c r="A2177" s="9"/>
      <c r="B2177" s="9"/>
      <c r="C2177" s="9"/>
      <c r="D2177" s="9"/>
      <c r="E2177" s="9"/>
      <c r="F2177" s="9"/>
      <c r="G2177" s="9"/>
      <c r="H2177" s="9"/>
      <c r="I2177" s="9"/>
      <c r="J2177" s="9"/>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9"/>
      <c r="AN2177" s="9"/>
      <c r="AO2177" s="9"/>
      <c r="AP2177" s="9"/>
      <c r="AQ2177" s="9"/>
      <c r="AR2177" s="9"/>
      <c r="AS2177" s="9"/>
      <c r="AT2177" s="9"/>
      <c r="AU2177" s="9"/>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row>
    <row r="2178" spans="1:75" x14ac:dyDescent="0.25">
      <c r="A2178" s="9"/>
      <c r="B2178" s="9"/>
      <c r="C2178" s="9"/>
      <c r="D2178" s="9"/>
      <c r="E2178" s="9"/>
      <c r="F2178" s="9"/>
      <c r="G2178" s="9"/>
      <c r="H2178" s="9"/>
      <c r="I2178" s="9"/>
      <c r="J2178" s="9"/>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9"/>
      <c r="AL2178" s="9"/>
      <c r="AM2178" s="9"/>
      <c r="AN2178" s="9"/>
      <c r="AO2178" s="9"/>
      <c r="AP2178" s="9"/>
      <c r="AQ2178" s="9"/>
      <c r="AR2178" s="9"/>
      <c r="AS2178" s="9"/>
      <c r="AT2178" s="9"/>
      <c r="AU2178" s="9"/>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row>
    <row r="2179" spans="1:75" x14ac:dyDescent="0.25">
      <c r="A2179" s="9"/>
      <c r="B2179" s="9"/>
      <c r="C2179" s="9"/>
      <c r="D2179" s="9"/>
      <c r="E2179" s="9"/>
      <c r="F2179" s="9"/>
      <c r="G2179" s="9"/>
      <c r="H2179" s="9"/>
      <c r="I2179" s="9"/>
      <c r="J2179" s="9"/>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9"/>
      <c r="AN2179" s="9"/>
      <c r="AO2179" s="9"/>
      <c r="AP2179" s="9"/>
      <c r="AQ2179" s="9"/>
      <c r="AR2179" s="9"/>
      <c r="AS2179" s="9"/>
      <c r="AT2179" s="9"/>
      <c r="AU2179" s="9"/>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row>
    <row r="2180" spans="1:75" x14ac:dyDescent="0.25">
      <c r="A2180" s="9"/>
      <c r="B2180" s="9"/>
      <c r="C2180" s="9"/>
      <c r="D2180" s="9"/>
      <c r="E2180" s="9"/>
      <c r="F2180" s="9"/>
      <c r="G2180" s="9"/>
      <c r="H2180" s="9"/>
      <c r="I2180" s="9"/>
      <c r="J2180" s="9"/>
      <c r="K2180" s="9"/>
      <c r="L2180" s="9"/>
      <c r="M2180" s="9"/>
      <c r="N2180" s="9"/>
      <c r="O2180" s="9"/>
      <c r="P2180" s="9"/>
      <c r="Q2180" s="9"/>
      <c r="R2180" s="9"/>
      <c r="S2180" s="9"/>
      <c r="T2180" s="9"/>
      <c r="U2180" s="9"/>
      <c r="V2180" s="9"/>
      <c r="W2180" s="9"/>
      <c r="X2180" s="9"/>
      <c r="Y2180" s="9"/>
      <c r="Z2180" s="9"/>
      <c r="AA2180" s="9"/>
      <c r="AB2180" s="9"/>
      <c r="AC2180" s="9"/>
      <c r="AD2180" s="9"/>
      <c r="AE2180" s="9"/>
      <c r="AF2180" s="9"/>
      <c r="AG2180" s="9"/>
      <c r="AH2180" s="9"/>
      <c r="AI2180" s="9"/>
      <c r="AJ2180" s="9"/>
      <c r="AK2180" s="9"/>
      <c r="AL2180" s="9"/>
      <c r="AM2180" s="9"/>
      <c r="AN2180" s="9"/>
      <c r="AO2180" s="9"/>
      <c r="AP2180" s="9"/>
      <c r="AQ2180" s="9"/>
      <c r="AR2180" s="9"/>
      <c r="AS2180" s="9"/>
      <c r="AT2180" s="9"/>
      <c r="AU2180" s="9"/>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row>
    <row r="2181" spans="1:75" x14ac:dyDescent="0.25">
      <c r="A2181" s="9"/>
      <c r="B2181" s="9"/>
      <c r="C2181" s="9"/>
      <c r="D2181" s="9"/>
      <c r="E2181" s="9"/>
      <c r="F2181" s="9"/>
      <c r="G2181" s="9"/>
      <c r="H2181" s="9"/>
      <c r="I2181" s="9"/>
      <c r="J2181" s="9"/>
      <c r="K2181" s="9"/>
      <c r="L2181" s="9"/>
      <c r="M2181" s="9"/>
      <c r="N2181" s="9"/>
      <c r="O2181" s="9"/>
      <c r="P2181" s="9"/>
      <c r="Q2181" s="9"/>
      <c r="R2181" s="9"/>
      <c r="S2181" s="9"/>
      <c r="T2181" s="9"/>
      <c r="U2181" s="9"/>
      <c r="V2181" s="9"/>
      <c r="W2181" s="9"/>
      <c r="X2181" s="9"/>
      <c r="Y2181" s="9"/>
      <c r="Z2181" s="9"/>
      <c r="AA2181" s="9"/>
      <c r="AB2181" s="9"/>
      <c r="AC2181" s="9"/>
      <c r="AD2181" s="9"/>
      <c r="AE2181" s="9"/>
      <c r="AF2181" s="9"/>
      <c r="AG2181" s="9"/>
      <c r="AH2181" s="9"/>
      <c r="AI2181" s="9"/>
      <c r="AJ2181" s="9"/>
      <c r="AK2181" s="9"/>
      <c r="AL2181" s="9"/>
      <c r="AM2181" s="9"/>
      <c r="AN2181" s="9"/>
      <c r="AO2181" s="9"/>
      <c r="AP2181" s="9"/>
      <c r="AQ2181" s="9"/>
      <c r="AR2181" s="9"/>
      <c r="AS2181" s="9"/>
      <c r="AT2181" s="9"/>
      <c r="AU2181" s="9"/>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row>
    <row r="2182" spans="1:75" x14ac:dyDescent="0.25">
      <c r="A2182" s="9"/>
      <c r="B2182" s="9"/>
      <c r="C2182" s="9"/>
      <c r="D2182" s="9"/>
      <c r="E2182" s="9"/>
      <c r="F2182" s="9"/>
      <c r="G2182" s="9"/>
      <c r="H2182" s="9"/>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c r="AS2182" s="9"/>
      <c r="AT2182" s="9"/>
      <c r="AU2182" s="9"/>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row>
    <row r="2183" spans="1:75" x14ac:dyDescent="0.25">
      <c r="A2183" s="9"/>
      <c r="B2183" s="9"/>
      <c r="C2183" s="9"/>
      <c r="D2183" s="9"/>
      <c r="E2183" s="9"/>
      <c r="F2183" s="9"/>
      <c r="G2183" s="9"/>
      <c r="H2183" s="9"/>
      <c r="I2183" s="9"/>
      <c r="J2183" s="9"/>
      <c r="K2183" s="9"/>
      <c r="L2183" s="9"/>
      <c r="M2183" s="9"/>
      <c r="N2183" s="9"/>
      <c r="O2183" s="9"/>
      <c r="P2183" s="9"/>
      <c r="Q2183" s="9"/>
      <c r="R2183" s="9"/>
      <c r="S2183" s="9"/>
      <c r="T2183" s="9"/>
      <c r="U2183" s="9"/>
      <c r="V2183" s="9"/>
      <c r="W2183" s="9"/>
      <c r="X2183" s="9"/>
      <c r="Y2183" s="9"/>
      <c r="Z2183" s="9"/>
      <c r="AA2183" s="9"/>
      <c r="AB2183" s="9"/>
      <c r="AC2183" s="9"/>
      <c r="AD2183" s="9"/>
      <c r="AE2183" s="9"/>
      <c r="AF2183" s="9"/>
      <c r="AG2183" s="9"/>
      <c r="AH2183" s="9"/>
      <c r="AI2183" s="9"/>
      <c r="AJ2183" s="9"/>
      <c r="AK2183" s="9"/>
      <c r="AL2183" s="9"/>
      <c r="AM2183" s="9"/>
      <c r="AN2183" s="9"/>
      <c r="AO2183" s="9"/>
      <c r="AP2183" s="9"/>
      <c r="AQ2183" s="9"/>
      <c r="AR2183" s="9"/>
      <c r="AS2183" s="9"/>
      <c r="AT2183" s="9"/>
      <c r="AU2183" s="9"/>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row>
    <row r="2184" spans="1:75" x14ac:dyDescent="0.25">
      <c r="A2184" s="9"/>
      <c r="B2184" s="9"/>
      <c r="C2184" s="9"/>
      <c r="D2184" s="9"/>
      <c r="E2184" s="9"/>
      <c r="F2184" s="9"/>
      <c r="G2184" s="9"/>
      <c r="H2184" s="9"/>
      <c r="I2184" s="9"/>
      <c r="J2184" s="9"/>
      <c r="K2184" s="9"/>
      <c r="L2184" s="9"/>
      <c r="M2184" s="9"/>
      <c r="N2184" s="9"/>
      <c r="O2184" s="9"/>
      <c r="P2184" s="9"/>
      <c r="Q2184" s="9"/>
      <c r="R2184" s="9"/>
      <c r="S2184" s="9"/>
      <c r="T2184" s="9"/>
      <c r="U2184" s="9"/>
      <c r="V2184" s="9"/>
      <c r="W2184" s="9"/>
      <c r="X2184" s="9"/>
      <c r="Y2184" s="9"/>
      <c r="Z2184" s="9"/>
      <c r="AA2184" s="9"/>
      <c r="AB2184" s="9"/>
      <c r="AC2184" s="9"/>
      <c r="AD2184" s="9"/>
      <c r="AE2184" s="9"/>
      <c r="AF2184" s="9"/>
      <c r="AG2184" s="9"/>
      <c r="AH2184" s="9"/>
      <c r="AI2184" s="9"/>
      <c r="AJ2184" s="9"/>
      <c r="AK2184" s="9"/>
      <c r="AL2184" s="9"/>
      <c r="AM2184" s="9"/>
      <c r="AN2184" s="9"/>
      <c r="AO2184" s="9"/>
      <c r="AP2184" s="9"/>
      <c r="AQ2184" s="9"/>
      <c r="AR2184" s="9"/>
      <c r="AS2184" s="9"/>
      <c r="AT2184" s="9"/>
      <c r="AU2184" s="9"/>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row>
    <row r="2185" spans="1:75" x14ac:dyDescent="0.25">
      <c r="A2185" s="9"/>
      <c r="B2185" s="9"/>
      <c r="C2185" s="9"/>
      <c r="D2185" s="9"/>
      <c r="E2185" s="9"/>
      <c r="F2185" s="9"/>
      <c r="G2185" s="9"/>
      <c r="H2185" s="9"/>
      <c r="I2185" s="9"/>
      <c r="J2185" s="9"/>
      <c r="K2185" s="9"/>
      <c r="L2185" s="9"/>
      <c r="M2185" s="9"/>
      <c r="N2185" s="9"/>
      <c r="O2185" s="9"/>
      <c r="P2185" s="9"/>
      <c r="Q2185" s="9"/>
      <c r="R2185" s="9"/>
      <c r="S2185" s="9"/>
      <c r="T2185" s="9"/>
      <c r="U2185" s="9"/>
      <c r="V2185" s="9"/>
      <c r="W2185" s="9"/>
      <c r="X2185" s="9"/>
      <c r="Y2185" s="9"/>
      <c r="Z2185" s="9"/>
      <c r="AA2185" s="9"/>
      <c r="AB2185" s="9"/>
      <c r="AC2185" s="9"/>
      <c r="AD2185" s="9"/>
      <c r="AE2185" s="9"/>
      <c r="AF2185" s="9"/>
      <c r="AG2185" s="9"/>
      <c r="AH2185" s="9"/>
      <c r="AI2185" s="9"/>
      <c r="AJ2185" s="9"/>
      <c r="AK2185" s="9"/>
      <c r="AL2185" s="9"/>
      <c r="AM2185" s="9"/>
      <c r="AN2185" s="9"/>
      <c r="AO2185" s="9"/>
      <c r="AP2185" s="9"/>
      <c r="AQ2185" s="9"/>
      <c r="AR2185" s="9"/>
      <c r="AS2185" s="9"/>
      <c r="AT2185" s="9"/>
      <c r="AU2185" s="9"/>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row>
    <row r="2186" spans="1:75" x14ac:dyDescent="0.25">
      <c r="A2186" s="9"/>
      <c r="B2186" s="9"/>
      <c r="C2186" s="9"/>
      <c r="D2186" s="9"/>
      <c r="E2186" s="9"/>
      <c r="F2186" s="9"/>
      <c r="G2186" s="9"/>
      <c r="H2186" s="9"/>
      <c r="I2186" s="9"/>
      <c r="J2186" s="9"/>
      <c r="K2186" s="9"/>
      <c r="L2186" s="9"/>
      <c r="M2186" s="9"/>
      <c r="N2186" s="9"/>
      <c r="O2186" s="9"/>
      <c r="P2186" s="9"/>
      <c r="Q2186" s="9"/>
      <c r="R2186" s="9"/>
      <c r="S2186" s="9"/>
      <c r="T2186" s="9"/>
      <c r="U2186" s="9"/>
      <c r="V2186" s="9"/>
      <c r="W2186" s="9"/>
      <c r="X2186" s="9"/>
      <c r="Y2186" s="9"/>
      <c r="Z2186" s="9"/>
      <c r="AA2186" s="9"/>
      <c r="AB2186" s="9"/>
      <c r="AC2186" s="9"/>
      <c r="AD2186" s="9"/>
      <c r="AE2186" s="9"/>
      <c r="AF2186" s="9"/>
      <c r="AG2186" s="9"/>
      <c r="AH2186" s="9"/>
      <c r="AI2186" s="9"/>
      <c r="AJ2186" s="9"/>
      <c r="AK2186" s="9"/>
      <c r="AL2186" s="9"/>
      <c r="AM2186" s="9"/>
      <c r="AN2186" s="9"/>
      <c r="AO2186" s="9"/>
      <c r="AP2186" s="9"/>
      <c r="AQ2186" s="9"/>
      <c r="AR2186" s="9"/>
      <c r="AS2186" s="9"/>
      <c r="AT2186" s="9"/>
      <c r="AU2186" s="9"/>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row>
    <row r="2187" spans="1:75" x14ac:dyDescent="0.25">
      <c r="A2187" s="9"/>
      <c r="B2187" s="9"/>
      <c r="C2187" s="9"/>
      <c r="D2187" s="9"/>
      <c r="E2187" s="9"/>
      <c r="F2187" s="9"/>
      <c r="G2187" s="9"/>
      <c r="H2187" s="9"/>
      <c r="I2187" s="9"/>
      <c r="J2187" s="9"/>
      <c r="K2187" s="9"/>
      <c r="L2187" s="9"/>
      <c r="M2187" s="9"/>
      <c r="N2187" s="9"/>
      <c r="O2187" s="9"/>
      <c r="P2187" s="9"/>
      <c r="Q2187" s="9"/>
      <c r="R2187" s="9"/>
      <c r="S2187" s="9"/>
      <c r="T2187" s="9"/>
      <c r="U2187" s="9"/>
      <c r="V2187" s="9"/>
      <c r="W2187" s="9"/>
      <c r="X2187" s="9"/>
      <c r="Y2187" s="9"/>
      <c r="Z2187" s="9"/>
      <c r="AA2187" s="9"/>
      <c r="AB2187" s="9"/>
      <c r="AC2187" s="9"/>
      <c r="AD2187" s="9"/>
      <c r="AE2187" s="9"/>
      <c r="AF2187" s="9"/>
      <c r="AG2187" s="9"/>
      <c r="AH2187" s="9"/>
      <c r="AI2187" s="9"/>
      <c r="AJ2187" s="9"/>
      <c r="AK2187" s="9"/>
      <c r="AL2187" s="9"/>
      <c r="AM2187" s="9"/>
      <c r="AN2187" s="9"/>
      <c r="AO2187" s="9"/>
      <c r="AP2187" s="9"/>
      <c r="AQ2187" s="9"/>
      <c r="AR2187" s="9"/>
      <c r="AS2187" s="9"/>
      <c r="AT2187" s="9"/>
      <c r="AU2187" s="9"/>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row>
    <row r="2188" spans="1:75" x14ac:dyDescent="0.25">
      <c r="A2188" s="9"/>
      <c r="B2188" s="9"/>
      <c r="C2188" s="9"/>
      <c r="D2188" s="9"/>
      <c r="E2188" s="9"/>
      <c r="F2188" s="9"/>
      <c r="G2188" s="9"/>
      <c r="H2188" s="9"/>
      <c r="I2188" s="9"/>
      <c r="J2188" s="9"/>
      <c r="K2188" s="9"/>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c r="AS2188" s="9"/>
      <c r="AT2188" s="9"/>
      <c r="AU2188" s="9"/>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row>
    <row r="2189" spans="1:75" x14ac:dyDescent="0.25">
      <c r="A2189" s="9"/>
      <c r="B2189" s="9"/>
      <c r="C2189" s="9"/>
      <c r="D2189" s="9"/>
      <c r="E2189" s="9"/>
      <c r="F2189" s="9"/>
      <c r="G2189" s="9"/>
      <c r="H2189" s="9"/>
      <c r="I2189" s="9"/>
      <c r="J2189" s="9"/>
      <c r="K2189" s="9"/>
      <c r="L2189" s="9"/>
      <c r="M2189" s="9"/>
      <c r="N2189" s="9"/>
      <c r="O2189" s="9"/>
      <c r="P2189" s="9"/>
      <c r="Q2189" s="9"/>
      <c r="R2189" s="9"/>
      <c r="S2189" s="9"/>
      <c r="T2189" s="9"/>
      <c r="U2189" s="9"/>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c r="AS2189" s="9"/>
      <c r="AT2189" s="9"/>
      <c r="AU2189" s="9"/>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row>
    <row r="2190" spans="1:75" x14ac:dyDescent="0.25">
      <c r="A2190" s="9"/>
      <c r="B2190" s="9"/>
      <c r="C2190" s="9"/>
      <c r="D2190" s="9"/>
      <c r="E2190" s="9"/>
      <c r="F2190" s="9"/>
      <c r="G2190" s="9"/>
      <c r="H2190" s="9"/>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c r="AO2190" s="9"/>
      <c r="AP2190" s="9"/>
      <c r="AQ2190" s="9"/>
      <c r="AR2190" s="9"/>
      <c r="AS2190" s="9"/>
      <c r="AT2190" s="9"/>
      <c r="AU2190" s="9"/>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row>
    <row r="2191" spans="1:75" x14ac:dyDescent="0.25">
      <c r="A2191" s="9"/>
      <c r="B2191" s="9"/>
      <c r="C2191" s="9"/>
      <c r="D2191" s="9"/>
      <c r="E2191" s="9"/>
      <c r="F2191" s="9"/>
      <c r="G2191" s="9"/>
      <c r="H2191" s="9"/>
      <c r="I2191" s="9"/>
      <c r="J2191" s="9"/>
      <c r="K2191" s="9"/>
      <c r="L2191" s="9"/>
      <c r="M2191" s="9"/>
      <c r="N2191" s="9"/>
      <c r="O2191" s="9"/>
      <c r="P2191" s="9"/>
      <c r="Q2191" s="9"/>
      <c r="R2191" s="9"/>
      <c r="S2191" s="9"/>
      <c r="T2191" s="9"/>
      <c r="U2191" s="9"/>
      <c r="V2191" s="9"/>
      <c r="W2191" s="9"/>
      <c r="X2191" s="9"/>
      <c r="Y2191" s="9"/>
      <c r="Z2191" s="9"/>
      <c r="AA2191" s="9"/>
      <c r="AB2191" s="9"/>
      <c r="AC2191" s="9"/>
      <c r="AD2191" s="9"/>
      <c r="AE2191" s="9"/>
      <c r="AF2191" s="9"/>
      <c r="AG2191" s="9"/>
      <c r="AH2191" s="9"/>
      <c r="AI2191" s="9"/>
      <c r="AJ2191" s="9"/>
      <c r="AK2191" s="9"/>
      <c r="AL2191" s="9"/>
      <c r="AM2191" s="9"/>
      <c r="AN2191" s="9"/>
      <c r="AO2191" s="9"/>
      <c r="AP2191" s="9"/>
      <c r="AQ2191" s="9"/>
      <c r="AR2191" s="9"/>
      <c r="AS2191" s="9"/>
      <c r="AT2191" s="9"/>
      <c r="AU2191" s="9"/>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row>
    <row r="2192" spans="1:75" x14ac:dyDescent="0.25">
      <c r="A2192" s="9"/>
      <c r="B2192" s="9"/>
      <c r="C2192" s="9"/>
      <c r="D2192" s="9"/>
      <c r="E2192" s="9"/>
      <c r="F2192" s="9"/>
      <c r="G2192" s="9"/>
      <c r="H2192" s="9"/>
      <c r="I2192" s="9"/>
      <c r="J2192" s="9"/>
      <c r="K2192" s="9"/>
      <c r="L2192" s="9"/>
      <c r="M2192" s="9"/>
      <c r="N2192" s="9"/>
      <c r="O2192" s="9"/>
      <c r="P2192" s="9"/>
      <c r="Q2192" s="9"/>
      <c r="R2192" s="9"/>
      <c r="S2192" s="9"/>
      <c r="T2192" s="9"/>
      <c r="U2192" s="9"/>
      <c r="V2192" s="9"/>
      <c r="W2192" s="9"/>
      <c r="X2192" s="9"/>
      <c r="Y2192" s="9"/>
      <c r="Z2192" s="9"/>
      <c r="AA2192" s="9"/>
      <c r="AB2192" s="9"/>
      <c r="AC2192" s="9"/>
      <c r="AD2192" s="9"/>
      <c r="AE2192" s="9"/>
      <c r="AF2192" s="9"/>
      <c r="AG2192" s="9"/>
      <c r="AH2192" s="9"/>
      <c r="AI2192" s="9"/>
      <c r="AJ2192" s="9"/>
      <c r="AK2192" s="9"/>
      <c r="AL2192" s="9"/>
      <c r="AM2192" s="9"/>
      <c r="AN2192" s="9"/>
      <c r="AO2192" s="9"/>
      <c r="AP2192" s="9"/>
      <c r="AQ2192" s="9"/>
      <c r="AR2192" s="9"/>
      <c r="AS2192" s="9"/>
      <c r="AT2192" s="9"/>
      <c r="AU2192" s="9"/>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row>
    <row r="2193" spans="1:75" x14ac:dyDescent="0.25">
      <c r="A2193" s="9"/>
      <c r="B2193" s="9"/>
      <c r="C2193" s="9"/>
      <c r="D2193" s="9"/>
      <c r="E2193" s="9"/>
      <c r="F2193" s="9"/>
      <c r="G2193" s="9"/>
      <c r="H2193" s="9"/>
      <c r="I2193" s="9"/>
      <c r="J2193" s="9"/>
      <c r="K2193" s="9"/>
      <c r="L2193" s="9"/>
      <c r="M2193" s="9"/>
      <c r="N2193" s="9"/>
      <c r="O2193" s="9"/>
      <c r="P2193" s="9"/>
      <c r="Q2193" s="9"/>
      <c r="R2193" s="9"/>
      <c r="S2193" s="9"/>
      <c r="T2193" s="9"/>
      <c r="U2193" s="9"/>
      <c r="V2193" s="9"/>
      <c r="W2193" s="9"/>
      <c r="X2193" s="9"/>
      <c r="Y2193" s="9"/>
      <c r="Z2193" s="9"/>
      <c r="AA2193" s="9"/>
      <c r="AB2193" s="9"/>
      <c r="AC2193" s="9"/>
      <c r="AD2193" s="9"/>
      <c r="AE2193" s="9"/>
      <c r="AF2193" s="9"/>
      <c r="AG2193" s="9"/>
      <c r="AH2193" s="9"/>
      <c r="AI2193" s="9"/>
      <c r="AJ2193" s="9"/>
      <c r="AK2193" s="9"/>
      <c r="AL2193" s="9"/>
      <c r="AM2193" s="9"/>
      <c r="AN2193" s="9"/>
      <c r="AO2193" s="9"/>
      <c r="AP2193" s="9"/>
      <c r="AQ2193" s="9"/>
      <c r="AR2193" s="9"/>
      <c r="AS2193" s="9"/>
      <c r="AT2193" s="9"/>
      <c r="AU2193" s="9"/>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row>
    <row r="2194" spans="1:75" x14ac:dyDescent="0.25">
      <c r="A2194" s="9"/>
      <c r="B2194" s="9"/>
      <c r="C2194" s="9"/>
      <c r="D2194" s="9"/>
      <c r="E2194" s="9"/>
      <c r="F2194" s="9"/>
      <c r="G2194" s="9"/>
      <c r="H2194" s="9"/>
      <c r="I2194" s="9"/>
      <c r="J2194" s="9"/>
      <c r="K2194" s="9"/>
      <c r="L2194" s="9"/>
      <c r="M2194" s="9"/>
      <c r="N2194" s="9"/>
      <c r="O2194" s="9"/>
      <c r="P2194" s="9"/>
      <c r="Q2194" s="9"/>
      <c r="R2194" s="9"/>
      <c r="S2194" s="9"/>
      <c r="T2194" s="9"/>
      <c r="U2194" s="9"/>
      <c r="V2194" s="9"/>
      <c r="W2194" s="9"/>
      <c r="X2194" s="9"/>
      <c r="Y2194" s="9"/>
      <c r="Z2194" s="9"/>
      <c r="AA2194" s="9"/>
      <c r="AB2194" s="9"/>
      <c r="AC2194" s="9"/>
      <c r="AD2194" s="9"/>
      <c r="AE2194" s="9"/>
      <c r="AF2194" s="9"/>
      <c r="AG2194" s="9"/>
      <c r="AH2194" s="9"/>
      <c r="AI2194" s="9"/>
      <c r="AJ2194" s="9"/>
      <c r="AK2194" s="9"/>
      <c r="AL2194" s="9"/>
      <c r="AM2194" s="9"/>
      <c r="AN2194" s="9"/>
      <c r="AO2194" s="9"/>
      <c r="AP2194" s="9"/>
      <c r="AQ2194" s="9"/>
      <c r="AR2194" s="9"/>
      <c r="AS2194" s="9"/>
      <c r="AT2194" s="9"/>
      <c r="AU2194" s="9"/>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row>
    <row r="2195" spans="1:75" x14ac:dyDescent="0.25">
      <c r="A2195" s="9"/>
      <c r="B2195" s="9"/>
      <c r="C2195" s="9"/>
      <c r="D2195" s="9"/>
      <c r="E2195" s="9"/>
      <c r="F2195" s="9"/>
      <c r="G2195" s="9"/>
      <c r="H2195" s="9"/>
      <c r="I2195" s="9"/>
      <c r="J2195" s="9"/>
      <c r="K2195" s="9"/>
      <c r="L2195" s="9"/>
      <c r="M2195" s="9"/>
      <c r="N2195" s="9"/>
      <c r="O2195" s="9"/>
      <c r="P2195" s="9"/>
      <c r="Q2195" s="9"/>
      <c r="R2195" s="9"/>
      <c r="S2195" s="9"/>
      <c r="T2195" s="9"/>
      <c r="U2195" s="9"/>
      <c r="V2195" s="9"/>
      <c r="W2195" s="9"/>
      <c r="X2195" s="9"/>
      <c r="Y2195" s="9"/>
      <c r="Z2195" s="9"/>
      <c r="AA2195" s="9"/>
      <c r="AB2195" s="9"/>
      <c r="AC2195" s="9"/>
      <c r="AD2195" s="9"/>
      <c r="AE2195" s="9"/>
      <c r="AF2195" s="9"/>
      <c r="AG2195" s="9"/>
      <c r="AH2195" s="9"/>
      <c r="AI2195" s="9"/>
      <c r="AJ2195" s="9"/>
      <c r="AK2195" s="9"/>
      <c r="AL2195" s="9"/>
      <c r="AM2195" s="9"/>
      <c r="AN2195" s="9"/>
      <c r="AO2195" s="9"/>
      <c r="AP2195" s="9"/>
      <c r="AQ2195" s="9"/>
      <c r="AR2195" s="9"/>
      <c r="AS2195" s="9"/>
      <c r="AT2195" s="9"/>
      <c r="AU2195" s="9"/>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row>
    <row r="2196" spans="1:75" x14ac:dyDescent="0.25">
      <c r="A2196" s="9"/>
      <c r="B2196" s="9"/>
      <c r="C2196" s="9"/>
      <c r="D2196" s="9"/>
      <c r="E2196" s="9"/>
      <c r="F2196" s="9"/>
      <c r="G2196" s="9"/>
      <c r="H2196" s="9"/>
      <c r="I2196" s="9"/>
      <c r="J2196" s="9"/>
      <c r="K2196" s="9"/>
      <c r="L2196" s="9"/>
      <c r="M2196" s="9"/>
      <c r="N2196" s="9"/>
      <c r="O2196" s="9"/>
      <c r="P2196" s="9"/>
      <c r="Q2196" s="9"/>
      <c r="R2196" s="9"/>
      <c r="S2196" s="9"/>
      <c r="T2196" s="9"/>
      <c r="U2196" s="9"/>
      <c r="V2196" s="9"/>
      <c r="W2196" s="9"/>
      <c r="X2196" s="9"/>
      <c r="Y2196" s="9"/>
      <c r="Z2196" s="9"/>
      <c r="AA2196" s="9"/>
      <c r="AB2196" s="9"/>
      <c r="AC2196" s="9"/>
      <c r="AD2196" s="9"/>
      <c r="AE2196" s="9"/>
      <c r="AF2196" s="9"/>
      <c r="AG2196" s="9"/>
      <c r="AH2196" s="9"/>
      <c r="AI2196" s="9"/>
      <c r="AJ2196" s="9"/>
      <c r="AK2196" s="9"/>
      <c r="AL2196" s="9"/>
      <c r="AM2196" s="9"/>
      <c r="AN2196" s="9"/>
      <c r="AO2196" s="9"/>
      <c r="AP2196" s="9"/>
      <c r="AQ2196" s="9"/>
      <c r="AR2196" s="9"/>
      <c r="AS2196" s="9"/>
      <c r="AT2196" s="9"/>
      <c r="AU2196" s="9"/>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row>
    <row r="2197" spans="1:75" x14ac:dyDescent="0.25">
      <c r="A2197" s="9"/>
      <c r="B2197" s="9"/>
      <c r="C2197" s="9"/>
      <c r="D2197" s="9"/>
      <c r="E2197" s="9"/>
      <c r="F2197" s="9"/>
      <c r="G2197" s="9"/>
      <c r="H2197" s="9"/>
      <c r="I2197" s="9"/>
      <c r="J2197" s="9"/>
      <c r="K2197" s="9"/>
      <c r="L2197" s="9"/>
      <c r="M2197" s="9"/>
      <c r="N2197" s="9"/>
      <c r="O2197" s="9"/>
      <c r="P2197" s="9"/>
      <c r="Q2197" s="9"/>
      <c r="R2197" s="9"/>
      <c r="S2197" s="9"/>
      <c r="T2197" s="9"/>
      <c r="U2197" s="9"/>
      <c r="V2197" s="9"/>
      <c r="W2197" s="9"/>
      <c r="X2197" s="9"/>
      <c r="Y2197" s="9"/>
      <c r="Z2197" s="9"/>
      <c r="AA2197" s="9"/>
      <c r="AB2197" s="9"/>
      <c r="AC2197" s="9"/>
      <c r="AD2197" s="9"/>
      <c r="AE2197" s="9"/>
      <c r="AF2197" s="9"/>
      <c r="AG2197" s="9"/>
      <c r="AH2197" s="9"/>
      <c r="AI2197" s="9"/>
      <c r="AJ2197" s="9"/>
      <c r="AK2197" s="9"/>
      <c r="AL2197" s="9"/>
      <c r="AM2197" s="9"/>
      <c r="AN2197" s="9"/>
      <c r="AO2197" s="9"/>
      <c r="AP2197" s="9"/>
      <c r="AQ2197" s="9"/>
      <c r="AR2197" s="9"/>
      <c r="AS2197" s="9"/>
      <c r="AT2197" s="9"/>
      <c r="AU2197" s="9"/>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row>
    <row r="2198" spans="1:75" x14ac:dyDescent="0.25">
      <c r="A2198" s="9"/>
      <c r="B2198" s="9"/>
      <c r="C2198" s="9"/>
      <c r="D2198" s="9"/>
      <c r="E2198" s="9"/>
      <c r="F2198" s="9"/>
      <c r="G2198" s="9"/>
      <c r="H2198" s="9"/>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c r="AS2198" s="9"/>
      <c r="AT2198" s="9"/>
      <c r="AU2198" s="9"/>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row>
    <row r="2199" spans="1:75" x14ac:dyDescent="0.25">
      <c r="A2199" s="9"/>
      <c r="B2199" s="9"/>
      <c r="C2199" s="9"/>
      <c r="D2199" s="9"/>
      <c r="E2199" s="9"/>
      <c r="F2199" s="9"/>
      <c r="G2199" s="9"/>
      <c r="H2199" s="9"/>
      <c r="I2199" s="9"/>
      <c r="J2199" s="9"/>
      <c r="K2199" s="9"/>
      <c r="L2199" s="9"/>
      <c r="M2199" s="9"/>
      <c r="N2199" s="9"/>
      <c r="O2199" s="9"/>
      <c r="P2199" s="9"/>
      <c r="Q2199" s="9"/>
      <c r="R2199" s="9"/>
      <c r="S2199" s="9"/>
      <c r="T2199" s="9"/>
      <c r="U2199" s="9"/>
      <c r="V2199" s="9"/>
      <c r="W2199" s="9"/>
      <c r="X2199" s="9"/>
      <c r="Y2199" s="9"/>
      <c r="Z2199" s="9"/>
      <c r="AA2199" s="9"/>
      <c r="AB2199" s="9"/>
      <c r="AC2199" s="9"/>
      <c r="AD2199" s="9"/>
      <c r="AE2199" s="9"/>
      <c r="AF2199" s="9"/>
      <c r="AG2199" s="9"/>
      <c r="AH2199" s="9"/>
      <c r="AI2199" s="9"/>
      <c r="AJ2199" s="9"/>
      <c r="AK2199" s="9"/>
      <c r="AL2199" s="9"/>
      <c r="AM2199" s="9"/>
      <c r="AN2199" s="9"/>
      <c r="AO2199" s="9"/>
      <c r="AP2199" s="9"/>
      <c r="AQ2199" s="9"/>
      <c r="AR2199" s="9"/>
      <c r="AS2199" s="9"/>
      <c r="AT2199" s="9"/>
      <c r="AU2199" s="9"/>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row>
    <row r="2200" spans="1:75" x14ac:dyDescent="0.25">
      <c r="A2200" s="9"/>
      <c r="B2200" s="9"/>
      <c r="C2200" s="9"/>
      <c r="D2200" s="9"/>
      <c r="E2200" s="9"/>
      <c r="F2200" s="9"/>
      <c r="G2200" s="9"/>
      <c r="H2200" s="9"/>
      <c r="I2200" s="9"/>
      <c r="J2200" s="9"/>
      <c r="K2200" s="9"/>
      <c r="L2200" s="9"/>
      <c r="M2200" s="9"/>
      <c r="N2200" s="9"/>
      <c r="O2200" s="9"/>
      <c r="P2200" s="9"/>
      <c r="Q2200" s="9"/>
      <c r="R2200" s="9"/>
      <c r="S2200" s="9"/>
      <c r="T2200" s="9"/>
      <c r="U2200" s="9"/>
      <c r="V2200" s="9"/>
      <c r="W2200" s="9"/>
      <c r="X2200" s="9"/>
      <c r="Y2200" s="9"/>
      <c r="Z2200" s="9"/>
      <c r="AA2200" s="9"/>
      <c r="AB2200" s="9"/>
      <c r="AC2200" s="9"/>
      <c r="AD2200" s="9"/>
      <c r="AE2200" s="9"/>
      <c r="AF2200" s="9"/>
      <c r="AG2200" s="9"/>
      <c r="AH2200" s="9"/>
      <c r="AI2200" s="9"/>
      <c r="AJ2200" s="9"/>
      <c r="AK2200" s="9"/>
      <c r="AL2200" s="9"/>
      <c r="AM2200" s="9"/>
      <c r="AN2200" s="9"/>
      <c r="AO2200" s="9"/>
      <c r="AP2200" s="9"/>
      <c r="AQ2200" s="9"/>
      <c r="AR2200" s="9"/>
      <c r="AS2200" s="9"/>
      <c r="AT2200" s="9"/>
      <c r="AU2200" s="9"/>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row>
    <row r="2201" spans="1:75" x14ac:dyDescent="0.25">
      <c r="A2201" s="9"/>
      <c r="B2201" s="9"/>
      <c r="C2201" s="9"/>
      <c r="D2201" s="9"/>
      <c r="E2201" s="9"/>
      <c r="F2201" s="9"/>
      <c r="G2201" s="9"/>
      <c r="H2201" s="9"/>
      <c r="I2201" s="9"/>
      <c r="J2201" s="9"/>
      <c r="K2201" s="9"/>
      <c r="L2201" s="9"/>
      <c r="M2201" s="9"/>
      <c r="N2201" s="9"/>
      <c r="O2201" s="9"/>
      <c r="P2201" s="9"/>
      <c r="Q2201" s="9"/>
      <c r="R2201" s="9"/>
      <c r="S2201" s="9"/>
      <c r="T2201" s="9"/>
      <c r="U2201" s="9"/>
      <c r="V2201" s="9"/>
      <c r="W2201" s="9"/>
      <c r="X2201" s="9"/>
      <c r="Y2201" s="9"/>
      <c r="Z2201" s="9"/>
      <c r="AA2201" s="9"/>
      <c r="AB2201" s="9"/>
      <c r="AC2201" s="9"/>
      <c r="AD2201" s="9"/>
      <c r="AE2201" s="9"/>
      <c r="AF2201" s="9"/>
      <c r="AG2201" s="9"/>
      <c r="AH2201" s="9"/>
      <c r="AI2201" s="9"/>
      <c r="AJ2201" s="9"/>
      <c r="AK2201" s="9"/>
      <c r="AL2201" s="9"/>
      <c r="AM2201" s="9"/>
      <c r="AN2201" s="9"/>
      <c r="AO2201" s="9"/>
      <c r="AP2201" s="9"/>
      <c r="AQ2201" s="9"/>
      <c r="AR2201" s="9"/>
      <c r="AS2201" s="9"/>
      <c r="AT2201" s="9"/>
      <c r="AU2201" s="9"/>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row>
    <row r="2202" spans="1:75" x14ac:dyDescent="0.25">
      <c r="A2202" s="9"/>
      <c r="B2202" s="9"/>
      <c r="C2202" s="9"/>
      <c r="D2202" s="9"/>
      <c r="E2202" s="9"/>
      <c r="F2202" s="9"/>
      <c r="G2202" s="9"/>
      <c r="H2202" s="9"/>
      <c r="I2202" s="9"/>
      <c r="J2202" s="9"/>
      <c r="K2202" s="9"/>
      <c r="L2202" s="9"/>
      <c r="M2202" s="9"/>
      <c r="N2202" s="9"/>
      <c r="O2202" s="9"/>
      <c r="P2202" s="9"/>
      <c r="Q2202" s="9"/>
      <c r="R2202" s="9"/>
      <c r="S2202" s="9"/>
      <c r="T2202" s="9"/>
      <c r="U2202" s="9"/>
      <c r="V2202" s="9"/>
      <c r="W2202" s="9"/>
      <c r="X2202" s="9"/>
      <c r="Y2202" s="9"/>
      <c r="Z2202" s="9"/>
      <c r="AA2202" s="9"/>
      <c r="AB2202" s="9"/>
      <c r="AC2202" s="9"/>
      <c r="AD2202" s="9"/>
      <c r="AE2202" s="9"/>
      <c r="AF2202" s="9"/>
      <c r="AG2202" s="9"/>
      <c r="AH2202" s="9"/>
      <c r="AI2202" s="9"/>
      <c r="AJ2202" s="9"/>
      <c r="AK2202" s="9"/>
      <c r="AL2202" s="9"/>
      <c r="AM2202" s="9"/>
      <c r="AN2202" s="9"/>
      <c r="AO2202" s="9"/>
      <c r="AP2202" s="9"/>
      <c r="AQ2202" s="9"/>
      <c r="AR2202" s="9"/>
      <c r="AS2202" s="9"/>
      <c r="AT2202" s="9"/>
      <c r="AU2202" s="9"/>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row>
    <row r="2203" spans="1:75" x14ac:dyDescent="0.25">
      <c r="A2203" s="9"/>
      <c r="B2203" s="9"/>
      <c r="C2203" s="9"/>
      <c r="D2203" s="9"/>
      <c r="E2203" s="9"/>
      <c r="F2203" s="9"/>
      <c r="G2203" s="9"/>
      <c r="H2203" s="9"/>
      <c r="I2203" s="9"/>
      <c r="J2203" s="9"/>
      <c r="K2203" s="9"/>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c r="AS2203" s="9"/>
      <c r="AT2203" s="9"/>
      <c r="AU2203" s="9"/>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row>
    <row r="2204" spans="1:75" x14ac:dyDescent="0.25">
      <c r="A2204" s="9"/>
      <c r="B2204" s="9"/>
      <c r="C2204" s="9"/>
      <c r="D2204" s="9"/>
      <c r="E2204" s="9"/>
      <c r="F2204" s="9"/>
      <c r="G2204" s="9"/>
      <c r="H2204" s="9"/>
      <c r="I2204" s="9"/>
      <c r="J2204" s="9"/>
      <c r="K2204" s="9"/>
      <c r="L2204" s="9"/>
      <c r="M2204" s="9"/>
      <c r="N2204" s="9"/>
      <c r="O2204" s="9"/>
      <c r="P2204" s="9"/>
      <c r="Q2204" s="9"/>
      <c r="R2204" s="9"/>
      <c r="S2204" s="9"/>
      <c r="T2204" s="9"/>
      <c r="U2204" s="9"/>
      <c r="V2204" s="9"/>
      <c r="W2204" s="9"/>
      <c r="X2204" s="9"/>
      <c r="Y2204" s="9"/>
      <c r="Z2204" s="9"/>
      <c r="AA2204" s="9"/>
      <c r="AB2204" s="9"/>
      <c r="AC2204" s="9"/>
      <c r="AD2204" s="9"/>
      <c r="AE2204" s="9"/>
      <c r="AF2204" s="9"/>
      <c r="AG2204" s="9"/>
      <c r="AH2204" s="9"/>
      <c r="AI2204" s="9"/>
      <c r="AJ2204" s="9"/>
      <c r="AK2204" s="9"/>
      <c r="AL2204" s="9"/>
      <c r="AM2204" s="9"/>
      <c r="AN2204" s="9"/>
      <c r="AO2204" s="9"/>
      <c r="AP2204" s="9"/>
      <c r="AQ2204" s="9"/>
      <c r="AR2204" s="9"/>
      <c r="AS2204" s="9"/>
      <c r="AT2204" s="9"/>
      <c r="AU2204" s="9"/>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row>
    <row r="2205" spans="1:75" x14ac:dyDescent="0.25">
      <c r="A2205" s="9"/>
      <c r="B2205" s="9"/>
      <c r="C2205" s="9"/>
      <c r="D2205" s="9"/>
      <c r="E2205" s="9"/>
      <c r="F2205" s="9"/>
      <c r="G2205" s="9"/>
      <c r="H2205" s="9"/>
      <c r="I2205" s="9"/>
      <c r="J2205" s="9"/>
      <c r="K2205" s="9"/>
      <c r="L2205" s="9"/>
      <c r="M2205" s="9"/>
      <c r="N2205" s="9"/>
      <c r="O2205" s="9"/>
      <c r="P2205" s="9"/>
      <c r="Q2205" s="9"/>
      <c r="R2205" s="9"/>
      <c r="S2205" s="9"/>
      <c r="T2205" s="9"/>
      <c r="U2205" s="9"/>
      <c r="V2205" s="9"/>
      <c r="W2205" s="9"/>
      <c r="X2205" s="9"/>
      <c r="Y2205" s="9"/>
      <c r="Z2205" s="9"/>
      <c r="AA2205" s="9"/>
      <c r="AB2205" s="9"/>
      <c r="AC2205" s="9"/>
      <c r="AD2205" s="9"/>
      <c r="AE2205" s="9"/>
      <c r="AF2205" s="9"/>
      <c r="AG2205" s="9"/>
      <c r="AH2205" s="9"/>
      <c r="AI2205" s="9"/>
      <c r="AJ2205" s="9"/>
      <c r="AK2205" s="9"/>
      <c r="AL2205" s="9"/>
      <c r="AM2205" s="9"/>
      <c r="AN2205" s="9"/>
      <c r="AO2205" s="9"/>
      <c r="AP2205" s="9"/>
      <c r="AQ2205" s="9"/>
      <c r="AR2205" s="9"/>
      <c r="AS2205" s="9"/>
      <c r="AT2205" s="9"/>
      <c r="AU2205" s="9"/>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row>
    <row r="2206" spans="1:75" x14ac:dyDescent="0.25">
      <c r="A2206" s="9"/>
      <c r="B2206" s="9"/>
      <c r="C2206" s="9"/>
      <c r="D2206" s="9"/>
      <c r="E2206" s="9"/>
      <c r="F2206" s="9"/>
      <c r="G2206" s="9"/>
      <c r="H2206" s="9"/>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c r="AS2206" s="9"/>
      <c r="AT2206" s="9"/>
      <c r="AU2206" s="9"/>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row>
    <row r="2207" spans="1:75" x14ac:dyDescent="0.25">
      <c r="A2207" s="9"/>
      <c r="B2207" s="9"/>
      <c r="C2207" s="9"/>
      <c r="D2207" s="9"/>
      <c r="E2207" s="9"/>
      <c r="F2207" s="9"/>
      <c r="G2207" s="9"/>
      <c r="H2207" s="9"/>
      <c r="I2207" s="9"/>
      <c r="J2207" s="9"/>
      <c r="K2207" s="9"/>
      <c r="L2207" s="9"/>
      <c r="M2207" s="9"/>
      <c r="N2207" s="9"/>
      <c r="O2207" s="9"/>
      <c r="P2207" s="9"/>
      <c r="Q2207" s="9"/>
      <c r="R2207" s="9"/>
      <c r="S2207" s="9"/>
      <c r="T2207" s="9"/>
      <c r="U2207" s="9"/>
      <c r="V2207" s="9"/>
      <c r="W2207" s="9"/>
      <c r="X2207" s="9"/>
      <c r="Y2207" s="9"/>
      <c r="Z2207" s="9"/>
      <c r="AA2207" s="9"/>
      <c r="AB2207" s="9"/>
      <c r="AC2207" s="9"/>
      <c r="AD2207" s="9"/>
      <c r="AE2207" s="9"/>
      <c r="AF2207" s="9"/>
      <c r="AG2207" s="9"/>
      <c r="AH2207" s="9"/>
      <c r="AI2207" s="9"/>
      <c r="AJ2207" s="9"/>
      <c r="AK2207" s="9"/>
      <c r="AL2207" s="9"/>
      <c r="AM2207" s="9"/>
      <c r="AN2207" s="9"/>
      <c r="AO2207" s="9"/>
      <c r="AP2207" s="9"/>
      <c r="AQ2207" s="9"/>
      <c r="AR2207" s="9"/>
      <c r="AS2207" s="9"/>
      <c r="AT2207" s="9"/>
      <c r="AU2207" s="9"/>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row>
    <row r="2208" spans="1:75" x14ac:dyDescent="0.25">
      <c r="A2208" s="9"/>
      <c r="B2208" s="9"/>
      <c r="C2208" s="9"/>
      <c r="D2208" s="9"/>
      <c r="E2208" s="9"/>
      <c r="F2208" s="9"/>
      <c r="G2208" s="9"/>
      <c r="H2208" s="9"/>
      <c r="I2208" s="9"/>
      <c r="J2208" s="9"/>
      <c r="K2208" s="9"/>
      <c r="L2208" s="9"/>
      <c r="M2208" s="9"/>
      <c r="N2208" s="9"/>
      <c r="O2208" s="9"/>
      <c r="P2208" s="9"/>
      <c r="Q2208" s="9"/>
      <c r="R2208" s="9"/>
      <c r="S2208" s="9"/>
      <c r="T2208" s="9"/>
      <c r="U2208" s="9"/>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c r="AS2208" s="9"/>
      <c r="AT2208" s="9"/>
      <c r="AU2208" s="9"/>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row>
    <row r="2209" spans="1:75" x14ac:dyDescent="0.25">
      <c r="A2209" s="9"/>
      <c r="B2209" s="9"/>
      <c r="C2209" s="9"/>
      <c r="D2209" s="9"/>
      <c r="E2209" s="9"/>
      <c r="F2209" s="9"/>
      <c r="G2209" s="9"/>
      <c r="H2209" s="9"/>
      <c r="I2209" s="9"/>
      <c r="J2209" s="9"/>
      <c r="K2209" s="9"/>
      <c r="L2209" s="9"/>
      <c r="M2209" s="9"/>
      <c r="N2209" s="9"/>
      <c r="O2209" s="9"/>
      <c r="P2209" s="9"/>
      <c r="Q2209" s="9"/>
      <c r="R2209" s="9"/>
      <c r="S2209" s="9"/>
      <c r="T2209" s="9"/>
      <c r="U2209" s="9"/>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c r="AS2209" s="9"/>
      <c r="AT2209" s="9"/>
      <c r="AU2209" s="9"/>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row>
    <row r="2210" spans="1:75" x14ac:dyDescent="0.25">
      <c r="A2210" s="9"/>
      <c r="B2210" s="9"/>
      <c r="C2210" s="9"/>
      <c r="D2210" s="9"/>
      <c r="E2210" s="9"/>
      <c r="F2210" s="9"/>
      <c r="G2210" s="9"/>
      <c r="H2210" s="9"/>
      <c r="I2210" s="9"/>
      <c r="J2210" s="9"/>
      <c r="K2210" s="9"/>
      <c r="L2210" s="9"/>
      <c r="M2210" s="9"/>
      <c r="N2210" s="9"/>
      <c r="O2210" s="9"/>
      <c r="P2210" s="9"/>
      <c r="Q2210" s="9"/>
      <c r="R2210" s="9"/>
      <c r="S2210" s="9"/>
      <c r="T2210" s="9"/>
      <c r="U2210" s="9"/>
      <c r="V2210" s="9"/>
      <c r="W2210" s="9"/>
      <c r="X2210" s="9"/>
      <c r="Y2210" s="9"/>
      <c r="Z2210" s="9"/>
      <c r="AA2210" s="9"/>
      <c r="AB2210" s="9"/>
      <c r="AC2210" s="9"/>
      <c r="AD2210" s="9"/>
      <c r="AE2210" s="9"/>
      <c r="AF2210" s="9"/>
      <c r="AG2210" s="9"/>
      <c r="AH2210" s="9"/>
      <c r="AI2210" s="9"/>
      <c r="AJ2210" s="9"/>
      <c r="AK2210" s="9"/>
      <c r="AL2210" s="9"/>
      <c r="AM2210" s="9"/>
      <c r="AN2210" s="9"/>
      <c r="AO2210" s="9"/>
      <c r="AP2210" s="9"/>
      <c r="AQ2210" s="9"/>
      <c r="AR2210" s="9"/>
      <c r="AS2210" s="9"/>
      <c r="AT2210" s="9"/>
      <c r="AU2210" s="9"/>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row>
    <row r="2211" spans="1:75" x14ac:dyDescent="0.25">
      <c r="A2211" s="9"/>
      <c r="B2211" s="9"/>
      <c r="C2211" s="9"/>
      <c r="D2211" s="9"/>
      <c r="E2211" s="9"/>
      <c r="F2211" s="9"/>
      <c r="G2211" s="9"/>
      <c r="H2211" s="9"/>
      <c r="I2211" s="9"/>
      <c r="J2211" s="9"/>
      <c r="K2211" s="9"/>
      <c r="L2211" s="9"/>
      <c r="M2211" s="9"/>
      <c r="N2211" s="9"/>
      <c r="O2211" s="9"/>
      <c r="P2211" s="9"/>
      <c r="Q2211" s="9"/>
      <c r="R2211" s="9"/>
      <c r="S2211" s="9"/>
      <c r="T2211" s="9"/>
      <c r="U2211" s="9"/>
      <c r="V2211" s="9"/>
      <c r="W2211" s="9"/>
      <c r="X2211" s="9"/>
      <c r="Y2211" s="9"/>
      <c r="Z2211" s="9"/>
      <c r="AA2211" s="9"/>
      <c r="AB2211" s="9"/>
      <c r="AC2211" s="9"/>
      <c r="AD2211" s="9"/>
      <c r="AE2211" s="9"/>
      <c r="AF2211" s="9"/>
      <c r="AG2211" s="9"/>
      <c r="AH2211" s="9"/>
      <c r="AI2211" s="9"/>
      <c r="AJ2211" s="9"/>
      <c r="AK2211" s="9"/>
      <c r="AL2211" s="9"/>
      <c r="AM2211" s="9"/>
      <c r="AN2211" s="9"/>
      <c r="AO2211" s="9"/>
      <c r="AP2211" s="9"/>
      <c r="AQ2211" s="9"/>
      <c r="AR2211" s="9"/>
      <c r="AS2211" s="9"/>
      <c r="AT2211" s="9"/>
      <c r="AU2211" s="9"/>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row>
  </sheetData>
  <autoFilter ref="A6:BM1211" xr:uid="{00000000-0009-0000-0000-000000000000}">
    <filterColumn colId="1">
      <filters>
        <filter val="HUTRIN-IMED"/>
        <filter val="HUTRIN-IMED Total"/>
      </filters>
    </filterColumn>
  </autoFilter>
  <mergeCells count="5">
    <mergeCell ref="A2:BM2"/>
    <mergeCell ref="E5:Y5"/>
    <mergeCell ref="Z5:AG5"/>
    <mergeCell ref="AN5:AS5"/>
    <mergeCell ref="AU5:BA5"/>
  </mergeCells>
  <pageMargins left="0.47222222222222199" right="0.31527777777777799" top="1.4222222222222201" bottom="0.51180555555555496" header="0.15763888888888899" footer="0.196527777777778"/>
  <pageSetup paperSize="9" fitToHeight="0" orientation="landscape" horizontalDpi="300" verticalDpi="300"/>
  <headerFooter>
    <oddFooter>&amp;LDIPPAG/GEFIN/SGI/SES em &amp;D&amp;RPág &amp;P de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heetViews>
  <sheetFormatPr defaultColWidth="11.5703125" defaultRowHeight="15" x14ac:dyDescent="0.25"/>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docProps/app.xml><?xml version="1.0" encoding="utf-8"?>
<Properties xmlns="http://schemas.openxmlformats.org/officeDocument/2006/extended-properties" xmlns:vt="http://schemas.openxmlformats.org/officeDocument/2006/docPropsVTypes">
  <Template/>
  <TotalTime>65</TotalTime>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OS-EXECUÇÃO-2017 A 2021</vt:lpstr>
      <vt:lpstr>Planilha2</vt:lpstr>
      <vt:lpstr>'OS-EXECUÇÃO-2017 A 2021'!Area_de_impressao</vt:lpstr>
      <vt:lpstr>'OS-EXECUÇÃO-2017 A 2021'!Titulos_de_impressao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dc:description/>
  <cp:lastModifiedBy>lsvrv</cp:lastModifiedBy>
  <cp:revision>14</cp:revision>
  <cp:lastPrinted>2021-09-29T16:55:44Z</cp:lastPrinted>
  <dcterms:created xsi:type="dcterms:W3CDTF">2021-09-27T12:04:09Z</dcterms:created>
  <dcterms:modified xsi:type="dcterms:W3CDTF">2021-12-07T13:27:00Z</dcterms:modified>
  <dc:language>pt-BR</dc:language>
</cp:coreProperties>
</file>